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Unity\RPG\RPG-game\"/>
    </mc:Choice>
  </mc:AlternateContent>
  <xr:revisionPtr revIDLastSave="0" documentId="13_ncr:1_{0F3AE3DA-C132-42A9-B1A5-4CCD4D670A43}" xr6:coauthVersionLast="44" xr6:coauthVersionMax="44" xr10:uidLastSave="{00000000-0000-0000-0000-000000000000}"/>
  <bookViews>
    <workbookView xWindow="-108" yWindow="-108" windowWidth="23256" windowHeight="12576" tabRatio="868" firstSheet="1" activeTab="4" xr2:uid="{00000000-000D-0000-FFFF-FFFF00000000}"/>
  </bookViews>
  <sheets>
    <sheet name="Demon" sheetId="1" r:id="rId1"/>
    <sheet name="Elf" sheetId="2" r:id="rId2"/>
    <sheet name="Beastgirl" sheetId="3" r:id="rId3"/>
    <sheet name="Warrior" sheetId="4" r:id="rId4"/>
    <sheet name="Blue Slime" sheetId="5" r:id="rId5"/>
    <sheet name="Green Slime" sheetId="6" r:id="rId6"/>
    <sheet name="Wolf" sheetId="7" r:id="rId7"/>
    <sheet name="Horned Wolf" sheetId="8" r:id="rId8"/>
    <sheet name="Spider" sheetId="9" r:id="rId9"/>
    <sheet name="Evolved Spider" sheetId="10" r:id="rId10"/>
    <sheet name="Arachne" sheetId="11" r:id="rId11"/>
    <sheet name="Earth Elemental" sheetId="12" r:id="rId12"/>
    <sheet name="Wind Elemental" sheetId="20" r:id="rId13"/>
    <sheet name="Water Elemental" sheetId="13" r:id="rId14"/>
    <sheet name="Fire Elemental" sheetId="14" r:id="rId15"/>
    <sheet name="Wyvern" sheetId="15" r:id="rId16"/>
    <sheet name="Evolved Wyvern" sheetId="16" r:id="rId17"/>
    <sheet name="Dragon" sheetId="17" r:id="rId18"/>
    <sheet name="Quests" sheetId="18" r:id="rId19"/>
    <sheet name="Equipment" sheetId="19" r:id="rId20"/>
    <sheet name="Items" sheetId="21" r:id="rId21"/>
    <sheet name="Skill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0" l="1"/>
  <c r="I7" i="10"/>
  <c r="I6" i="10"/>
  <c r="I5" i="10"/>
  <c r="I4" i="10"/>
  <c r="I4" i="16"/>
  <c r="I5" i="16"/>
  <c r="I6" i="16"/>
  <c r="I7" i="16"/>
  <c r="I8" i="16"/>
  <c r="I4" i="15"/>
  <c r="I5" i="15"/>
  <c r="I6" i="15"/>
  <c r="I7" i="15"/>
  <c r="I8" i="15"/>
  <c r="I6" i="13"/>
  <c r="I5" i="13"/>
  <c r="I4" i="13"/>
  <c r="I6" i="20"/>
  <c r="I5" i="20"/>
  <c r="I4" i="20"/>
  <c r="I6" i="12"/>
  <c r="I5" i="12"/>
  <c r="I4" i="12"/>
  <c r="I7" i="9"/>
  <c r="I6" i="9"/>
  <c r="I5" i="9"/>
  <c r="I4" i="9"/>
  <c r="I5" i="8"/>
  <c r="I4" i="8"/>
  <c r="I6" i="7"/>
  <c r="I5" i="7"/>
  <c r="I4" i="7"/>
  <c r="I5" i="6"/>
  <c r="I4" i="6"/>
  <c r="I5" i="5"/>
  <c r="I4" i="5"/>
  <c r="I3" i="5" l="1"/>
  <c r="J8" i="16"/>
  <c r="J7" i="16"/>
  <c r="J6" i="16"/>
  <c r="J5" i="16"/>
  <c r="J4" i="16"/>
  <c r="J8" i="15"/>
  <c r="J7" i="15"/>
  <c r="J6" i="15"/>
  <c r="J5" i="15"/>
  <c r="J4" i="15"/>
  <c r="J6" i="13"/>
  <c r="J5" i="13"/>
  <c r="J4" i="13"/>
  <c r="J6" i="20"/>
  <c r="J5" i="20"/>
  <c r="J4" i="20"/>
  <c r="J6" i="12"/>
  <c r="J5" i="12"/>
  <c r="J4" i="12"/>
  <c r="J8" i="10"/>
  <c r="J7" i="10"/>
  <c r="J6" i="10"/>
  <c r="J5" i="10"/>
  <c r="J4" i="10"/>
  <c r="J7" i="9"/>
  <c r="J6" i="9"/>
  <c r="J5" i="9"/>
  <c r="J4" i="9"/>
  <c r="J5" i="8"/>
  <c r="J4" i="8"/>
  <c r="J6" i="7"/>
  <c r="J5" i="7"/>
  <c r="J4" i="7"/>
  <c r="J5" i="6"/>
  <c r="J4" i="6"/>
  <c r="J4" i="5"/>
  <c r="J5" i="5"/>
  <c r="C47" i="1" l="1"/>
  <c r="G199" i="22"/>
  <c r="G171" i="22"/>
  <c r="G34" i="22"/>
  <c r="G76" i="22"/>
  <c r="G87" i="22"/>
  <c r="G170" i="22"/>
  <c r="G29" i="22"/>
  <c r="G61" i="22"/>
  <c r="G60" i="22"/>
  <c r="G25" i="22"/>
  <c r="G157" i="22"/>
  <c r="G68" i="22"/>
  <c r="G225" i="22"/>
  <c r="G13" i="22"/>
  <c r="G140" i="22"/>
  <c r="G15" i="22"/>
  <c r="G203" i="22"/>
  <c r="G115" i="22"/>
  <c r="G127" i="22"/>
  <c r="G194" i="22"/>
  <c r="G112" i="22"/>
  <c r="G180" i="22"/>
  <c r="G198" i="22"/>
  <c r="G90" i="22"/>
  <c r="G78" i="22"/>
  <c r="G7" i="22"/>
  <c r="G222" i="22"/>
  <c r="G122" i="22"/>
  <c r="G96" i="22"/>
  <c r="G211" i="22"/>
  <c r="G156" i="22"/>
  <c r="G226" i="22"/>
  <c r="G23" i="22"/>
  <c r="G36" i="22"/>
  <c r="G3" i="22"/>
  <c r="G200" i="22"/>
  <c r="G77" i="22"/>
  <c r="G132" i="22"/>
  <c r="G166" i="22"/>
  <c r="G47" i="22"/>
  <c r="G14" i="22"/>
  <c r="G220" i="22"/>
  <c r="G41" i="22"/>
  <c r="G52" i="22"/>
  <c r="G141" i="22"/>
  <c r="G190" i="22"/>
  <c r="G93" i="22"/>
  <c r="G48" i="22"/>
  <c r="G176" i="22"/>
  <c r="G43" i="22"/>
  <c r="G49" i="22"/>
  <c r="G216" i="22"/>
  <c r="G67" i="22"/>
  <c r="G6" i="22"/>
  <c r="G26" i="22"/>
  <c r="G189" i="22"/>
  <c r="G213" i="22"/>
  <c r="G120" i="22"/>
  <c r="G177" i="22"/>
  <c r="G135" i="22"/>
  <c r="G164" i="22"/>
  <c r="G65" i="22"/>
  <c r="G162" i="22"/>
  <c r="G91" i="22"/>
  <c r="G40" i="22"/>
  <c r="G139" i="22"/>
  <c r="G123" i="22"/>
  <c r="G54" i="22"/>
  <c r="G197" i="22"/>
  <c r="G95" i="22"/>
  <c r="G146" i="22"/>
  <c r="G38" i="22"/>
  <c r="G153" i="22"/>
  <c r="G101" i="22"/>
  <c r="G223" i="22"/>
  <c r="G184" i="22"/>
  <c r="G206" i="22"/>
  <c r="G131" i="22"/>
  <c r="G210" i="22"/>
  <c r="G207" i="22"/>
  <c r="G46" i="22"/>
  <c r="G104" i="22"/>
  <c r="G19" i="22"/>
  <c r="G39" i="22"/>
  <c r="G30" i="22"/>
  <c r="G205" i="22"/>
  <c r="G58" i="22"/>
  <c r="G133" i="22"/>
  <c r="G134" i="22"/>
  <c r="G57" i="22"/>
  <c r="G37" i="22"/>
  <c r="G35" i="22"/>
  <c r="G28" i="22"/>
  <c r="G154" i="22"/>
  <c r="G142" i="22"/>
  <c r="G163" i="22"/>
  <c r="G138" i="22"/>
  <c r="G169" i="22"/>
  <c r="G22" i="22"/>
  <c r="G74" i="22"/>
  <c r="G117" i="22"/>
  <c r="G182" i="22"/>
  <c r="G150" i="22"/>
  <c r="G100" i="22"/>
  <c r="G63" i="22"/>
  <c r="G188" i="22"/>
  <c r="G214" i="22"/>
  <c r="G161" i="22"/>
  <c r="G89" i="22"/>
  <c r="G70" i="22"/>
  <c r="G167" i="22"/>
  <c r="G173" i="22"/>
  <c r="D9" i="18"/>
  <c r="G212" i="22"/>
  <c r="G137" i="22"/>
  <c r="G11" i="22"/>
  <c r="G71" i="22"/>
  <c r="G82" i="22"/>
  <c r="G174" i="22"/>
  <c r="G42" i="22"/>
  <c r="G107" i="22"/>
  <c r="G119" i="22"/>
  <c r="G31" i="22"/>
  <c r="G4" i="22"/>
  <c r="G185" i="22"/>
  <c r="G8" i="22"/>
  <c r="G5" i="22"/>
  <c r="G192" i="22"/>
  <c r="G178" i="22"/>
  <c r="G64" i="22"/>
  <c r="G73" i="22"/>
  <c r="G187" i="22"/>
  <c r="G75" i="22"/>
  <c r="G204" i="22"/>
  <c r="G83" i="22"/>
  <c r="G118" i="22"/>
  <c r="G196" i="22"/>
  <c r="G110" i="22"/>
  <c r="G45" i="22"/>
  <c r="G59" i="22"/>
  <c r="G113" i="22"/>
  <c r="G116" i="22"/>
  <c r="G20" i="22"/>
  <c r="G208" i="22"/>
  <c r="G99" i="22"/>
  <c r="G69" i="22"/>
  <c r="G10" i="22"/>
  <c r="G21" i="22"/>
  <c r="G105" i="22"/>
  <c r="G151" i="22"/>
  <c r="G16" i="22"/>
  <c r="G130" i="22"/>
  <c r="G128" i="22"/>
  <c r="G160" i="22"/>
  <c r="G125" i="22"/>
  <c r="G183" i="22"/>
  <c r="G50" i="22"/>
  <c r="G33" i="22"/>
  <c r="G186" i="22"/>
  <c r="G181" i="22"/>
  <c r="G108" i="22"/>
  <c r="G201" i="22"/>
  <c r="G80" i="22"/>
  <c r="G55" i="22"/>
  <c r="G147" i="22"/>
  <c r="G24" i="22"/>
  <c r="G121" i="22"/>
  <c r="G175" i="22"/>
  <c r="G103" i="22"/>
  <c r="G155" i="22"/>
  <c r="G172" i="22"/>
  <c r="G62" i="22"/>
  <c r="G88" i="22"/>
  <c r="G168" i="22"/>
  <c r="G209" i="22"/>
  <c r="G86" i="22"/>
  <c r="G136" i="22"/>
  <c r="G221" i="22"/>
  <c r="G149" i="22"/>
  <c r="G129" i="22"/>
  <c r="G143" i="22"/>
  <c r="G218" i="22"/>
  <c r="G92" i="22"/>
  <c r="G53" i="22"/>
  <c r="G191" i="22"/>
  <c r="G32" i="22"/>
  <c r="G102" i="22"/>
  <c r="G193" i="22"/>
  <c r="G17" i="22"/>
  <c r="G12" i="22"/>
  <c r="G145" i="22"/>
  <c r="G27" i="22"/>
  <c r="G44" i="22"/>
  <c r="G179" i="22"/>
  <c r="G224" i="22"/>
  <c r="G51" i="22"/>
  <c r="G158" i="22"/>
  <c r="G165" i="22"/>
  <c r="G144" i="22"/>
  <c r="G85" i="22"/>
  <c r="G9" i="22"/>
  <c r="G114" i="22"/>
  <c r="G98" i="22"/>
  <c r="G106" i="22"/>
  <c r="G217" i="22"/>
  <c r="G97" i="22"/>
  <c r="G81" i="22"/>
  <c r="G2" i="22"/>
  <c r="G126" i="22"/>
  <c r="G72" i="22"/>
  <c r="G148" i="22"/>
  <c r="G219" i="22"/>
  <c r="G195" i="22"/>
  <c r="G109" i="22"/>
  <c r="G79" i="22"/>
  <c r="G159" i="22"/>
  <c r="G18" i="22"/>
  <c r="G84" i="22"/>
  <c r="G124" i="22"/>
  <c r="G66" i="22"/>
  <c r="G56" i="22"/>
  <c r="G202" i="22"/>
  <c r="G111" i="22"/>
  <c r="G215" i="22"/>
  <c r="G152" i="22"/>
  <c r="G94" i="22"/>
  <c r="F14" i="21" l="1"/>
  <c r="F13" i="21"/>
  <c r="F12" i="21"/>
  <c r="F11" i="21"/>
  <c r="F10" i="21"/>
  <c r="F9" i="21"/>
  <c r="F8" i="21"/>
  <c r="F7" i="21"/>
  <c r="F6" i="21"/>
  <c r="F4" i="21"/>
  <c r="F3" i="21"/>
  <c r="F5" i="21"/>
  <c r="AF5" i="7"/>
  <c r="AF6" i="7"/>
  <c r="AF4" i="7"/>
  <c r="AE3" i="7"/>
  <c r="AE4" i="7"/>
  <c r="AE5" i="7"/>
  <c r="AE6" i="7"/>
  <c r="U5" i="7"/>
  <c r="U6" i="7"/>
  <c r="U4" i="7"/>
  <c r="T3" i="7"/>
  <c r="T4" i="7"/>
  <c r="T5" i="7"/>
  <c r="T6" i="7"/>
  <c r="AF5" i="6"/>
  <c r="AF4" i="6"/>
  <c r="U5" i="6"/>
  <c r="U4" i="6"/>
  <c r="AE3" i="16"/>
  <c r="AE4" i="16"/>
  <c r="AE5" i="16"/>
  <c r="AE6" i="16"/>
  <c r="AE7" i="16"/>
  <c r="AE8" i="16"/>
  <c r="U5" i="16"/>
  <c r="U6" i="16"/>
  <c r="U7" i="16"/>
  <c r="U8" i="16"/>
  <c r="U4" i="16"/>
  <c r="AF5" i="16"/>
  <c r="AF6" i="16"/>
  <c r="AF7" i="16"/>
  <c r="AF8" i="16"/>
  <c r="AF4" i="16"/>
  <c r="T3" i="16"/>
  <c r="T4" i="16"/>
  <c r="T5" i="16"/>
  <c r="T6" i="16"/>
  <c r="T7" i="16"/>
  <c r="T8" i="16"/>
  <c r="AF5" i="15"/>
  <c r="AF6" i="15"/>
  <c r="AF7" i="15"/>
  <c r="AF8" i="15"/>
  <c r="AF4" i="15"/>
  <c r="AE3" i="15"/>
  <c r="AE4" i="15"/>
  <c r="AE5" i="15"/>
  <c r="AE6" i="15"/>
  <c r="AE7" i="15"/>
  <c r="AE8" i="15"/>
  <c r="U5" i="15"/>
  <c r="U6" i="15"/>
  <c r="U7" i="15"/>
  <c r="U8" i="15"/>
  <c r="U4" i="15"/>
  <c r="T3" i="15"/>
  <c r="T4" i="15"/>
  <c r="T5" i="15"/>
  <c r="T6" i="15"/>
  <c r="T7" i="15"/>
  <c r="T8" i="15"/>
  <c r="AF5" i="13"/>
  <c r="AF6" i="13"/>
  <c r="AF4" i="13"/>
  <c r="U5" i="13"/>
  <c r="U6" i="13"/>
  <c r="U4" i="13"/>
  <c r="AF5" i="20"/>
  <c r="AF6" i="20"/>
  <c r="AF4" i="20"/>
  <c r="U5" i="20"/>
  <c r="U6" i="20"/>
  <c r="U4" i="20"/>
  <c r="AE3" i="20"/>
  <c r="AE4" i="20"/>
  <c r="AE5" i="20"/>
  <c r="AE6" i="20"/>
  <c r="T3" i="20"/>
  <c r="T4" i="20"/>
  <c r="T5" i="20"/>
  <c r="T6" i="20"/>
  <c r="AF5" i="12"/>
  <c r="AF6" i="12"/>
  <c r="U5" i="12"/>
  <c r="U6" i="12"/>
  <c r="AF4" i="12"/>
  <c r="U4" i="12"/>
  <c r="AE3" i="12"/>
  <c r="AE4" i="12"/>
  <c r="AE5" i="12"/>
  <c r="AE6" i="12"/>
  <c r="T3" i="12"/>
  <c r="T4" i="12"/>
  <c r="T5" i="12"/>
  <c r="T6" i="12"/>
  <c r="U5" i="10"/>
  <c r="U6" i="10"/>
  <c r="U7" i="10"/>
  <c r="U8" i="10"/>
  <c r="U4" i="10"/>
  <c r="AF4" i="10"/>
  <c r="AF5" i="10"/>
  <c r="AF6" i="10"/>
  <c r="AF7" i="10"/>
  <c r="AF8" i="10"/>
  <c r="AE3" i="10"/>
  <c r="AE4" i="10"/>
  <c r="AE5" i="10"/>
  <c r="AE6" i="10"/>
  <c r="AE7" i="10"/>
  <c r="AE8" i="10"/>
  <c r="T3" i="10"/>
  <c r="T4" i="10"/>
  <c r="T5" i="10"/>
  <c r="T6" i="10"/>
  <c r="T7" i="10"/>
  <c r="T8" i="10"/>
  <c r="AF4" i="9"/>
  <c r="AF5" i="9"/>
  <c r="AF6" i="9"/>
  <c r="AF7" i="9"/>
  <c r="AE3" i="9"/>
  <c r="AE4" i="9"/>
  <c r="AE5" i="9"/>
  <c r="AE6" i="9"/>
  <c r="AE7" i="9"/>
  <c r="U4" i="9"/>
  <c r="U5" i="9"/>
  <c r="U6" i="9"/>
  <c r="U7" i="9"/>
  <c r="T3" i="9"/>
  <c r="T4" i="9"/>
  <c r="T5" i="9"/>
  <c r="T6" i="9"/>
  <c r="T7" i="9"/>
  <c r="U4" i="8"/>
  <c r="U5" i="8"/>
  <c r="AF4" i="8"/>
  <c r="AF5" i="8"/>
  <c r="AE3" i="8"/>
  <c r="AE4" i="8"/>
  <c r="AE5" i="8"/>
  <c r="T3" i="8"/>
  <c r="T4" i="8"/>
  <c r="T5" i="8"/>
  <c r="I8" i="4"/>
  <c r="AF4" i="5"/>
  <c r="AF5" i="5"/>
  <c r="AF3" i="5"/>
  <c r="U4" i="5"/>
  <c r="U5" i="5"/>
  <c r="U3" i="5"/>
  <c r="G10" i="18"/>
  <c r="G17" i="18"/>
  <c r="G26" i="18"/>
  <c r="G39" i="18"/>
  <c r="E39" i="18" s="1"/>
  <c r="G49" i="18"/>
  <c r="E19" i="18"/>
  <c r="E17" i="18"/>
  <c r="E28" i="18"/>
  <c r="E41" i="18"/>
  <c r="E5" i="18"/>
  <c r="I10" i="18"/>
  <c r="I49" i="18"/>
  <c r="I39" i="18"/>
  <c r="I26" i="18"/>
  <c r="I17" i="18"/>
  <c r="E44" i="18"/>
  <c r="E45" i="18"/>
  <c r="E46" i="18"/>
  <c r="E47" i="18"/>
  <c r="E48" i="18"/>
  <c r="E49" i="18"/>
  <c r="E40" i="18"/>
  <c r="E35" i="18"/>
  <c r="E24" i="18"/>
  <c r="E13" i="18"/>
  <c r="E11" i="18"/>
  <c r="E6" i="18"/>
  <c r="E8" i="18"/>
  <c r="E9" i="18"/>
  <c r="E10" i="1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I48" i="4"/>
  <c r="I49" i="4"/>
  <c r="I50" i="4"/>
  <c r="I51" i="4"/>
  <c r="I52" i="4"/>
  <c r="I38" i="4"/>
  <c r="I39" i="4"/>
  <c r="I40" i="4"/>
  <c r="I41" i="4"/>
  <c r="I42" i="4"/>
  <c r="I43" i="4"/>
  <c r="I44" i="4"/>
  <c r="I45" i="4"/>
  <c r="I46" i="4"/>
  <c r="I47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5" i="4"/>
  <c r="I6" i="4"/>
  <c r="I7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4" i="4"/>
  <c r="I44" i="3"/>
  <c r="I45" i="3"/>
  <c r="I46" i="3"/>
  <c r="I47" i="3"/>
  <c r="I48" i="3"/>
  <c r="I49" i="3"/>
  <c r="I50" i="3"/>
  <c r="I51" i="3"/>
  <c r="I52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4" i="3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4" i="2"/>
  <c r="I52" i="1"/>
  <c r="I45" i="1"/>
  <c r="I46" i="1"/>
  <c r="I47" i="1"/>
  <c r="I48" i="1"/>
  <c r="I49" i="1"/>
  <c r="I50" i="1"/>
  <c r="I5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B4" i="1"/>
  <c r="D21" i="18"/>
  <c r="D12" i="18"/>
  <c r="D28" i="18"/>
  <c r="D2" i="18"/>
  <c r="D34" i="18"/>
  <c r="D30" i="18"/>
  <c r="D45" i="18"/>
  <c r="D4" i="18"/>
  <c r="D3" i="18"/>
  <c r="D25" i="18"/>
  <c r="D31" i="18"/>
  <c r="D5" i="18"/>
  <c r="D27" i="18"/>
  <c r="D20" i="18"/>
  <c r="D22" i="18"/>
  <c r="D46" i="18"/>
  <c r="D42" i="18"/>
  <c r="D23" i="18"/>
  <c r="D32" i="18"/>
  <c r="D38" i="18"/>
  <c r="D47" i="18"/>
  <c r="D35" i="18"/>
  <c r="D29" i="18"/>
  <c r="D10" i="18"/>
  <c r="D37" i="18"/>
  <c r="D24" i="18"/>
  <c r="D7" i="18"/>
  <c r="D48" i="18"/>
  <c r="D41" i="18"/>
  <c r="D26" i="18"/>
  <c r="D44" i="18"/>
  <c r="D15" i="18"/>
  <c r="D39" i="18"/>
  <c r="D16" i="18"/>
  <c r="D8" i="18"/>
  <c r="D18" i="18"/>
  <c r="D49" i="18"/>
  <c r="D6" i="18"/>
  <c r="D40" i="18"/>
  <c r="D14" i="18"/>
  <c r="D43" i="18"/>
  <c r="D11" i="18"/>
  <c r="D13" i="18"/>
  <c r="D33" i="18"/>
  <c r="D19" i="18"/>
  <c r="D36" i="18"/>
  <c r="D50" i="18"/>
  <c r="D17" i="18"/>
  <c r="E31" i="18" l="1"/>
  <c r="E23" i="18"/>
  <c r="E26" i="18"/>
  <c r="E22" i="18"/>
  <c r="E18" i="18"/>
  <c r="E25" i="18"/>
  <c r="E16" i="18"/>
  <c r="E12" i="18"/>
  <c r="E15" i="18"/>
  <c r="E14" i="18"/>
  <c r="E21" i="18"/>
  <c r="E20" i="18"/>
  <c r="E38" i="18"/>
  <c r="E34" i="18"/>
  <c r="E30" i="18"/>
  <c r="E37" i="18"/>
  <c r="E33" i="18"/>
  <c r="E29" i="18"/>
  <c r="E27" i="18"/>
  <c r="E36" i="18"/>
  <c r="E32" i="18"/>
  <c r="E43" i="18"/>
  <c r="E42" i="18"/>
  <c r="E4" i="18"/>
  <c r="E7" i="18"/>
  <c r="B48" i="4"/>
  <c r="D48" i="4"/>
  <c r="E48" i="4"/>
  <c r="F48" i="4"/>
  <c r="G48" i="4"/>
  <c r="H48" i="4"/>
  <c r="B49" i="4"/>
  <c r="D49" i="4"/>
  <c r="E49" i="4"/>
  <c r="F49" i="4"/>
  <c r="G49" i="4"/>
  <c r="H49" i="4"/>
  <c r="B50" i="4"/>
  <c r="D50" i="4"/>
  <c r="E50" i="4"/>
  <c r="F50" i="4"/>
  <c r="G50" i="4"/>
  <c r="H50" i="4"/>
  <c r="B51" i="4"/>
  <c r="D51" i="4"/>
  <c r="E51" i="4"/>
  <c r="F51" i="4"/>
  <c r="G51" i="4"/>
  <c r="H51" i="4"/>
  <c r="B52" i="4"/>
  <c r="D52" i="4"/>
  <c r="E52" i="4"/>
  <c r="F52" i="4"/>
  <c r="G52" i="4"/>
  <c r="H52" i="4"/>
  <c r="H47" i="4"/>
  <c r="G47" i="4"/>
  <c r="F47" i="4"/>
  <c r="E47" i="4"/>
  <c r="D47" i="4"/>
  <c r="B47" i="4"/>
  <c r="B38" i="4"/>
  <c r="D38" i="4"/>
  <c r="E38" i="4"/>
  <c r="F38" i="4"/>
  <c r="G38" i="4"/>
  <c r="H38" i="4"/>
  <c r="B39" i="4"/>
  <c r="D39" i="4"/>
  <c r="E39" i="4"/>
  <c r="F39" i="4"/>
  <c r="G39" i="4"/>
  <c r="H39" i="4"/>
  <c r="B40" i="4"/>
  <c r="D40" i="4"/>
  <c r="E40" i="4"/>
  <c r="F40" i="4"/>
  <c r="G40" i="4"/>
  <c r="H40" i="4"/>
  <c r="B41" i="4"/>
  <c r="D41" i="4"/>
  <c r="E41" i="4"/>
  <c r="F41" i="4"/>
  <c r="G41" i="4"/>
  <c r="H41" i="4"/>
  <c r="B42" i="4"/>
  <c r="D42" i="4"/>
  <c r="E42" i="4"/>
  <c r="F42" i="4"/>
  <c r="G42" i="4"/>
  <c r="H42" i="4"/>
  <c r="B43" i="4"/>
  <c r="D43" i="4"/>
  <c r="E43" i="4"/>
  <c r="F43" i="4"/>
  <c r="G43" i="4"/>
  <c r="H43" i="4"/>
  <c r="B44" i="4"/>
  <c r="D44" i="4"/>
  <c r="E44" i="4"/>
  <c r="F44" i="4"/>
  <c r="G44" i="4"/>
  <c r="H44" i="4"/>
  <c r="B45" i="4"/>
  <c r="D45" i="4"/>
  <c r="E45" i="4"/>
  <c r="F45" i="4"/>
  <c r="G45" i="4"/>
  <c r="H45" i="4"/>
  <c r="B46" i="4"/>
  <c r="D46" i="4"/>
  <c r="E46" i="4"/>
  <c r="F46" i="4"/>
  <c r="G46" i="4"/>
  <c r="H46" i="4"/>
  <c r="H37" i="4"/>
  <c r="G37" i="4"/>
  <c r="F37" i="4"/>
  <c r="E37" i="4"/>
  <c r="D37" i="4"/>
  <c r="B37" i="4"/>
  <c r="B28" i="4"/>
  <c r="D28" i="4"/>
  <c r="E28" i="4"/>
  <c r="F28" i="4"/>
  <c r="G28" i="4"/>
  <c r="H28" i="4"/>
  <c r="B29" i="4"/>
  <c r="D29" i="4"/>
  <c r="E29" i="4"/>
  <c r="F29" i="4"/>
  <c r="G29" i="4"/>
  <c r="H29" i="4"/>
  <c r="B30" i="4"/>
  <c r="D30" i="4"/>
  <c r="E30" i="4"/>
  <c r="F30" i="4"/>
  <c r="G30" i="4"/>
  <c r="H30" i="4"/>
  <c r="B31" i="4"/>
  <c r="D31" i="4"/>
  <c r="E31" i="4"/>
  <c r="F31" i="4"/>
  <c r="G31" i="4"/>
  <c r="H31" i="4"/>
  <c r="B32" i="4"/>
  <c r="D32" i="4"/>
  <c r="E32" i="4"/>
  <c r="F32" i="4"/>
  <c r="G32" i="4"/>
  <c r="H32" i="4"/>
  <c r="B33" i="4"/>
  <c r="D33" i="4"/>
  <c r="E33" i="4"/>
  <c r="F33" i="4"/>
  <c r="G33" i="4"/>
  <c r="H33" i="4"/>
  <c r="B34" i="4"/>
  <c r="D34" i="4"/>
  <c r="E34" i="4"/>
  <c r="F34" i="4"/>
  <c r="G34" i="4"/>
  <c r="H34" i="4"/>
  <c r="B35" i="4"/>
  <c r="D35" i="4"/>
  <c r="E35" i="4"/>
  <c r="F35" i="4"/>
  <c r="G35" i="4"/>
  <c r="H35" i="4"/>
  <c r="B36" i="4"/>
  <c r="D36" i="4"/>
  <c r="E36" i="4"/>
  <c r="F36" i="4"/>
  <c r="G36" i="4"/>
  <c r="H36" i="4"/>
  <c r="H27" i="4"/>
  <c r="G27" i="4"/>
  <c r="F27" i="4"/>
  <c r="E27" i="4"/>
  <c r="D27" i="4"/>
  <c r="B27" i="4"/>
  <c r="B18" i="4"/>
  <c r="D18" i="4"/>
  <c r="E18" i="4"/>
  <c r="F18" i="4"/>
  <c r="G18" i="4"/>
  <c r="H18" i="4"/>
  <c r="B19" i="4"/>
  <c r="D19" i="4"/>
  <c r="E19" i="4"/>
  <c r="F19" i="4"/>
  <c r="G19" i="4"/>
  <c r="H19" i="4"/>
  <c r="B20" i="4"/>
  <c r="D20" i="4"/>
  <c r="E20" i="4"/>
  <c r="F20" i="4"/>
  <c r="G20" i="4"/>
  <c r="H20" i="4"/>
  <c r="B21" i="4"/>
  <c r="D21" i="4"/>
  <c r="E21" i="4"/>
  <c r="F21" i="4"/>
  <c r="G21" i="4"/>
  <c r="H21" i="4"/>
  <c r="B22" i="4"/>
  <c r="D22" i="4"/>
  <c r="E22" i="4"/>
  <c r="F22" i="4"/>
  <c r="G22" i="4"/>
  <c r="H22" i="4"/>
  <c r="B23" i="4"/>
  <c r="D23" i="4"/>
  <c r="E23" i="4"/>
  <c r="F23" i="4"/>
  <c r="G23" i="4"/>
  <c r="H23" i="4"/>
  <c r="B24" i="4"/>
  <c r="D24" i="4"/>
  <c r="E24" i="4"/>
  <c r="F24" i="4"/>
  <c r="G24" i="4"/>
  <c r="H24" i="4"/>
  <c r="B25" i="4"/>
  <c r="D25" i="4"/>
  <c r="E25" i="4"/>
  <c r="F25" i="4"/>
  <c r="G25" i="4"/>
  <c r="H25" i="4"/>
  <c r="B26" i="4"/>
  <c r="D26" i="4"/>
  <c r="E26" i="4"/>
  <c r="F26" i="4"/>
  <c r="G26" i="4"/>
  <c r="H26" i="4"/>
  <c r="H17" i="4"/>
  <c r="G17" i="4"/>
  <c r="F17" i="4"/>
  <c r="E17" i="4"/>
  <c r="D17" i="4"/>
  <c r="B17" i="4"/>
  <c r="B8" i="4"/>
  <c r="D8" i="4"/>
  <c r="E8" i="4"/>
  <c r="F8" i="4"/>
  <c r="G8" i="4"/>
  <c r="H8" i="4"/>
  <c r="B9" i="4"/>
  <c r="D9" i="4"/>
  <c r="E9" i="4"/>
  <c r="F9" i="4"/>
  <c r="G9" i="4"/>
  <c r="H9" i="4"/>
  <c r="B10" i="4"/>
  <c r="D10" i="4"/>
  <c r="E10" i="4"/>
  <c r="F10" i="4"/>
  <c r="G10" i="4"/>
  <c r="H10" i="4"/>
  <c r="B11" i="4"/>
  <c r="D11" i="4"/>
  <c r="E11" i="4"/>
  <c r="F11" i="4"/>
  <c r="G11" i="4"/>
  <c r="H11" i="4"/>
  <c r="B12" i="4"/>
  <c r="D12" i="4"/>
  <c r="E12" i="4"/>
  <c r="F12" i="4"/>
  <c r="G12" i="4"/>
  <c r="H12" i="4"/>
  <c r="B13" i="4"/>
  <c r="D13" i="4"/>
  <c r="E13" i="4"/>
  <c r="F13" i="4"/>
  <c r="G13" i="4"/>
  <c r="H13" i="4"/>
  <c r="B14" i="4"/>
  <c r="D14" i="4"/>
  <c r="E14" i="4"/>
  <c r="F14" i="4"/>
  <c r="G14" i="4"/>
  <c r="H14" i="4"/>
  <c r="B15" i="4"/>
  <c r="D15" i="4"/>
  <c r="E15" i="4"/>
  <c r="F15" i="4"/>
  <c r="G15" i="4"/>
  <c r="H15" i="4"/>
  <c r="B16" i="4"/>
  <c r="D16" i="4"/>
  <c r="E16" i="4"/>
  <c r="F16" i="4"/>
  <c r="G16" i="4"/>
  <c r="H16" i="4"/>
  <c r="H7" i="4"/>
  <c r="G7" i="4"/>
  <c r="F7" i="4"/>
  <c r="E7" i="4"/>
  <c r="D7" i="4"/>
  <c r="B7" i="4"/>
  <c r="B48" i="3"/>
  <c r="D48" i="3"/>
  <c r="E48" i="3"/>
  <c r="F48" i="3"/>
  <c r="G48" i="3"/>
  <c r="H48" i="3"/>
  <c r="B49" i="3"/>
  <c r="D49" i="3"/>
  <c r="E49" i="3"/>
  <c r="F49" i="3"/>
  <c r="G49" i="3"/>
  <c r="H49" i="3"/>
  <c r="B50" i="3"/>
  <c r="D50" i="3"/>
  <c r="E50" i="3"/>
  <c r="F50" i="3"/>
  <c r="G50" i="3"/>
  <c r="H50" i="3"/>
  <c r="B51" i="3"/>
  <c r="D51" i="3"/>
  <c r="E51" i="3"/>
  <c r="F51" i="3"/>
  <c r="G51" i="3"/>
  <c r="H51" i="3"/>
  <c r="B52" i="3"/>
  <c r="D52" i="3"/>
  <c r="E52" i="3"/>
  <c r="F52" i="3"/>
  <c r="G52" i="3"/>
  <c r="H52" i="3"/>
  <c r="H47" i="3"/>
  <c r="G47" i="3"/>
  <c r="F47" i="3"/>
  <c r="E47" i="3"/>
  <c r="D47" i="3"/>
  <c r="B47" i="3"/>
  <c r="B38" i="3"/>
  <c r="D38" i="3"/>
  <c r="E38" i="3"/>
  <c r="F38" i="3"/>
  <c r="G38" i="3"/>
  <c r="H38" i="3"/>
  <c r="B39" i="3"/>
  <c r="D39" i="3"/>
  <c r="E39" i="3"/>
  <c r="F39" i="3"/>
  <c r="G39" i="3"/>
  <c r="H39" i="3"/>
  <c r="B40" i="3"/>
  <c r="D40" i="3"/>
  <c r="E40" i="3"/>
  <c r="F40" i="3"/>
  <c r="G40" i="3"/>
  <c r="H40" i="3"/>
  <c r="B41" i="3"/>
  <c r="D41" i="3"/>
  <c r="E41" i="3"/>
  <c r="F41" i="3"/>
  <c r="G41" i="3"/>
  <c r="H41" i="3"/>
  <c r="B42" i="3"/>
  <c r="D42" i="3"/>
  <c r="E42" i="3"/>
  <c r="F42" i="3"/>
  <c r="G42" i="3"/>
  <c r="H42" i="3"/>
  <c r="B43" i="3"/>
  <c r="D43" i="3"/>
  <c r="E43" i="3"/>
  <c r="F43" i="3"/>
  <c r="G43" i="3"/>
  <c r="H43" i="3"/>
  <c r="B44" i="3"/>
  <c r="D44" i="3"/>
  <c r="E44" i="3"/>
  <c r="F44" i="3"/>
  <c r="G44" i="3"/>
  <c r="H44" i="3"/>
  <c r="B45" i="3"/>
  <c r="D45" i="3"/>
  <c r="E45" i="3"/>
  <c r="F45" i="3"/>
  <c r="G45" i="3"/>
  <c r="H45" i="3"/>
  <c r="B46" i="3"/>
  <c r="D46" i="3"/>
  <c r="E46" i="3"/>
  <c r="F46" i="3"/>
  <c r="G46" i="3"/>
  <c r="H46" i="3"/>
  <c r="H37" i="3"/>
  <c r="G37" i="3"/>
  <c r="F37" i="3"/>
  <c r="E37" i="3"/>
  <c r="D37" i="3"/>
  <c r="B37" i="3"/>
  <c r="B28" i="3"/>
  <c r="D28" i="3"/>
  <c r="E28" i="3"/>
  <c r="F28" i="3"/>
  <c r="G28" i="3"/>
  <c r="H28" i="3"/>
  <c r="B29" i="3"/>
  <c r="D29" i="3"/>
  <c r="E29" i="3"/>
  <c r="F29" i="3"/>
  <c r="G29" i="3"/>
  <c r="H29" i="3"/>
  <c r="B30" i="3"/>
  <c r="D30" i="3"/>
  <c r="E30" i="3"/>
  <c r="F30" i="3"/>
  <c r="G30" i="3"/>
  <c r="H30" i="3"/>
  <c r="B31" i="3"/>
  <c r="D31" i="3"/>
  <c r="E31" i="3"/>
  <c r="F31" i="3"/>
  <c r="G31" i="3"/>
  <c r="H31" i="3"/>
  <c r="B32" i="3"/>
  <c r="D32" i="3"/>
  <c r="E32" i="3"/>
  <c r="F32" i="3"/>
  <c r="G32" i="3"/>
  <c r="H32" i="3"/>
  <c r="B33" i="3"/>
  <c r="D33" i="3"/>
  <c r="E33" i="3"/>
  <c r="F33" i="3"/>
  <c r="G33" i="3"/>
  <c r="H33" i="3"/>
  <c r="B34" i="3"/>
  <c r="D34" i="3"/>
  <c r="E34" i="3"/>
  <c r="F34" i="3"/>
  <c r="G34" i="3"/>
  <c r="H34" i="3"/>
  <c r="B35" i="3"/>
  <c r="D35" i="3"/>
  <c r="E35" i="3"/>
  <c r="F35" i="3"/>
  <c r="G35" i="3"/>
  <c r="H35" i="3"/>
  <c r="B36" i="3"/>
  <c r="D36" i="3"/>
  <c r="E36" i="3"/>
  <c r="F36" i="3"/>
  <c r="G36" i="3"/>
  <c r="H36" i="3"/>
  <c r="H27" i="3"/>
  <c r="G27" i="3"/>
  <c r="F27" i="3"/>
  <c r="E27" i="3"/>
  <c r="D27" i="3"/>
  <c r="B27" i="3"/>
  <c r="B18" i="3"/>
  <c r="D18" i="3"/>
  <c r="E18" i="3"/>
  <c r="F18" i="3"/>
  <c r="G18" i="3"/>
  <c r="H18" i="3"/>
  <c r="B19" i="3"/>
  <c r="D19" i="3"/>
  <c r="E19" i="3"/>
  <c r="F19" i="3"/>
  <c r="G19" i="3"/>
  <c r="H19" i="3"/>
  <c r="B20" i="3"/>
  <c r="D20" i="3"/>
  <c r="E20" i="3"/>
  <c r="F20" i="3"/>
  <c r="G20" i="3"/>
  <c r="H20" i="3"/>
  <c r="B21" i="3"/>
  <c r="D21" i="3"/>
  <c r="E21" i="3"/>
  <c r="F21" i="3"/>
  <c r="G21" i="3"/>
  <c r="H21" i="3"/>
  <c r="B22" i="3"/>
  <c r="D22" i="3"/>
  <c r="E22" i="3"/>
  <c r="F22" i="3"/>
  <c r="G22" i="3"/>
  <c r="H22" i="3"/>
  <c r="B23" i="3"/>
  <c r="D23" i="3"/>
  <c r="E23" i="3"/>
  <c r="F23" i="3"/>
  <c r="G23" i="3"/>
  <c r="H23" i="3"/>
  <c r="B24" i="3"/>
  <c r="D24" i="3"/>
  <c r="E24" i="3"/>
  <c r="F24" i="3"/>
  <c r="G24" i="3"/>
  <c r="H24" i="3"/>
  <c r="B25" i="3"/>
  <c r="D25" i="3"/>
  <c r="E25" i="3"/>
  <c r="F25" i="3"/>
  <c r="G25" i="3"/>
  <c r="H25" i="3"/>
  <c r="B26" i="3"/>
  <c r="D26" i="3"/>
  <c r="E26" i="3"/>
  <c r="F26" i="3"/>
  <c r="G26" i="3"/>
  <c r="H26" i="3"/>
  <c r="H17" i="3"/>
  <c r="G17" i="3"/>
  <c r="F17" i="3"/>
  <c r="E17" i="3"/>
  <c r="D17" i="3"/>
  <c r="B17" i="3"/>
  <c r="B8" i="3"/>
  <c r="D8" i="3"/>
  <c r="E8" i="3"/>
  <c r="F8" i="3"/>
  <c r="G8" i="3"/>
  <c r="H8" i="3"/>
  <c r="B9" i="3"/>
  <c r="D9" i="3"/>
  <c r="E9" i="3"/>
  <c r="F9" i="3"/>
  <c r="G9" i="3"/>
  <c r="H9" i="3"/>
  <c r="B10" i="3"/>
  <c r="D10" i="3"/>
  <c r="E10" i="3"/>
  <c r="F10" i="3"/>
  <c r="G10" i="3"/>
  <c r="H10" i="3"/>
  <c r="B11" i="3"/>
  <c r="D11" i="3"/>
  <c r="E11" i="3"/>
  <c r="F11" i="3"/>
  <c r="G11" i="3"/>
  <c r="H11" i="3"/>
  <c r="B12" i="3"/>
  <c r="D12" i="3"/>
  <c r="E12" i="3"/>
  <c r="F12" i="3"/>
  <c r="G12" i="3"/>
  <c r="H12" i="3"/>
  <c r="B13" i="3"/>
  <c r="D13" i="3"/>
  <c r="E13" i="3"/>
  <c r="F13" i="3"/>
  <c r="G13" i="3"/>
  <c r="H13" i="3"/>
  <c r="B14" i="3"/>
  <c r="D14" i="3"/>
  <c r="E14" i="3"/>
  <c r="F14" i="3"/>
  <c r="G14" i="3"/>
  <c r="H14" i="3"/>
  <c r="B15" i="3"/>
  <c r="D15" i="3"/>
  <c r="E15" i="3"/>
  <c r="F15" i="3"/>
  <c r="G15" i="3"/>
  <c r="H15" i="3"/>
  <c r="B16" i="3"/>
  <c r="D16" i="3"/>
  <c r="E16" i="3"/>
  <c r="F16" i="3"/>
  <c r="G16" i="3"/>
  <c r="H16" i="3"/>
  <c r="H7" i="3"/>
  <c r="G7" i="3"/>
  <c r="F7" i="3"/>
  <c r="E7" i="3"/>
  <c r="D7" i="3"/>
  <c r="B7" i="3"/>
  <c r="B48" i="2"/>
  <c r="D48" i="2"/>
  <c r="E48" i="2"/>
  <c r="F48" i="2"/>
  <c r="G48" i="2"/>
  <c r="H48" i="2"/>
  <c r="B49" i="2"/>
  <c r="D49" i="2"/>
  <c r="E49" i="2"/>
  <c r="F49" i="2"/>
  <c r="G49" i="2"/>
  <c r="H49" i="2"/>
  <c r="B50" i="2"/>
  <c r="D50" i="2"/>
  <c r="E50" i="2"/>
  <c r="F50" i="2"/>
  <c r="G50" i="2"/>
  <c r="H50" i="2"/>
  <c r="B51" i="2"/>
  <c r="D51" i="2"/>
  <c r="E51" i="2"/>
  <c r="F51" i="2"/>
  <c r="G51" i="2"/>
  <c r="H51" i="2"/>
  <c r="B52" i="2"/>
  <c r="D52" i="2"/>
  <c r="E52" i="2"/>
  <c r="F52" i="2"/>
  <c r="G52" i="2"/>
  <c r="H52" i="2"/>
  <c r="H47" i="2"/>
  <c r="G47" i="2"/>
  <c r="F47" i="2"/>
  <c r="E47" i="2"/>
  <c r="D47" i="2"/>
  <c r="B47" i="2"/>
  <c r="B38" i="2"/>
  <c r="D38" i="2"/>
  <c r="E38" i="2"/>
  <c r="F38" i="2"/>
  <c r="G38" i="2"/>
  <c r="H38" i="2"/>
  <c r="B39" i="2"/>
  <c r="D39" i="2"/>
  <c r="E39" i="2"/>
  <c r="F39" i="2"/>
  <c r="G39" i="2"/>
  <c r="H39" i="2"/>
  <c r="B40" i="2"/>
  <c r="D40" i="2"/>
  <c r="E40" i="2"/>
  <c r="F40" i="2"/>
  <c r="G40" i="2"/>
  <c r="H40" i="2"/>
  <c r="B41" i="2"/>
  <c r="D41" i="2"/>
  <c r="E41" i="2"/>
  <c r="F41" i="2"/>
  <c r="G41" i="2"/>
  <c r="H41" i="2"/>
  <c r="B42" i="2"/>
  <c r="D42" i="2"/>
  <c r="E42" i="2"/>
  <c r="F42" i="2"/>
  <c r="G42" i="2"/>
  <c r="H42" i="2"/>
  <c r="B43" i="2"/>
  <c r="D43" i="2"/>
  <c r="E43" i="2"/>
  <c r="F43" i="2"/>
  <c r="G43" i="2"/>
  <c r="H43" i="2"/>
  <c r="B44" i="2"/>
  <c r="D44" i="2"/>
  <c r="E44" i="2"/>
  <c r="F44" i="2"/>
  <c r="G44" i="2"/>
  <c r="H44" i="2"/>
  <c r="B45" i="2"/>
  <c r="D45" i="2"/>
  <c r="E45" i="2"/>
  <c r="F45" i="2"/>
  <c r="G45" i="2"/>
  <c r="H45" i="2"/>
  <c r="B46" i="2"/>
  <c r="D46" i="2"/>
  <c r="E46" i="2"/>
  <c r="F46" i="2"/>
  <c r="G46" i="2"/>
  <c r="H46" i="2"/>
  <c r="F37" i="2"/>
  <c r="H37" i="2"/>
  <c r="G37" i="2"/>
  <c r="E37" i="2"/>
  <c r="D37" i="2"/>
  <c r="B37" i="2"/>
  <c r="B28" i="2"/>
  <c r="D28" i="2"/>
  <c r="E28" i="2"/>
  <c r="F28" i="2"/>
  <c r="G28" i="2"/>
  <c r="H28" i="2"/>
  <c r="B29" i="2"/>
  <c r="D29" i="2"/>
  <c r="E29" i="2"/>
  <c r="F29" i="2"/>
  <c r="G29" i="2"/>
  <c r="H29" i="2"/>
  <c r="B30" i="2"/>
  <c r="D30" i="2"/>
  <c r="E30" i="2"/>
  <c r="F30" i="2"/>
  <c r="G30" i="2"/>
  <c r="H30" i="2"/>
  <c r="B31" i="2"/>
  <c r="D31" i="2"/>
  <c r="E31" i="2"/>
  <c r="F31" i="2"/>
  <c r="G31" i="2"/>
  <c r="H31" i="2"/>
  <c r="B32" i="2"/>
  <c r="D32" i="2"/>
  <c r="E32" i="2"/>
  <c r="F32" i="2"/>
  <c r="G32" i="2"/>
  <c r="H32" i="2"/>
  <c r="B33" i="2"/>
  <c r="D33" i="2"/>
  <c r="E33" i="2"/>
  <c r="F33" i="2"/>
  <c r="G33" i="2"/>
  <c r="H33" i="2"/>
  <c r="B34" i="2"/>
  <c r="D34" i="2"/>
  <c r="E34" i="2"/>
  <c r="F34" i="2"/>
  <c r="G34" i="2"/>
  <c r="H34" i="2"/>
  <c r="B35" i="2"/>
  <c r="D35" i="2"/>
  <c r="E35" i="2"/>
  <c r="F35" i="2"/>
  <c r="G35" i="2"/>
  <c r="H35" i="2"/>
  <c r="B36" i="2"/>
  <c r="D36" i="2"/>
  <c r="E36" i="2"/>
  <c r="F36" i="2"/>
  <c r="G36" i="2"/>
  <c r="H36" i="2"/>
  <c r="H27" i="2"/>
  <c r="G27" i="2"/>
  <c r="F27" i="2"/>
  <c r="E27" i="2"/>
  <c r="D27" i="2"/>
  <c r="B27" i="2"/>
  <c r="B18" i="2"/>
  <c r="D18" i="2"/>
  <c r="E18" i="2"/>
  <c r="F18" i="2"/>
  <c r="G18" i="2"/>
  <c r="H18" i="2"/>
  <c r="B19" i="2"/>
  <c r="D19" i="2"/>
  <c r="E19" i="2"/>
  <c r="F19" i="2"/>
  <c r="G19" i="2"/>
  <c r="H19" i="2"/>
  <c r="B20" i="2"/>
  <c r="D20" i="2"/>
  <c r="E20" i="2"/>
  <c r="F20" i="2"/>
  <c r="G20" i="2"/>
  <c r="H20" i="2"/>
  <c r="B21" i="2"/>
  <c r="D21" i="2"/>
  <c r="E21" i="2"/>
  <c r="F21" i="2"/>
  <c r="G21" i="2"/>
  <c r="H21" i="2"/>
  <c r="B22" i="2"/>
  <c r="D22" i="2"/>
  <c r="E22" i="2"/>
  <c r="F22" i="2"/>
  <c r="G22" i="2"/>
  <c r="H22" i="2"/>
  <c r="B23" i="2"/>
  <c r="D23" i="2"/>
  <c r="E23" i="2"/>
  <c r="F23" i="2"/>
  <c r="G23" i="2"/>
  <c r="H23" i="2"/>
  <c r="B24" i="2"/>
  <c r="D24" i="2"/>
  <c r="E24" i="2"/>
  <c r="F24" i="2"/>
  <c r="G24" i="2"/>
  <c r="H24" i="2"/>
  <c r="B25" i="2"/>
  <c r="D25" i="2"/>
  <c r="E25" i="2"/>
  <c r="F25" i="2"/>
  <c r="G25" i="2"/>
  <c r="H25" i="2"/>
  <c r="B26" i="2"/>
  <c r="D26" i="2"/>
  <c r="E26" i="2"/>
  <c r="F26" i="2"/>
  <c r="G26" i="2"/>
  <c r="H26" i="2"/>
  <c r="H17" i="2"/>
  <c r="G17" i="2"/>
  <c r="F17" i="2"/>
  <c r="E17" i="2"/>
  <c r="D17" i="2"/>
  <c r="B17" i="2"/>
  <c r="B8" i="2"/>
  <c r="D8" i="2"/>
  <c r="E8" i="2"/>
  <c r="F8" i="2"/>
  <c r="G8" i="2"/>
  <c r="H8" i="2"/>
  <c r="B9" i="2"/>
  <c r="D9" i="2"/>
  <c r="E9" i="2"/>
  <c r="F9" i="2"/>
  <c r="G9" i="2"/>
  <c r="H9" i="2"/>
  <c r="B10" i="2"/>
  <c r="D10" i="2"/>
  <c r="E10" i="2"/>
  <c r="F10" i="2"/>
  <c r="G10" i="2"/>
  <c r="H10" i="2"/>
  <c r="B11" i="2"/>
  <c r="D11" i="2"/>
  <c r="E11" i="2"/>
  <c r="F11" i="2"/>
  <c r="G11" i="2"/>
  <c r="H11" i="2"/>
  <c r="B12" i="2"/>
  <c r="D12" i="2"/>
  <c r="E12" i="2"/>
  <c r="F12" i="2"/>
  <c r="G12" i="2"/>
  <c r="H12" i="2"/>
  <c r="B13" i="2"/>
  <c r="D13" i="2"/>
  <c r="E13" i="2"/>
  <c r="F13" i="2"/>
  <c r="G13" i="2"/>
  <c r="H13" i="2"/>
  <c r="B14" i="2"/>
  <c r="D14" i="2"/>
  <c r="E14" i="2"/>
  <c r="F14" i="2"/>
  <c r="G14" i="2"/>
  <c r="H14" i="2"/>
  <c r="B15" i="2"/>
  <c r="D15" i="2"/>
  <c r="E15" i="2"/>
  <c r="F15" i="2"/>
  <c r="G15" i="2"/>
  <c r="H15" i="2"/>
  <c r="B16" i="2"/>
  <c r="D16" i="2"/>
  <c r="E16" i="2"/>
  <c r="F16" i="2"/>
  <c r="G16" i="2"/>
  <c r="H16" i="2"/>
  <c r="H7" i="2"/>
  <c r="G7" i="2"/>
  <c r="F7" i="2"/>
  <c r="E7" i="2"/>
  <c r="D7" i="2"/>
  <c r="B7" i="2"/>
  <c r="AK36" i="19"/>
  <c r="AL36" i="19"/>
  <c r="AM36" i="19"/>
  <c r="AN36" i="19"/>
  <c r="AO36" i="19"/>
  <c r="AP36" i="19"/>
  <c r="AK37" i="19"/>
  <c r="AL37" i="19"/>
  <c r="AM37" i="19"/>
  <c r="AN37" i="19"/>
  <c r="AO37" i="19"/>
  <c r="AP37" i="19"/>
  <c r="AK38" i="19"/>
  <c r="AL38" i="19"/>
  <c r="AM38" i="19"/>
  <c r="AN38" i="19"/>
  <c r="AO38" i="19"/>
  <c r="AP38" i="19"/>
  <c r="AK39" i="19"/>
  <c r="AL39" i="19"/>
  <c r="AM39" i="19"/>
  <c r="AN39" i="19"/>
  <c r="AO39" i="19"/>
  <c r="AP39" i="19"/>
  <c r="AK40" i="19"/>
  <c r="AL40" i="19"/>
  <c r="AM40" i="19"/>
  <c r="AN40" i="19"/>
  <c r="AO40" i="19"/>
  <c r="AP40" i="19"/>
  <c r="AK41" i="19"/>
  <c r="AL41" i="19"/>
  <c r="AM41" i="19"/>
  <c r="AN41" i="19"/>
  <c r="AO41" i="19"/>
  <c r="AP41" i="19"/>
  <c r="AP35" i="19"/>
  <c r="AO35" i="19"/>
  <c r="AN35" i="19"/>
  <c r="AM35" i="19"/>
  <c r="AL35" i="19"/>
  <c r="AK35" i="19"/>
  <c r="AK28" i="19"/>
  <c r="AL28" i="19"/>
  <c r="AM28" i="19"/>
  <c r="AN28" i="19"/>
  <c r="AO28" i="19"/>
  <c r="AP28" i="19"/>
  <c r="AK29" i="19"/>
  <c r="AL29" i="19"/>
  <c r="AM29" i="19"/>
  <c r="AN29" i="19"/>
  <c r="AO29" i="19"/>
  <c r="AP29" i="19"/>
  <c r="AK30" i="19"/>
  <c r="AL30" i="19"/>
  <c r="AM30" i="19"/>
  <c r="AN30" i="19"/>
  <c r="AO30" i="19"/>
  <c r="AP30" i="19"/>
  <c r="AK31" i="19"/>
  <c r="AL31" i="19"/>
  <c r="AM31" i="19"/>
  <c r="AN31" i="19"/>
  <c r="AO31" i="19"/>
  <c r="AP31" i="19"/>
  <c r="AK32" i="19"/>
  <c r="AL32" i="19"/>
  <c r="AM32" i="19"/>
  <c r="AN32" i="19"/>
  <c r="AO32" i="19"/>
  <c r="AP32" i="19"/>
  <c r="AK33" i="19"/>
  <c r="AL33" i="19"/>
  <c r="AM33" i="19"/>
  <c r="AN33" i="19"/>
  <c r="AO33" i="19"/>
  <c r="AP33" i="19"/>
  <c r="AP27" i="19"/>
  <c r="AO27" i="19"/>
  <c r="AN27" i="19"/>
  <c r="AM27" i="19"/>
  <c r="AL27" i="19"/>
  <c r="AK27" i="19"/>
  <c r="AK20" i="19"/>
  <c r="AL20" i="19"/>
  <c r="AM20" i="19"/>
  <c r="AN20" i="19"/>
  <c r="AO20" i="19"/>
  <c r="AP20" i="19"/>
  <c r="AK21" i="19"/>
  <c r="AL21" i="19"/>
  <c r="AM21" i="19"/>
  <c r="AN21" i="19"/>
  <c r="AO21" i="19"/>
  <c r="AP21" i="19"/>
  <c r="AK22" i="19"/>
  <c r="AL22" i="19"/>
  <c r="AM22" i="19"/>
  <c r="AN22" i="19"/>
  <c r="AO22" i="19"/>
  <c r="AP22" i="19"/>
  <c r="AK23" i="19"/>
  <c r="AL23" i="19"/>
  <c r="AM23" i="19"/>
  <c r="AN23" i="19"/>
  <c r="AO23" i="19"/>
  <c r="AP23" i="19"/>
  <c r="AK24" i="19"/>
  <c r="AL24" i="19"/>
  <c r="AM24" i="19"/>
  <c r="AN24" i="19"/>
  <c r="AO24" i="19"/>
  <c r="AP24" i="19"/>
  <c r="AK25" i="19"/>
  <c r="AL25" i="19"/>
  <c r="AM25" i="19"/>
  <c r="AN25" i="19"/>
  <c r="AO25" i="19"/>
  <c r="AP25" i="19"/>
  <c r="AP19" i="19"/>
  <c r="AO19" i="19"/>
  <c r="AN19" i="19"/>
  <c r="AM19" i="19"/>
  <c r="AL19" i="19"/>
  <c r="AK19" i="19"/>
  <c r="AK12" i="19"/>
  <c r="AL12" i="19"/>
  <c r="AM12" i="19"/>
  <c r="AN12" i="19"/>
  <c r="AO12" i="19"/>
  <c r="AP12" i="19"/>
  <c r="AK13" i="19"/>
  <c r="AL13" i="19"/>
  <c r="AM13" i="19"/>
  <c r="AN13" i="19"/>
  <c r="AO13" i="19"/>
  <c r="AP13" i="19"/>
  <c r="AK14" i="19"/>
  <c r="AL14" i="19"/>
  <c r="AM14" i="19"/>
  <c r="AN14" i="19"/>
  <c r="AO14" i="19"/>
  <c r="AP14" i="19"/>
  <c r="AK15" i="19"/>
  <c r="AL15" i="19"/>
  <c r="AM15" i="19"/>
  <c r="AN15" i="19"/>
  <c r="AO15" i="19"/>
  <c r="AP15" i="19"/>
  <c r="AK16" i="19"/>
  <c r="AL16" i="19"/>
  <c r="AM16" i="19"/>
  <c r="AN16" i="19"/>
  <c r="AO16" i="19"/>
  <c r="AP16" i="19"/>
  <c r="AK17" i="19"/>
  <c r="AL17" i="19"/>
  <c r="AM17" i="19"/>
  <c r="AN17" i="19"/>
  <c r="AO17" i="19"/>
  <c r="AP17" i="19"/>
  <c r="AP11" i="19"/>
  <c r="AO11" i="19"/>
  <c r="AN11" i="19"/>
  <c r="AM11" i="19"/>
  <c r="AL11" i="19"/>
  <c r="AK11" i="19"/>
  <c r="AK4" i="19"/>
  <c r="AL4" i="19"/>
  <c r="AM4" i="19"/>
  <c r="AN4" i="19"/>
  <c r="AO4" i="19"/>
  <c r="AP4" i="19"/>
  <c r="AK5" i="19"/>
  <c r="AL5" i="19"/>
  <c r="AM5" i="19"/>
  <c r="AN5" i="19"/>
  <c r="AO5" i="19"/>
  <c r="AP5" i="19"/>
  <c r="AK6" i="19"/>
  <c r="AL6" i="19"/>
  <c r="AM6" i="19"/>
  <c r="AN6" i="19"/>
  <c r="AO6" i="19"/>
  <c r="AP6" i="19"/>
  <c r="AK7" i="19"/>
  <c r="AL7" i="19"/>
  <c r="AM7" i="19"/>
  <c r="AN7" i="19"/>
  <c r="AO7" i="19"/>
  <c r="AP7" i="19"/>
  <c r="AK8" i="19"/>
  <c r="AL8" i="19"/>
  <c r="AM8" i="19"/>
  <c r="AN8" i="19"/>
  <c r="AO8" i="19"/>
  <c r="AP8" i="19"/>
  <c r="AK9" i="19"/>
  <c r="AL9" i="19"/>
  <c r="AM9" i="19"/>
  <c r="AN9" i="19"/>
  <c r="AO9" i="19"/>
  <c r="AP9" i="19"/>
  <c r="AP3" i="19"/>
  <c r="AO3" i="19"/>
  <c r="AN3" i="19"/>
  <c r="AM3" i="19"/>
  <c r="AL3" i="19"/>
  <c r="AK3" i="19"/>
  <c r="AP42" i="19"/>
  <c r="AO42" i="19"/>
  <c r="AN42" i="19"/>
  <c r="AM42" i="19"/>
  <c r="AL42" i="19"/>
  <c r="AK42" i="19"/>
  <c r="AP34" i="19"/>
  <c r="AO34" i="19"/>
  <c r="AN34" i="19"/>
  <c r="AM34" i="19"/>
  <c r="AL34" i="19"/>
  <c r="AK34" i="19"/>
  <c r="AP26" i="19"/>
  <c r="AO26" i="19"/>
  <c r="AN26" i="19"/>
  <c r="AM26" i="19"/>
  <c r="AL26" i="19"/>
  <c r="AK26" i="19"/>
  <c r="AP18" i="19"/>
  <c r="AO18" i="19"/>
  <c r="AN18" i="19"/>
  <c r="AM18" i="19"/>
  <c r="AL18" i="19"/>
  <c r="AK18" i="19"/>
  <c r="AP10" i="19"/>
  <c r="AO10" i="19"/>
  <c r="AN10" i="19"/>
  <c r="AM10" i="19"/>
  <c r="AL10" i="19"/>
  <c r="AK10" i="19"/>
  <c r="Z36" i="19"/>
  <c r="AA36" i="19"/>
  <c r="AB36" i="19"/>
  <c r="AC36" i="19"/>
  <c r="AD36" i="19"/>
  <c r="AE36" i="19"/>
  <c r="Z37" i="19"/>
  <c r="AA37" i="19"/>
  <c r="AB37" i="19"/>
  <c r="AC37" i="19"/>
  <c r="AD37" i="19"/>
  <c r="AE37" i="19"/>
  <c r="Z38" i="19"/>
  <c r="AA38" i="19"/>
  <c r="AB38" i="19"/>
  <c r="AC38" i="19"/>
  <c r="AD38" i="19"/>
  <c r="AE38" i="19"/>
  <c r="Z39" i="19"/>
  <c r="AA39" i="19"/>
  <c r="AB39" i="19"/>
  <c r="AC39" i="19"/>
  <c r="AD39" i="19"/>
  <c r="AE39" i="19"/>
  <c r="Z40" i="19"/>
  <c r="AA40" i="19"/>
  <c r="AB40" i="19"/>
  <c r="AC40" i="19"/>
  <c r="AD40" i="19"/>
  <c r="AE40" i="19"/>
  <c r="Z41" i="19"/>
  <c r="AA41" i="19"/>
  <c r="AB41" i="19"/>
  <c r="AC41" i="19"/>
  <c r="AD41" i="19"/>
  <c r="AE41" i="19"/>
  <c r="AE35" i="19"/>
  <c r="AD35" i="19"/>
  <c r="AC35" i="19"/>
  <c r="AB35" i="19"/>
  <c r="AA35" i="19"/>
  <c r="Z35" i="19"/>
  <c r="Z28" i="19"/>
  <c r="AA28" i="19"/>
  <c r="AB28" i="19"/>
  <c r="AC28" i="19"/>
  <c r="AD28" i="19"/>
  <c r="AE28" i="19"/>
  <c r="Z29" i="19"/>
  <c r="AA29" i="19"/>
  <c r="AB29" i="19"/>
  <c r="AC29" i="19"/>
  <c r="AD29" i="19"/>
  <c r="AE29" i="19"/>
  <c r="Z30" i="19"/>
  <c r="AA30" i="19"/>
  <c r="AB30" i="19"/>
  <c r="AC30" i="19"/>
  <c r="AD30" i="19"/>
  <c r="AE30" i="19"/>
  <c r="Z31" i="19"/>
  <c r="AA31" i="19"/>
  <c r="AB31" i="19"/>
  <c r="AC31" i="19"/>
  <c r="AD31" i="19"/>
  <c r="AE31" i="19"/>
  <c r="Z32" i="19"/>
  <c r="AA32" i="19"/>
  <c r="AB32" i="19"/>
  <c r="AC32" i="19"/>
  <c r="AD32" i="19"/>
  <c r="AE32" i="19"/>
  <c r="Z33" i="19"/>
  <c r="AA33" i="19"/>
  <c r="AB33" i="19"/>
  <c r="AC33" i="19"/>
  <c r="AD33" i="19"/>
  <c r="AE33" i="19"/>
  <c r="AE27" i="19"/>
  <c r="AD27" i="19"/>
  <c r="AC27" i="19"/>
  <c r="AB27" i="19"/>
  <c r="AA27" i="19"/>
  <c r="Z27" i="19"/>
  <c r="Z20" i="19"/>
  <c r="AA20" i="19"/>
  <c r="AB20" i="19"/>
  <c r="AC20" i="19"/>
  <c r="AD20" i="19"/>
  <c r="AE20" i="19"/>
  <c r="Z21" i="19"/>
  <c r="AA21" i="19"/>
  <c r="AB21" i="19"/>
  <c r="AC21" i="19"/>
  <c r="AD21" i="19"/>
  <c r="AE21" i="19"/>
  <c r="Z22" i="19"/>
  <c r="AA22" i="19"/>
  <c r="AB22" i="19"/>
  <c r="AC22" i="19"/>
  <c r="AD22" i="19"/>
  <c r="AE22" i="19"/>
  <c r="Z23" i="19"/>
  <c r="AA23" i="19"/>
  <c r="AB23" i="19"/>
  <c r="AC23" i="19"/>
  <c r="AD23" i="19"/>
  <c r="AE23" i="19"/>
  <c r="Z24" i="19"/>
  <c r="AA24" i="19"/>
  <c r="AB24" i="19"/>
  <c r="AC24" i="19"/>
  <c r="AD24" i="19"/>
  <c r="AE24" i="19"/>
  <c r="Z25" i="19"/>
  <c r="AA25" i="19"/>
  <c r="AB25" i="19"/>
  <c r="AC25" i="19"/>
  <c r="AD25" i="19"/>
  <c r="AE25" i="19"/>
  <c r="AE19" i="19"/>
  <c r="AD19" i="19"/>
  <c r="AC19" i="19"/>
  <c r="AB19" i="19"/>
  <c r="AA19" i="19"/>
  <c r="Z19" i="19"/>
  <c r="Z12" i="19"/>
  <c r="AA12" i="19"/>
  <c r="AB12" i="19"/>
  <c r="AC12" i="19"/>
  <c r="AD12" i="19"/>
  <c r="AE12" i="19"/>
  <c r="Z13" i="19"/>
  <c r="AA13" i="19"/>
  <c r="AB13" i="19"/>
  <c r="AC13" i="19"/>
  <c r="AD13" i="19"/>
  <c r="AE13" i="19"/>
  <c r="Z14" i="19"/>
  <c r="AA14" i="19"/>
  <c r="AB14" i="19"/>
  <c r="AC14" i="19"/>
  <c r="AD14" i="19"/>
  <c r="AE14" i="19"/>
  <c r="Z15" i="19"/>
  <c r="AA15" i="19"/>
  <c r="AB15" i="19"/>
  <c r="AC15" i="19"/>
  <c r="AD15" i="19"/>
  <c r="AE15" i="19"/>
  <c r="Z16" i="19"/>
  <c r="AA16" i="19"/>
  <c r="AB16" i="19"/>
  <c r="AC16" i="19"/>
  <c r="AD16" i="19"/>
  <c r="AE16" i="19"/>
  <c r="Z17" i="19"/>
  <c r="AA17" i="19"/>
  <c r="AB17" i="19"/>
  <c r="AC17" i="19"/>
  <c r="AD17" i="19"/>
  <c r="AE17" i="19"/>
  <c r="AE11" i="19"/>
  <c r="AD11" i="19"/>
  <c r="AC11" i="19"/>
  <c r="AB11" i="19"/>
  <c r="AA11" i="19"/>
  <c r="Z11" i="19"/>
  <c r="Z4" i="19"/>
  <c r="AA4" i="19"/>
  <c r="AB4" i="19"/>
  <c r="AC4" i="19"/>
  <c r="AD4" i="19"/>
  <c r="AE4" i="19"/>
  <c r="Z5" i="19"/>
  <c r="AA5" i="19"/>
  <c r="AB5" i="19"/>
  <c r="AC5" i="19"/>
  <c r="AD5" i="19"/>
  <c r="AE5" i="19"/>
  <c r="Z6" i="19"/>
  <c r="AA6" i="19"/>
  <c r="AB6" i="19"/>
  <c r="AC6" i="19"/>
  <c r="AD6" i="19"/>
  <c r="AE6" i="19"/>
  <c r="Z7" i="19"/>
  <c r="AA7" i="19"/>
  <c r="AB7" i="19"/>
  <c r="AC7" i="19"/>
  <c r="AD7" i="19"/>
  <c r="AE7" i="19"/>
  <c r="Z8" i="19"/>
  <c r="AA8" i="19"/>
  <c r="AB8" i="19"/>
  <c r="AC8" i="19"/>
  <c r="AD8" i="19"/>
  <c r="AE8" i="19"/>
  <c r="Z9" i="19"/>
  <c r="AA9" i="19"/>
  <c r="AB9" i="19"/>
  <c r="AC9" i="19"/>
  <c r="AD9" i="19"/>
  <c r="AE9" i="19"/>
  <c r="AE3" i="19"/>
  <c r="AD3" i="19"/>
  <c r="AC3" i="19"/>
  <c r="AB3" i="19"/>
  <c r="AA3" i="19"/>
  <c r="Z3" i="19"/>
  <c r="AE42" i="19"/>
  <c r="AD42" i="19"/>
  <c r="AC42" i="19"/>
  <c r="AB42" i="19"/>
  <c r="AA42" i="19"/>
  <c r="Z42" i="19"/>
  <c r="AE34" i="19"/>
  <c r="AD34" i="19"/>
  <c r="AC34" i="19"/>
  <c r="AB34" i="19"/>
  <c r="AA34" i="19"/>
  <c r="Z34" i="19"/>
  <c r="AE26" i="19"/>
  <c r="AD26" i="19"/>
  <c r="AC26" i="19"/>
  <c r="AB26" i="19"/>
  <c r="AA26" i="19"/>
  <c r="Z26" i="19"/>
  <c r="T18" i="19"/>
  <c r="S18" i="19"/>
  <c r="AE18" i="19"/>
  <c r="AD18" i="19"/>
  <c r="AC18" i="19"/>
  <c r="AB18" i="19"/>
  <c r="AA18" i="19"/>
  <c r="Z18" i="19"/>
  <c r="AE10" i="19"/>
  <c r="AD10" i="19"/>
  <c r="AC10" i="19"/>
  <c r="AB10" i="19"/>
  <c r="AA10" i="19"/>
  <c r="Z10" i="19"/>
  <c r="T10" i="19"/>
  <c r="S10" i="19"/>
  <c r="R10" i="19"/>
  <c r="Q10" i="19"/>
  <c r="P10" i="19"/>
  <c r="I10" i="19"/>
  <c r="H10" i="19"/>
  <c r="G10" i="19"/>
  <c r="F15" i="1" s="1"/>
  <c r="F10" i="19"/>
  <c r="E10" i="19"/>
  <c r="O36" i="19"/>
  <c r="P36" i="19"/>
  <c r="Q36" i="19"/>
  <c r="R36" i="19"/>
  <c r="S36" i="19"/>
  <c r="T36" i="19"/>
  <c r="O37" i="19"/>
  <c r="P37" i="19"/>
  <c r="Q37" i="19"/>
  <c r="R37" i="19"/>
  <c r="S37" i="19"/>
  <c r="T37" i="19"/>
  <c r="O38" i="19"/>
  <c r="P38" i="19"/>
  <c r="Q38" i="19"/>
  <c r="R38" i="19"/>
  <c r="S38" i="19"/>
  <c r="T38" i="19"/>
  <c r="O39" i="19"/>
  <c r="P39" i="19"/>
  <c r="Q39" i="19"/>
  <c r="R39" i="19"/>
  <c r="S39" i="19"/>
  <c r="T39" i="19"/>
  <c r="O40" i="19"/>
  <c r="P40" i="19"/>
  <c r="Q40" i="19"/>
  <c r="R40" i="19"/>
  <c r="S40" i="19"/>
  <c r="T40" i="19"/>
  <c r="O41" i="19"/>
  <c r="P41" i="19"/>
  <c r="Q41" i="19"/>
  <c r="R41" i="19"/>
  <c r="S41" i="19"/>
  <c r="T41" i="19"/>
  <c r="T35" i="19"/>
  <c r="S35" i="19"/>
  <c r="R35" i="19"/>
  <c r="Q35" i="19"/>
  <c r="P35" i="19"/>
  <c r="O35" i="19"/>
  <c r="O28" i="19"/>
  <c r="P28" i="19"/>
  <c r="Q28" i="19"/>
  <c r="R28" i="19"/>
  <c r="S28" i="19"/>
  <c r="T28" i="19"/>
  <c r="O29" i="19"/>
  <c r="P29" i="19"/>
  <c r="Q29" i="19"/>
  <c r="R29" i="19"/>
  <c r="S29" i="19"/>
  <c r="T29" i="19"/>
  <c r="O30" i="19"/>
  <c r="P30" i="19"/>
  <c r="Q30" i="19"/>
  <c r="R30" i="19"/>
  <c r="S30" i="19"/>
  <c r="T30" i="19"/>
  <c r="O31" i="19"/>
  <c r="P31" i="19"/>
  <c r="Q31" i="19"/>
  <c r="R31" i="19"/>
  <c r="S31" i="19"/>
  <c r="T31" i="19"/>
  <c r="O32" i="19"/>
  <c r="P32" i="19"/>
  <c r="Q32" i="19"/>
  <c r="R32" i="19"/>
  <c r="S32" i="19"/>
  <c r="T32" i="19"/>
  <c r="O33" i="19"/>
  <c r="P33" i="19"/>
  <c r="Q33" i="19"/>
  <c r="R33" i="19"/>
  <c r="S33" i="19"/>
  <c r="T33" i="19"/>
  <c r="T27" i="19"/>
  <c r="S27" i="19"/>
  <c r="R27" i="19"/>
  <c r="Q27" i="19"/>
  <c r="P27" i="19"/>
  <c r="O27" i="19"/>
  <c r="O20" i="19"/>
  <c r="P20" i="19"/>
  <c r="Q20" i="19"/>
  <c r="R20" i="19"/>
  <c r="S20" i="19"/>
  <c r="T20" i="19"/>
  <c r="O21" i="19"/>
  <c r="P21" i="19"/>
  <c r="Q21" i="19"/>
  <c r="R21" i="19"/>
  <c r="S21" i="19"/>
  <c r="T21" i="19"/>
  <c r="O22" i="19"/>
  <c r="P22" i="19"/>
  <c r="Q22" i="19"/>
  <c r="R22" i="19"/>
  <c r="S22" i="19"/>
  <c r="T22" i="19"/>
  <c r="O23" i="19"/>
  <c r="P23" i="19"/>
  <c r="Q23" i="19"/>
  <c r="R23" i="19"/>
  <c r="S23" i="19"/>
  <c r="T23" i="19"/>
  <c r="O24" i="19"/>
  <c r="P24" i="19"/>
  <c r="Q24" i="19"/>
  <c r="R24" i="19"/>
  <c r="S24" i="19"/>
  <c r="T24" i="19"/>
  <c r="O25" i="19"/>
  <c r="P25" i="19"/>
  <c r="Q25" i="19"/>
  <c r="R25" i="19"/>
  <c r="S25" i="19"/>
  <c r="T25" i="19"/>
  <c r="T19" i="19"/>
  <c r="S19" i="19"/>
  <c r="R19" i="19"/>
  <c r="Q19" i="19"/>
  <c r="P19" i="19"/>
  <c r="O19" i="19"/>
  <c r="T42" i="19"/>
  <c r="S42" i="19"/>
  <c r="R42" i="19"/>
  <c r="Q42" i="19"/>
  <c r="P42" i="19"/>
  <c r="O42" i="19"/>
  <c r="T34" i="19"/>
  <c r="S34" i="19"/>
  <c r="R34" i="19"/>
  <c r="Q34" i="19"/>
  <c r="P34" i="19"/>
  <c r="O34" i="19"/>
  <c r="T26" i="19"/>
  <c r="S26" i="19"/>
  <c r="R26" i="19"/>
  <c r="Q26" i="19"/>
  <c r="O12" i="19"/>
  <c r="P12" i="19"/>
  <c r="Q12" i="19"/>
  <c r="R12" i="19"/>
  <c r="S12" i="19"/>
  <c r="O13" i="19"/>
  <c r="P13" i="19"/>
  <c r="Q13" i="19"/>
  <c r="R13" i="19"/>
  <c r="S13" i="19"/>
  <c r="T13" i="19"/>
  <c r="O14" i="19"/>
  <c r="P14" i="19"/>
  <c r="Q14" i="19"/>
  <c r="R14" i="19"/>
  <c r="S14" i="19"/>
  <c r="O15" i="19"/>
  <c r="P15" i="19"/>
  <c r="Q15" i="19"/>
  <c r="R15" i="19"/>
  <c r="S15" i="19"/>
  <c r="T15" i="19"/>
  <c r="O16" i="19"/>
  <c r="P16" i="19"/>
  <c r="Q16" i="19"/>
  <c r="R16" i="19"/>
  <c r="S16" i="19"/>
  <c r="O17" i="19"/>
  <c r="P17" i="19"/>
  <c r="Q17" i="19"/>
  <c r="R17" i="19"/>
  <c r="S17" i="19"/>
  <c r="T17" i="19"/>
  <c r="S11" i="19"/>
  <c r="R11" i="19"/>
  <c r="Q11" i="19"/>
  <c r="P11" i="19"/>
  <c r="O11" i="19"/>
  <c r="O4" i="19"/>
  <c r="P4" i="19"/>
  <c r="Q4" i="19"/>
  <c r="R4" i="19"/>
  <c r="S4" i="19"/>
  <c r="O5" i="19"/>
  <c r="P5" i="19"/>
  <c r="Q5" i="19"/>
  <c r="R5" i="19"/>
  <c r="S5" i="19"/>
  <c r="O6" i="19"/>
  <c r="P6" i="19"/>
  <c r="Q6" i="19"/>
  <c r="R6" i="19"/>
  <c r="S6" i="19"/>
  <c r="O7" i="19"/>
  <c r="P7" i="19"/>
  <c r="Q7" i="19"/>
  <c r="R7" i="19"/>
  <c r="S7" i="19"/>
  <c r="O8" i="19"/>
  <c r="P8" i="19"/>
  <c r="Q8" i="19"/>
  <c r="R8" i="19"/>
  <c r="S8" i="19"/>
  <c r="O9" i="19"/>
  <c r="P9" i="19"/>
  <c r="Q9" i="19"/>
  <c r="R9" i="19"/>
  <c r="S9" i="19"/>
  <c r="S3" i="19"/>
  <c r="R3" i="19"/>
  <c r="Q3" i="19"/>
  <c r="P3" i="19"/>
  <c r="O3" i="19"/>
  <c r="P26" i="19"/>
  <c r="O26" i="19"/>
  <c r="R18" i="19"/>
  <c r="Q18" i="19"/>
  <c r="P18" i="19"/>
  <c r="O18" i="19"/>
  <c r="O10" i="19"/>
  <c r="B48" i="1"/>
  <c r="D48" i="1"/>
  <c r="E48" i="1"/>
  <c r="F48" i="1"/>
  <c r="G48" i="1"/>
  <c r="H48" i="1"/>
  <c r="B49" i="1"/>
  <c r="D49" i="1"/>
  <c r="E49" i="1"/>
  <c r="F49" i="1"/>
  <c r="G49" i="1"/>
  <c r="H49" i="1"/>
  <c r="B50" i="1"/>
  <c r="D50" i="1"/>
  <c r="E50" i="1"/>
  <c r="F50" i="1"/>
  <c r="G50" i="1"/>
  <c r="H50" i="1"/>
  <c r="B51" i="1"/>
  <c r="D51" i="1"/>
  <c r="E51" i="1"/>
  <c r="F51" i="1"/>
  <c r="G51" i="1"/>
  <c r="H51" i="1"/>
  <c r="B52" i="1"/>
  <c r="D52" i="1"/>
  <c r="E52" i="1"/>
  <c r="F52" i="1"/>
  <c r="G52" i="1"/>
  <c r="H52" i="1"/>
  <c r="H47" i="1"/>
  <c r="G47" i="1"/>
  <c r="F47" i="1"/>
  <c r="E47" i="1"/>
  <c r="D47" i="1"/>
  <c r="B47" i="1"/>
  <c r="B38" i="1"/>
  <c r="D38" i="1"/>
  <c r="E38" i="1"/>
  <c r="F38" i="1"/>
  <c r="G38" i="1"/>
  <c r="H38" i="1"/>
  <c r="B39" i="1"/>
  <c r="D39" i="1"/>
  <c r="E39" i="1"/>
  <c r="F39" i="1"/>
  <c r="G39" i="1"/>
  <c r="H39" i="1"/>
  <c r="B40" i="1"/>
  <c r="D40" i="1"/>
  <c r="E40" i="1"/>
  <c r="F40" i="1"/>
  <c r="G40" i="1"/>
  <c r="H40" i="1"/>
  <c r="B41" i="1"/>
  <c r="D41" i="1"/>
  <c r="E41" i="1"/>
  <c r="F41" i="1"/>
  <c r="G41" i="1"/>
  <c r="H41" i="1"/>
  <c r="B42" i="1"/>
  <c r="D42" i="1"/>
  <c r="E42" i="1"/>
  <c r="F42" i="1"/>
  <c r="G42" i="1"/>
  <c r="H42" i="1"/>
  <c r="B43" i="1"/>
  <c r="D43" i="1"/>
  <c r="E43" i="1"/>
  <c r="F43" i="1"/>
  <c r="G43" i="1"/>
  <c r="H43" i="1"/>
  <c r="B44" i="1"/>
  <c r="D44" i="1"/>
  <c r="E44" i="1"/>
  <c r="F44" i="1"/>
  <c r="G44" i="1"/>
  <c r="H44" i="1"/>
  <c r="B45" i="1"/>
  <c r="D45" i="1"/>
  <c r="E45" i="1"/>
  <c r="F45" i="1"/>
  <c r="G45" i="1"/>
  <c r="H45" i="1"/>
  <c r="B46" i="1"/>
  <c r="D46" i="1"/>
  <c r="E46" i="1"/>
  <c r="F46" i="1"/>
  <c r="G46" i="1"/>
  <c r="H46" i="1"/>
  <c r="H37" i="1"/>
  <c r="G37" i="1"/>
  <c r="F37" i="1"/>
  <c r="E37" i="1"/>
  <c r="D37" i="1"/>
  <c r="B37" i="1"/>
  <c r="B28" i="1"/>
  <c r="D28" i="1"/>
  <c r="E28" i="1"/>
  <c r="F28" i="1"/>
  <c r="G28" i="1"/>
  <c r="H28" i="1"/>
  <c r="B29" i="1"/>
  <c r="D29" i="1"/>
  <c r="E29" i="1"/>
  <c r="F29" i="1"/>
  <c r="G29" i="1"/>
  <c r="H29" i="1"/>
  <c r="B30" i="1"/>
  <c r="D30" i="1"/>
  <c r="E30" i="1"/>
  <c r="F30" i="1"/>
  <c r="G30" i="1"/>
  <c r="H30" i="1"/>
  <c r="B31" i="1"/>
  <c r="D31" i="1"/>
  <c r="E31" i="1"/>
  <c r="F31" i="1"/>
  <c r="G31" i="1"/>
  <c r="H31" i="1"/>
  <c r="B32" i="1"/>
  <c r="D32" i="1"/>
  <c r="E32" i="1"/>
  <c r="F32" i="1"/>
  <c r="G32" i="1"/>
  <c r="H32" i="1"/>
  <c r="B33" i="1"/>
  <c r="D33" i="1"/>
  <c r="E33" i="1"/>
  <c r="F33" i="1"/>
  <c r="G33" i="1"/>
  <c r="H33" i="1"/>
  <c r="B34" i="1"/>
  <c r="D34" i="1"/>
  <c r="E34" i="1"/>
  <c r="F34" i="1"/>
  <c r="G34" i="1"/>
  <c r="H34" i="1"/>
  <c r="B35" i="1"/>
  <c r="D35" i="1"/>
  <c r="E35" i="1"/>
  <c r="F35" i="1"/>
  <c r="G35" i="1"/>
  <c r="H35" i="1"/>
  <c r="B36" i="1"/>
  <c r="D36" i="1"/>
  <c r="E36" i="1"/>
  <c r="F36" i="1"/>
  <c r="G36" i="1"/>
  <c r="H36" i="1"/>
  <c r="H27" i="1"/>
  <c r="G27" i="1"/>
  <c r="F27" i="1"/>
  <c r="E27" i="1"/>
  <c r="D27" i="1"/>
  <c r="B27" i="1"/>
  <c r="B18" i="1"/>
  <c r="D18" i="1"/>
  <c r="E18" i="1"/>
  <c r="F18" i="1"/>
  <c r="G18" i="1"/>
  <c r="H18" i="1"/>
  <c r="B19" i="1"/>
  <c r="D19" i="1"/>
  <c r="E19" i="1"/>
  <c r="F19" i="1"/>
  <c r="G19" i="1"/>
  <c r="H19" i="1"/>
  <c r="B20" i="1"/>
  <c r="D20" i="1"/>
  <c r="E20" i="1"/>
  <c r="F20" i="1"/>
  <c r="G20" i="1"/>
  <c r="H20" i="1"/>
  <c r="B21" i="1"/>
  <c r="D21" i="1"/>
  <c r="E21" i="1"/>
  <c r="F21" i="1"/>
  <c r="G21" i="1"/>
  <c r="H21" i="1"/>
  <c r="B22" i="1"/>
  <c r="D22" i="1"/>
  <c r="E22" i="1"/>
  <c r="F22" i="1"/>
  <c r="G22" i="1"/>
  <c r="H22" i="1"/>
  <c r="B23" i="1"/>
  <c r="D23" i="1"/>
  <c r="E23" i="1"/>
  <c r="F23" i="1"/>
  <c r="G23" i="1"/>
  <c r="H23" i="1"/>
  <c r="B24" i="1"/>
  <c r="D24" i="1"/>
  <c r="E24" i="1"/>
  <c r="F24" i="1"/>
  <c r="G24" i="1"/>
  <c r="H24" i="1"/>
  <c r="B25" i="1"/>
  <c r="D25" i="1"/>
  <c r="E25" i="1"/>
  <c r="F25" i="1"/>
  <c r="G25" i="1"/>
  <c r="H25" i="1"/>
  <c r="B26" i="1"/>
  <c r="D26" i="1"/>
  <c r="E26" i="1"/>
  <c r="F26" i="1"/>
  <c r="G26" i="1"/>
  <c r="H26" i="1"/>
  <c r="H17" i="1"/>
  <c r="G17" i="1"/>
  <c r="F17" i="1"/>
  <c r="E17" i="1"/>
  <c r="D17" i="1"/>
  <c r="B17" i="1"/>
  <c r="D15" i="1"/>
  <c r="E15" i="1"/>
  <c r="G15" i="1"/>
  <c r="H15" i="1"/>
  <c r="D16" i="1"/>
  <c r="E16" i="1"/>
  <c r="F16" i="1"/>
  <c r="G16" i="1"/>
  <c r="H16" i="1"/>
  <c r="B15" i="1"/>
  <c r="B16" i="1"/>
  <c r="B8" i="1"/>
  <c r="D8" i="1"/>
  <c r="E8" i="1"/>
  <c r="F8" i="1"/>
  <c r="G8" i="1"/>
  <c r="H8" i="1"/>
  <c r="B9" i="1"/>
  <c r="D9" i="1"/>
  <c r="E9" i="1"/>
  <c r="F9" i="1"/>
  <c r="G9" i="1"/>
  <c r="H9" i="1"/>
  <c r="B10" i="1"/>
  <c r="D10" i="1"/>
  <c r="E10" i="1"/>
  <c r="F10" i="1"/>
  <c r="G10" i="1"/>
  <c r="H10" i="1"/>
  <c r="B11" i="1"/>
  <c r="D11" i="1"/>
  <c r="E11" i="1"/>
  <c r="F11" i="1"/>
  <c r="G11" i="1"/>
  <c r="H11" i="1"/>
  <c r="B12" i="1"/>
  <c r="D12" i="1"/>
  <c r="E12" i="1"/>
  <c r="F12" i="1"/>
  <c r="G12" i="1"/>
  <c r="H12" i="1"/>
  <c r="B13" i="1"/>
  <c r="D13" i="1"/>
  <c r="E13" i="1"/>
  <c r="F13" i="1"/>
  <c r="G13" i="1"/>
  <c r="H13" i="1"/>
  <c r="B14" i="1"/>
  <c r="D14" i="1"/>
  <c r="E14" i="1"/>
  <c r="F14" i="1"/>
  <c r="G14" i="1"/>
  <c r="H14" i="1"/>
  <c r="H7" i="1"/>
  <c r="G7" i="1"/>
  <c r="E7" i="1"/>
  <c r="D7" i="1"/>
  <c r="B7" i="1"/>
  <c r="D36" i="19"/>
  <c r="E36" i="19"/>
  <c r="F36" i="19"/>
  <c r="G36" i="19"/>
  <c r="H36" i="19"/>
  <c r="I36" i="19"/>
  <c r="D37" i="19"/>
  <c r="E37" i="19"/>
  <c r="F37" i="19"/>
  <c r="G37" i="19"/>
  <c r="H37" i="19"/>
  <c r="I37" i="19"/>
  <c r="D38" i="19"/>
  <c r="E38" i="19"/>
  <c r="F38" i="19"/>
  <c r="G38" i="19"/>
  <c r="H38" i="19"/>
  <c r="I38" i="19"/>
  <c r="D39" i="19"/>
  <c r="E39" i="19"/>
  <c r="F39" i="19"/>
  <c r="G39" i="19"/>
  <c r="H39" i="19"/>
  <c r="I39" i="19"/>
  <c r="D40" i="19"/>
  <c r="E40" i="19"/>
  <c r="F40" i="19"/>
  <c r="G40" i="19"/>
  <c r="H40" i="19"/>
  <c r="I40" i="19"/>
  <c r="D41" i="19"/>
  <c r="E41" i="19"/>
  <c r="F41" i="19"/>
  <c r="G41" i="19"/>
  <c r="H41" i="19"/>
  <c r="I41" i="19"/>
  <c r="I35" i="19"/>
  <c r="H35" i="19"/>
  <c r="G35" i="19"/>
  <c r="F35" i="19"/>
  <c r="E35" i="19"/>
  <c r="D35" i="19"/>
  <c r="D28" i="19"/>
  <c r="E28" i="19"/>
  <c r="F28" i="19"/>
  <c r="G28" i="19"/>
  <c r="H28" i="19"/>
  <c r="I28" i="19"/>
  <c r="D29" i="19"/>
  <c r="E29" i="19"/>
  <c r="F29" i="19"/>
  <c r="G29" i="19"/>
  <c r="H29" i="19"/>
  <c r="I29" i="19"/>
  <c r="D30" i="19"/>
  <c r="E30" i="19"/>
  <c r="F30" i="19"/>
  <c r="G30" i="19"/>
  <c r="H30" i="19"/>
  <c r="I30" i="19"/>
  <c r="D31" i="19"/>
  <c r="E31" i="19"/>
  <c r="F31" i="19"/>
  <c r="G31" i="19"/>
  <c r="H31" i="19"/>
  <c r="I31" i="19"/>
  <c r="D32" i="19"/>
  <c r="E32" i="19"/>
  <c r="F32" i="19"/>
  <c r="G32" i="19"/>
  <c r="H32" i="19"/>
  <c r="I32" i="19"/>
  <c r="D33" i="19"/>
  <c r="E33" i="19"/>
  <c r="F33" i="19"/>
  <c r="G33" i="19"/>
  <c r="H33" i="19"/>
  <c r="I33" i="19"/>
  <c r="I27" i="19"/>
  <c r="H27" i="19"/>
  <c r="G27" i="19"/>
  <c r="F27" i="19"/>
  <c r="E27" i="19"/>
  <c r="D27" i="19"/>
  <c r="D20" i="19"/>
  <c r="E20" i="19"/>
  <c r="F20" i="19"/>
  <c r="G20" i="19"/>
  <c r="H20" i="19"/>
  <c r="I20" i="19"/>
  <c r="D21" i="19"/>
  <c r="E21" i="19"/>
  <c r="F21" i="19"/>
  <c r="G21" i="19"/>
  <c r="H21" i="19"/>
  <c r="I21" i="19"/>
  <c r="D22" i="19"/>
  <c r="E22" i="19"/>
  <c r="F22" i="19"/>
  <c r="G22" i="19"/>
  <c r="H22" i="19"/>
  <c r="I22" i="19"/>
  <c r="D23" i="19"/>
  <c r="E23" i="19"/>
  <c r="F23" i="19"/>
  <c r="G23" i="19"/>
  <c r="H23" i="19"/>
  <c r="I23" i="19"/>
  <c r="D24" i="19"/>
  <c r="E24" i="19"/>
  <c r="F24" i="19"/>
  <c r="G24" i="19"/>
  <c r="H24" i="19"/>
  <c r="I24" i="19"/>
  <c r="D25" i="19"/>
  <c r="E25" i="19"/>
  <c r="F25" i="19"/>
  <c r="G25" i="19"/>
  <c r="H25" i="19"/>
  <c r="I25" i="19"/>
  <c r="I19" i="19"/>
  <c r="H19" i="19"/>
  <c r="G19" i="19"/>
  <c r="F19" i="19"/>
  <c r="E19" i="19"/>
  <c r="D19" i="19"/>
  <c r="D12" i="19"/>
  <c r="E12" i="19"/>
  <c r="F12" i="19"/>
  <c r="G12" i="19"/>
  <c r="H12" i="19"/>
  <c r="I12" i="19"/>
  <c r="D13" i="19"/>
  <c r="E13" i="19"/>
  <c r="F13" i="19"/>
  <c r="G13" i="19"/>
  <c r="H13" i="19"/>
  <c r="I13" i="19"/>
  <c r="D14" i="19"/>
  <c r="E14" i="19"/>
  <c r="F14" i="19"/>
  <c r="G14" i="19"/>
  <c r="H14" i="19"/>
  <c r="I14" i="19"/>
  <c r="D15" i="19"/>
  <c r="E15" i="19"/>
  <c r="F15" i="19"/>
  <c r="G15" i="19"/>
  <c r="H15" i="19"/>
  <c r="I15" i="19"/>
  <c r="D16" i="19"/>
  <c r="E16" i="19"/>
  <c r="F16" i="19"/>
  <c r="G16" i="19"/>
  <c r="H16" i="19"/>
  <c r="I16" i="19"/>
  <c r="D17" i="19"/>
  <c r="E17" i="19"/>
  <c r="F17" i="19"/>
  <c r="G17" i="19"/>
  <c r="H17" i="19"/>
  <c r="I17" i="19"/>
  <c r="I11" i="19"/>
  <c r="H11" i="19"/>
  <c r="G11" i="19"/>
  <c r="F11" i="19"/>
  <c r="E11" i="19"/>
  <c r="D11" i="19"/>
  <c r="I9" i="19"/>
  <c r="H9" i="19"/>
  <c r="F9" i="19"/>
  <c r="E9" i="19"/>
  <c r="D9" i="19"/>
  <c r="I8" i="19"/>
  <c r="H8" i="19"/>
  <c r="F8" i="19"/>
  <c r="E8" i="19"/>
  <c r="D8" i="19"/>
  <c r="I7" i="19"/>
  <c r="H7" i="19"/>
  <c r="F7" i="19"/>
  <c r="E7" i="19"/>
  <c r="D7" i="19"/>
  <c r="I6" i="19"/>
  <c r="I5" i="19"/>
  <c r="H5" i="19"/>
  <c r="G5" i="19"/>
  <c r="F5" i="19"/>
  <c r="E5" i="19"/>
  <c r="D5" i="19"/>
  <c r="E4" i="19"/>
  <c r="I4" i="19"/>
  <c r="H4" i="19"/>
  <c r="F4" i="19"/>
  <c r="D4" i="19"/>
  <c r="I3" i="19"/>
  <c r="H3" i="19"/>
  <c r="G3" i="19"/>
  <c r="F3" i="19"/>
  <c r="E3" i="19"/>
  <c r="D3" i="19"/>
  <c r="H6" i="19"/>
  <c r="F6" i="19"/>
  <c r="E6" i="19"/>
  <c r="D6" i="19"/>
  <c r="I42" i="19"/>
  <c r="H42" i="19"/>
  <c r="G42" i="19"/>
  <c r="F42" i="19"/>
  <c r="E42" i="19"/>
  <c r="D42" i="19"/>
  <c r="I34" i="19"/>
  <c r="H34" i="19"/>
  <c r="G34" i="19"/>
  <c r="F34" i="19"/>
  <c r="E34" i="19"/>
  <c r="D34" i="19"/>
  <c r="I26" i="19"/>
  <c r="H26" i="19"/>
  <c r="G26" i="19"/>
  <c r="F26" i="19"/>
  <c r="E26" i="19"/>
  <c r="D26" i="19"/>
  <c r="I18" i="19"/>
  <c r="H18" i="19"/>
  <c r="G18" i="19"/>
  <c r="F18" i="19"/>
  <c r="E18" i="19"/>
  <c r="D18" i="19"/>
  <c r="D10" i="19"/>
  <c r="D4" i="1"/>
  <c r="T16" i="19" l="1"/>
  <c r="T14" i="19"/>
  <c r="T12" i="19"/>
  <c r="T11" i="19"/>
  <c r="T9" i="19"/>
  <c r="T7" i="19"/>
  <c r="T5" i="19"/>
  <c r="T8" i="19"/>
  <c r="T6" i="19"/>
  <c r="T4" i="19"/>
  <c r="T3" i="19"/>
  <c r="G4" i="19"/>
  <c r="G8" i="19"/>
  <c r="F7" i="1"/>
  <c r="G6" i="19"/>
  <c r="G7" i="19"/>
  <c r="G9" i="19"/>
  <c r="H4" i="17" l="1"/>
  <c r="G4" i="17"/>
  <c r="F4" i="17"/>
  <c r="E27" i="17" s="1"/>
  <c r="E4" i="17"/>
  <c r="D4" i="17"/>
  <c r="B4" i="17"/>
  <c r="AD3" i="17"/>
  <c r="AC3" i="17"/>
  <c r="AB3" i="17"/>
  <c r="AB4" i="17" s="1"/>
  <c r="AA3" i="17"/>
  <c r="Z3" i="17"/>
  <c r="X3" i="17"/>
  <c r="S3" i="17"/>
  <c r="R3" i="17"/>
  <c r="Q3" i="17"/>
  <c r="P3" i="17"/>
  <c r="O3" i="17"/>
  <c r="M3" i="17"/>
  <c r="H8" i="16"/>
  <c r="G8" i="16"/>
  <c r="F8" i="16"/>
  <c r="D108" i="16" s="1"/>
  <c r="E8" i="16"/>
  <c r="D8" i="16"/>
  <c r="B8" i="16"/>
  <c r="H7" i="16"/>
  <c r="G7" i="16"/>
  <c r="F7" i="16"/>
  <c r="E7" i="16"/>
  <c r="D7" i="16"/>
  <c r="B7" i="16"/>
  <c r="H6" i="16"/>
  <c r="G6" i="16"/>
  <c r="F6" i="16"/>
  <c r="F71" i="16" s="1"/>
  <c r="E6" i="16"/>
  <c r="D6" i="16"/>
  <c r="B6" i="16"/>
  <c r="H5" i="16"/>
  <c r="G5" i="16"/>
  <c r="F5" i="16"/>
  <c r="E50" i="16" s="1"/>
  <c r="E5" i="16"/>
  <c r="D5" i="16"/>
  <c r="B5" i="16"/>
  <c r="H4" i="16"/>
  <c r="G4" i="16"/>
  <c r="F4" i="16"/>
  <c r="D31" i="16" s="1"/>
  <c r="E4" i="16"/>
  <c r="D4" i="16"/>
  <c r="B4" i="16"/>
  <c r="AD3" i="16"/>
  <c r="AD8" i="16" s="1"/>
  <c r="AC3" i="16"/>
  <c r="AC7" i="16" s="1"/>
  <c r="AB3" i="16"/>
  <c r="AB5" i="16" s="1"/>
  <c r="AA3" i="16"/>
  <c r="Z3" i="16"/>
  <c r="Z4" i="16" s="1"/>
  <c r="X3" i="16"/>
  <c r="X4" i="16" s="1"/>
  <c r="S3" i="16"/>
  <c r="S5" i="16" s="1"/>
  <c r="R3" i="16"/>
  <c r="R8" i="16" s="1"/>
  <c r="Q3" i="16"/>
  <c r="Q8" i="16" s="1"/>
  <c r="P3" i="16"/>
  <c r="P7" i="16" s="1"/>
  <c r="O3" i="16"/>
  <c r="O5" i="16" s="1"/>
  <c r="M3" i="16"/>
  <c r="B8" i="15"/>
  <c r="D8" i="15"/>
  <c r="E8" i="15"/>
  <c r="F8" i="15"/>
  <c r="G109" i="15" s="1"/>
  <c r="G8" i="15"/>
  <c r="H8" i="15"/>
  <c r="B7" i="15"/>
  <c r="D7" i="15"/>
  <c r="E7" i="15"/>
  <c r="F7" i="15"/>
  <c r="G83" i="15" s="1"/>
  <c r="G7" i="15"/>
  <c r="H7" i="15"/>
  <c r="H6" i="15"/>
  <c r="G6" i="15"/>
  <c r="F6" i="15"/>
  <c r="G58" i="15" s="1"/>
  <c r="E6" i="15"/>
  <c r="D6" i="15"/>
  <c r="B6" i="15"/>
  <c r="H5" i="15"/>
  <c r="G5" i="15"/>
  <c r="F5" i="15"/>
  <c r="G35" i="15" s="1"/>
  <c r="E5" i="15"/>
  <c r="D5" i="15"/>
  <c r="B5" i="15"/>
  <c r="H4" i="15"/>
  <c r="G4" i="15"/>
  <c r="F4" i="15"/>
  <c r="D12" i="15" s="1"/>
  <c r="E4" i="15"/>
  <c r="D4" i="15"/>
  <c r="B4" i="15"/>
  <c r="AD3" i="15"/>
  <c r="AD6" i="15" s="1"/>
  <c r="AC3" i="15"/>
  <c r="AC5" i="15" s="1"/>
  <c r="AB3" i="15"/>
  <c r="AB5" i="15" s="1"/>
  <c r="AC50" i="15" s="1"/>
  <c r="AA3" i="15"/>
  <c r="AA6" i="15" s="1"/>
  <c r="Z3" i="15"/>
  <c r="Z6" i="15" s="1"/>
  <c r="X3" i="15"/>
  <c r="X5" i="15" s="1"/>
  <c r="S3" i="15"/>
  <c r="S5" i="15" s="1"/>
  <c r="R3" i="15"/>
  <c r="R6" i="15" s="1"/>
  <c r="Q3" i="15"/>
  <c r="Q5" i="15" s="1"/>
  <c r="O48" i="15" s="1"/>
  <c r="P3" i="15"/>
  <c r="P5" i="15" s="1"/>
  <c r="O3" i="15"/>
  <c r="O5" i="15" s="1"/>
  <c r="M3" i="15"/>
  <c r="M6" i="15" s="1"/>
  <c r="H4" i="14"/>
  <c r="G4" i="14"/>
  <c r="F4" i="14"/>
  <c r="G10" i="14" s="1"/>
  <c r="E4" i="14"/>
  <c r="D4" i="14"/>
  <c r="B4" i="14"/>
  <c r="AD3" i="14"/>
  <c r="AC3" i="14"/>
  <c r="AB3" i="14"/>
  <c r="AA3" i="14"/>
  <c r="Z3" i="14"/>
  <c r="X3" i="14"/>
  <c r="S3" i="14"/>
  <c r="R3" i="14"/>
  <c r="Q3" i="14"/>
  <c r="P3" i="14"/>
  <c r="O3" i="14"/>
  <c r="M3" i="14"/>
  <c r="H6" i="13"/>
  <c r="G6" i="13"/>
  <c r="F6" i="13"/>
  <c r="G38" i="13" s="1"/>
  <c r="E6" i="13"/>
  <c r="D6" i="13"/>
  <c r="B6" i="13"/>
  <c r="H5" i="13"/>
  <c r="G5" i="13"/>
  <c r="F5" i="13"/>
  <c r="E5" i="13"/>
  <c r="D5" i="13"/>
  <c r="B5" i="13"/>
  <c r="H4" i="13"/>
  <c r="G4" i="13"/>
  <c r="F4" i="13"/>
  <c r="G16" i="13" s="1"/>
  <c r="E4" i="13"/>
  <c r="D4" i="13"/>
  <c r="B4" i="13"/>
  <c r="AD3" i="13"/>
  <c r="AD5" i="13" s="1"/>
  <c r="AC3" i="13"/>
  <c r="AC5" i="13" s="1"/>
  <c r="AB3" i="13"/>
  <c r="AB5" i="13" s="1"/>
  <c r="AC25" i="13" s="1"/>
  <c r="AA3" i="13"/>
  <c r="Z3" i="13"/>
  <c r="Z5" i="13" s="1"/>
  <c r="X3" i="13"/>
  <c r="S3" i="13"/>
  <c r="S5" i="13" s="1"/>
  <c r="R3" i="13"/>
  <c r="R5" i="13" s="1"/>
  <c r="Q3" i="13"/>
  <c r="Q5" i="13" s="1"/>
  <c r="R29" i="13" s="1"/>
  <c r="P3" i="13"/>
  <c r="P5" i="13" s="1"/>
  <c r="O3" i="13"/>
  <c r="O5" i="13" s="1"/>
  <c r="M3" i="13"/>
  <c r="M5" i="13" s="1"/>
  <c r="H6" i="20"/>
  <c r="G6" i="20"/>
  <c r="F6" i="20"/>
  <c r="G38" i="20" s="1"/>
  <c r="E6" i="20"/>
  <c r="D6" i="20"/>
  <c r="B6" i="20"/>
  <c r="S7" i="1" s="1"/>
  <c r="H5" i="20"/>
  <c r="G5" i="20"/>
  <c r="F5" i="20"/>
  <c r="G23" i="20" s="1"/>
  <c r="E5" i="20"/>
  <c r="D5" i="20"/>
  <c r="B5" i="20"/>
  <c r="H4" i="20"/>
  <c r="G4" i="20"/>
  <c r="F4" i="20"/>
  <c r="E4" i="20"/>
  <c r="D4" i="20"/>
  <c r="B4" i="20"/>
  <c r="AD3" i="20"/>
  <c r="AD5" i="20" s="1"/>
  <c r="AC3" i="20"/>
  <c r="AC5" i="20" s="1"/>
  <c r="AB3" i="20"/>
  <c r="AB5" i="20" s="1"/>
  <c r="AC23" i="20" s="1"/>
  <c r="AA3" i="20"/>
  <c r="AA6" i="20" s="1"/>
  <c r="Z3" i="20"/>
  <c r="Z5" i="20" s="1"/>
  <c r="X3" i="20"/>
  <c r="X5" i="20" s="1"/>
  <c r="S3" i="20"/>
  <c r="S5" i="20" s="1"/>
  <c r="R3" i="20"/>
  <c r="R6" i="20" s="1"/>
  <c r="Q3" i="20"/>
  <c r="Q5" i="20" s="1"/>
  <c r="P3" i="20"/>
  <c r="P5" i="20" s="1"/>
  <c r="O3" i="20"/>
  <c r="O5" i="20" s="1"/>
  <c r="M3" i="20"/>
  <c r="M6" i="20" s="1"/>
  <c r="H6" i="12"/>
  <c r="G6" i="12"/>
  <c r="F6" i="12"/>
  <c r="G39" i="12" s="1"/>
  <c r="E6" i="12"/>
  <c r="D6" i="12"/>
  <c r="B6" i="12"/>
  <c r="H5" i="12"/>
  <c r="G5" i="12"/>
  <c r="F5" i="12"/>
  <c r="G25" i="12" s="1"/>
  <c r="E5" i="12"/>
  <c r="D5" i="12"/>
  <c r="B5" i="12"/>
  <c r="H4" i="12"/>
  <c r="G4" i="12"/>
  <c r="F4" i="12"/>
  <c r="G10" i="12" s="1"/>
  <c r="E4" i="12"/>
  <c r="D4" i="12"/>
  <c r="B4" i="12"/>
  <c r="AD3" i="12"/>
  <c r="AD6" i="12" s="1"/>
  <c r="AC3" i="12"/>
  <c r="AC5" i="12" s="1"/>
  <c r="AB3" i="12"/>
  <c r="AB6" i="12" s="1"/>
  <c r="AA3" i="12"/>
  <c r="AA5" i="12" s="1"/>
  <c r="Z3" i="12"/>
  <c r="Z6" i="12" s="1"/>
  <c r="X3" i="12"/>
  <c r="X5" i="12" s="1"/>
  <c r="S3" i="12"/>
  <c r="S4" i="12" s="1"/>
  <c r="R3" i="12"/>
  <c r="R5" i="12" s="1"/>
  <c r="Q3" i="12"/>
  <c r="Q6" i="12" s="1"/>
  <c r="R38" i="12" s="1"/>
  <c r="P3" i="12"/>
  <c r="P5" i="12" s="1"/>
  <c r="O3" i="12"/>
  <c r="O6" i="12" s="1"/>
  <c r="M3" i="12"/>
  <c r="M5" i="12" s="1"/>
  <c r="H4" i="11"/>
  <c r="G4" i="11"/>
  <c r="F4" i="11"/>
  <c r="G9" i="11" s="1"/>
  <c r="E4" i="11"/>
  <c r="D4" i="11"/>
  <c r="B4" i="11"/>
  <c r="AD3" i="11"/>
  <c r="AC3" i="11"/>
  <c r="AB3" i="11"/>
  <c r="AB4" i="11" s="1"/>
  <c r="AC9" i="11" s="1"/>
  <c r="AA3" i="11"/>
  <c r="Z3" i="11"/>
  <c r="X3" i="11"/>
  <c r="S3" i="11"/>
  <c r="R3" i="11"/>
  <c r="Q3" i="11"/>
  <c r="P3" i="11"/>
  <c r="O3" i="11"/>
  <c r="O4" i="11" s="1"/>
  <c r="M3" i="11"/>
  <c r="B8" i="10"/>
  <c r="D8" i="10"/>
  <c r="E8" i="10"/>
  <c r="F8" i="10"/>
  <c r="G64" i="10" s="1"/>
  <c r="G8" i="10"/>
  <c r="H8" i="10"/>
  <c r="H7" i="10"/>
  <c r="G7" i="10"/>
  <c r="F7" i="10"/>
  <c r="G59" i="10" s="1"/>
  <c r="E7" i="10"/>
  <c r="D7" i="10"/>
  <c r="B7" i="10"/>
  <c r="H6" i="10"/>
  <c r="G6" i="10"/>
  <c r="F6" i="10"/>
  <c r="G38" i="10" s="1"/>
  <c r="E6" i="10"/>
  <c r="D6" i="10"/>
  <c r="B6" i="10"/>
  <c r="H5" i="10"/>
  <c r="G5" i="10"/>
  <c r="F5" i="10"/>
  <c r="G32" i="10" s="1"/>
  <c r="E5" i="10"/>
  <c r="D5" i="10"/>
  <c r="B5" i="10"/>
  <c r="H4" i="10"/>
  <c r="G4" i="10"/>
  <c r="F4" i="10"/>
  <c r="G16" i="10" s="1"/>
  <c r="E4" i="10"/>
  <c r="D4" i="10"/>
  <c r="B4" i="10"/>
  <c r="AD3" i="10"/>
  <c r="AD7" i="10" s="1"/>
  <c r="AC3" i="10"/>
  <c r="AC7" i="10" s="1"/>
  <c r="AB3" i="10"/>
  <c r="AA3" i="10"/>
  <c r="AA7" i="10" s="1"/>
  <c r="Z3" i="10"/>
  <c r="Z7" i="10" s="1"/>
  <c r="X3" i="10"/>
  <c r="X5" i="10" s="1"/>
  <c r="S3" i="10"/>
  <c r="R3" i="10"/>
  <c r="R7" i="10" s="1"/>
  <c r="Q3" i="10"/>
  <c r="Q7" i="10" s="1"/>
  <c r="R52" i="10" s="1"/>
  <c r="P3" i="10"/>
  <c r="P5" i="10" s="1"/>
  <c r="O3" i="10"/>
  <c r="M3" i="10"/>
  <c r="M7" i="10" s="1"/>
  <c r="H7" i="9"/>
  <c r="G7" i="9"/>
  <c r="F7" i="9"/>
  <c r="G53" i="9" s="1"/>
  <c r="E7" i="9"/>
  <c r="D7" i="9"/>
  <c r="B7" i="9"/>
  <c r="O10" i="1" s="1"/>
  <c r="H6" i="9"/>
  <c r="G6" i="9"/>
  <c r="F6" i="9"/>
  <c r="E37" i="9" s="1"/>
  <c r="E6" i="9"/>
  <c r="D6" i="9"/>
  <c r="B6" i="9"/>
  <c r="H5" i="9"/>
  <c r="G5" i="9"/>
  <c r="F5" i="9"/>
  <c r="G27" i="9" s="1"/>
  <c r="E5" i="9"/>
  <c r="D5" i="9"/>
  <c r="B5" i="9"/>
  <c r="H4" i="9"/>
  <c r="G4" i="9"/>
  <c r="F4" i="9"/>
  <c r="G12" i="9" s="1"/>
  <c r="E4" i="9"/>
  <c r="D4" i="9"/>
  <c r="B4" i="9"/>
  <c r="AD3" i="9"/>
  <c r="AD5" i="9" s="1"/>
  <c r="AC3" i="9"/>
  <c r="AC5" i="9" s="1"/>
  <c r="AB3" i="9"/>
  <c r="AB5" i="9" s="1"/>
  <c r="AC24" i="9" s="1"/>
  <c r="AA3" i="9"/>
  <c r="Z3" i="9"/>
  <c r="Z6" i="9" s="1"/>
  <c r="X3" i="9"/>
  <c r="X5" i="9" s="1"/>
  <c r="S3" i="9"/>
  <c r="S5" i="9" s="1"/>
  <c r="R3" i="9"/>
  <c r="Q3" i="9"/>
  <c r="Q5" i="9" s="1"/>
  <c r="R24" i="9" s="1"/>
  <c r="P3" i="9"/>
  <c r="P5" i="9" s="1"/>
  <c r="O3" i="9"/>
  <c r="O5" i="9" s="1"/>
  <c r="M3" i="9"/>
  <c r="H5" i="8"/>
  <c r="G5" i="8"/>
  <c r="F5" i="8"/>
  <c r="G25" i="8" s="1"/>
  <c r="E5" i="8"/>
  <c r="D5" i="8"/>
  <c r="B5" i="8"/>
  <c r="N31" i="1" s="1"/>
  <c r="H4" i="8"/>
  <c r="G4" i="8"/>
  <c r="F4" i="8"/>
  <c r="G10" i="8" s="1"/>
  <c r="E4" i="8"/>
  <c r="D4" i="8"/>
  <c r="B4" i="8"/>
  <c r="AD3" i="8"/>
  <c r="AD5" i="8" s="1"/>
  <c r="AC3" i="8"/>
  <c r="AC5" i="8" s="1"/>
  <c r="AB3" i="8"/>
  <c r="AB4" i="8" s="1"/>
  <c r="AC10" i="8" s="1"/>
  <c r="AA3" i="8"/>
  <c r="AA4" i="8" s="1"/>
  <c r="Z3" i="8"/>
  <c r="Z5" i="8" s="1"/>
  <c r="X3" i="8"/>
  <c r="X5" i="8" s="1"/>
  <c r="AR3" i="1" s="1"/>
  <c r="S3" i="8"/>
  <c r="S4" i="8" s="1"/>
  <c r="R3" i="8"/>
  <c r="R4" i="8" s="1"/>
  <c r="Q3" i="8"/>
  <c r="Q5" i="8" s="1"/>
  <c r="R25" i="8" s="1"/>
  <c r="P3" i="8"/>
  <c r="P5" i="8" s="1"/>
  <c r="O3" i="8"/>
  <c r="O4" i="8" s="1"/>
  <c r="M3" i="8"/>
  <c r="M4" i="8" s="1"/>
  <c r="H6" i="7"/>
  <c r="G6" i="7"/>
  <c r="F6" i="7"/>
  <c r="G39" i="7" s="1"/>
  <c r="E6" i="7"/>
  <c r="D6" i="7"/>
  <c r="B6" i="7"/>
  <c r="H5" i="7"/>
  <c r="G5" i="7"/>
  <c r="F5" i="7"/>
  <c r="G26" i="7" s="1"/>
  <c r="E5" i="7"/>
  <c r="D5" i="7"/>
  <c r="B5" i="7"/>
  <c r="H4" i="7"/>
  <c r="G4" i="7"/>
  <c r="F4" i="7"/>
  <c r="G12" i="7" s="1"/>
  <c r="E4" i="7"/>
  <c r="D4" i="7"/>
  <c r="B4" i="7"/>
  <c r="AD3" i="7"/>
  <c r="AD6" i="7" s="1"/>
  <c r="AC3" i="7"/>
  <c r="AC5" i="7" s="1"/>
  <c r="AB3" i="7"/>
  <c r="AB4" i="7" s="1"/>
  <c r="AC13" i="7" s="1"/>
  <c r="AA3" i="7"/>
  <c r="AA5" i="7" s="1"/>
  <c r="Z3" i="7"/>
  <c r="Z6" i="7" s="1"/>
  <c r="X3" i="7"/>
  <c r="X5" i="7" s="1"/>
  <c r="S3" i="7"/>
  <c r="S5" i="7" s="1"/>
  <c r="R3" i="7"/>
  <c r="R5" i="7" s="1"/>
  <c r="Q3" i="7"/>
  <c r="P3" i="7"/>
  <c r="P5" i="7" s="1"/>
  <c r="O3" i="7"/>
  <c r="O5" i="7" s="1"/>
  <c r="M3" i="7"/>
  <c r="M5" i="7" s="1"/>
  <c r="H5" i="6"/>
  <c r="G5" i="6"/>
  <c r="F5" i="6"/>
  <c r="G25" i="6" s="1"/>
  <c r="E5" i="6"/>
  <c r="D5" i="6"/>
  <c r="B5" i="6"/>
  <c r="H4" i="6"/>
  <c r="G4" i="6"/>
  <c r="F4" i="6"/>
  <c r="G9" i="6" s="1"/>
  <c r="E4" i="6"/>
  <c r="D4" i="6"/>
  <c r="B4" i="6"/>
  <c r="AD3" i="6"/>
  <c r="AD4" i="6" s="1"/>
  <c r="AC3" i="6"/>
  <c r="AC5" i="6" s="1"/>
  <c r="AB3" i="6"/>
  <c r="AA3" i="6"/>
  <c r="AA5" i="6" s="1"/>
  <c r="Z3" i="6"/>
  <c r="Z4" i="6" s="1"/>
  <c r="X3" i="6"/>
  <c r="X5" i="6" s="1"/>
  <c r="S3" i="6"/>
  <c r="S5" i="6" s="1"/>
  <c r="R3" i="6"/>
  <c r="R4" i="6" s="1"/>
  <c r="Q3" i="6"/>
  <c r="P3" i="6"/>
  <c r="P5" i="6" s="1"/>
  <c r="O3" i="6"/>
  <c r="O5" i="6" s="1"/>
  <c r="M3" i="6"/>
  <c r="M5" i="6" s="1"/>
  <c r="G9" i="5"/>
  <c r="G16" i="5"/>
  <c r="F9" i="5"/>
  <c r="E9" i="5"/>
  <c r="D9" i="5"/>
  <c r="S3" i="5"/>
  <c r="S4" i="5" s="1"/>
  <c r="R3" i="5"/>
  <c r="R5" i="5" s="1"/>
  <c r="Q3" i="5"/>
  <c r="P3" i="5"/>
  <c r="P5" i="5" s="1"/>
  <c r="O3" i="5"/>
  <c r="O4" i="5" s="1"/>
  <c r="M3" i="5"/>
  <c r="M4" i="5" s="1"/>
  <c r="AD3" i="5"/>
  <c r="AD5" i="5" s="1"/>
  <c r="AC3" i="5"/>
  <c r="AC5" i="5" s="1"/>
  <c r="AB3" i="5"/>
  <c r="AA3" i="5"/>
  <c r="AA4" i="5" s="1"/>
  <c r="Z3" i="5"/>
  <c r="Z5" i="5" s="1"/>
  <c r="X3" i="5"/>
  <c r="X5" i="5" s="1"/>
  <c r="D5" i="5"/>
  <c r="E5" i="5"/>
  <c r="F5" i="5"/>
  <c r="G37" i="5" s="1"/>
  <c r="G5" i="5"/>
  <c r="H5" i="5"/>
  <c r="H4" i="5"/>
  <c r="G4" i="5"/>
  <c r="F4" i="5"/>
  <c r="G22" i="5" s="1"/>
  <c r="E4" i="5"/>
  <c r="D4" i="5"/>
  <c r="D6" i="4"/>
  <c r="B5" i="5"/>
  <c r="B4" i="5"/>
  <c r="B5" i="4"/>
  <c r="D5" i="3"/>
  <c r="E5" i="3"/>
  <c r="F5" i="3"/>
  <c r="G5" i="3"/>
  <c r="H5" i="3"/>
  <c r="D6" i="3"/>
  <c r="E6" i="3"/>
  <c r="F6" i="3"/>
  <c r="G6" i="3"/>
  <c r="H6" i="3"/>
  <c r="H4" i="3"/>
  <c r="G4" i="3"/>
  <c r="F4" i="3"/>
  <c r="E4" i="3"/>
  <c r="D4" i="3"/>
  <c r="D5" i="2"/>
  <c r="E5" i="2"/>
  <c r="F5" i="2"/>
  <c r="G5" i="2"/>
  <c r="H5" i="2"/>
  <c r="D6" i="2"/>
  <c r="E6" i="2"/>
  <c r="F6" i="2"/>
  <c r="G6" i="2"/>
  <c r="H6" i="2"/>
  <c r="H4" i="2"/>
  <c r="G4" i="2"/>
  <c r="F4" i="2"/>
  <c r="E4" i="2"/>
  <c r="D4" i="2"/>
  <c r="D5" i="1"/>
  <c r="E5" i="1"/>
  <c r="F5" i="1"/>
  <c r="G5" i="1"/>
  <c r="H5" i="1"/>
  <c r="D6" i="1"/>
  <c r="E6" i="1"/>
  <c r="F6" i="1"/>
  <c r="G6" i="1"/>
  <c r="H6" i="1"/>
  <c r="H4" i="1"/>
  <c r="G4" i="1"/>
  <c r="F4" i="1"/>
  <c r="E4" i="1"/>
  <c r="B4" i="4"/>
  <c r="D4" i="4"/>
  <c r="E4" i="4"/>
  <c r="F4" i="4"/>
  <c r="G4" i="4"/>
  <c r="H4" i="4"/>
  <c r="D5" i="4"/>
  <c r="E5" i="4"/>
  <c r="F5" i="4"/>
  <c r="G5" i="4"/>
  <c r="H5" i="4"/>
  <c r="B6" i="4"/>
  <c r="E6" i="4"/>
  <c r="F6" i="4"/>
  <c r="G6" i="4"/>
  <c r="H6" i="4"/>
  <c r="U31" i="1" l="1"/>
  <c r="X4" i="1"/>
  <c r="N51" i="1"/>
  <c r="AA49" i="1"/>
  <c r="X46" i="1"/>
  <c r="X38" i="1"/>
  <c r="X30" i="1"/>
  <c r="X26" i="1"/>
  <c r="X14" i="1"/>
  <c r="X6" i="1"/>
  <c r="X49" i="1"/>
  <c r="X41" i="1"/>
  <c r="X33" i="1"/>
  <c r="X25" i="1"/>
  <c r="X17" i="1"/>
  <c r="X9" i="1"/>
  <c r="X52" i="1"/>
  <c r="X48" i="1"/>
  <c r="X44" i="1"/>
  <c r="X36" i="1"/>
  <c r="X32" i="1"/>
  <c r="X28" i="1"/>
  <c r="X24" i="1"/>
  <c r="X20" i="1"/>
  <c r="X16" i="1"/>
  <c r="X12" i="1"/>
  <c r="X8" i="1"/>
  <c r="X6" i="4"/>
  <c r="X10" i="4"/>
  <c r="X14" i="4"/>
  <c r="X18" i="4"/>
  <c r="X22" i="4"/>
  <c r="X26" i="4"/>
  <c r="X30" i="4"/>
  <c r="X34" i="4"/>
  <c r="X38" i="4"/>
  <c r="X42" i="4"/>
  <c r="X46" i="4"/>
  <c r="X50" i="4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3" i="4"/>
  <c r="X7" i="4"/>
  <c r="X11" i="4"/>
  <c r="X15" i="4"/>
  <c r="X19" i="4"/>
  <c r="X23" i="4"/>
  <c r="X27" i="4"/>
  <c r="X31" i="4"/>
  <c r="X35" i="4"/>
  <c r="X39" i="4"/>
  <c r="X43" i="4"/>
  <c r="X47" i="4"/>
  <c r="X51" i="4"/>
  <c r="X5" i="3"/>
  <c r="X9" i="3"/>
  <c r="X13" i="3"/>
  <c r="X17" i="3"/>
  <c r="X21" i="3"/>
  <c r="X25" i="3"/>
  <c r="X29" i="3"/>
  <c r="X33" i="3"/>
  <c r="X37" i="3"/>
  <c r="X41" i="3"/>
  <c r="X45" i="3"/>
  <c r="X49" i="3"/>
  <c r="X5" i="4"/>
  <c r="X13" i="4"/>
  <c r="X21" i="4"/>
  <c r="X29" i="4"/>
  <c r="X37" i="4"/>
  <c r="X45" i="4"/>
  <c r="X7" i="3"/>
  <c r="X15" i="3"/>
  <c r="X23" i="3"/>
  <c r="X31" i="3"/>
  <c r="X39" i="3"/>
  <c r="X47" i="3"/>
  <c r="X4" i="2"/>
  <c r="X8" i="2"/>
  <c r="X12" i="2"/>
  <c r="X16" i="2"/>
  <c r="X20" i="2"/>
  <c r="X24" i="2"/>
  <c r="X28" i="2"/>
  <c r="X32" i="2"/>
  <c r="X36" i="2"/>
  <c r="X40" i="2"/>
  <c r="X44" i="2"/>
  <c r="X48" i="2"/>
  <c r="X52" i="2"/>
  <c r="X17" i="4"/>
  <c r="X33" i="4"/>
  <c r="X49" i="4"/>
  <c r="X8" i="4"/>
  <c r="X16" i="4"/>
  <c r="X24" i="4"/>
  <c r="X32" i="4"/>
  <c r="X40" i="4"/>
  <c r="X48" i="4"/>
  <c r="X10" i="3"/>
  <c r="X18" i="3"/>
  <c r="X26" i="3"/>
  <c r="X34" i="3"/>
  <c r="X42" i="3"/>
  <c r="X50" i="3"/>
  <c r="X5" i="2"/>
  <c r="X9" i="2"/>
  <c r="X13" i="2"/>
  <c r="X17" i="2"/>
  <c r="X21" i="2"/>
  <c r="X25" i="2"/>
  <c r="X29" i="2"/>
  <c r="X33" i="2"/>
  <c r="X37" i="2"/>
  <c r="X41" i="2"/>
  <c r="X45" i="2"/>
  <c r="X49" i="2"/>
  <c r="X9" i="4"/>
  <c r="X25" i="4"/>
  <c r="X41" i="4"/>
  <c r="X28" i="4"/>
  <c r="X11" i="3"/>
  <c r="X27" i="3"/>
  <c r="X43" i="3"/>
  <c r="X6" i="2"/>
  <c r="X14" i="2"/>
  <c r="X22" i="2"/>
  <c r="X30" i="2"/>
  <c r="X38" i="2"/>
  <c r="X46" i="2"/>
  <c r="X18" i="2"/>
  <c r="X26" i="2"/>
  <c r="X34" i="2"/>
  <c r="X42" i="2"/>
  <c r="X50" i="2"/>
  <c r="X20" i="4"/>
  <c r="X52" i="4"/>
  <c r="X6" i="3"/>
  <c r="X22" i="3"/>
  <c r="X38" i="3"/>
  <c r="X3" i="2"/>
  <c r="X11" i="2"/>
  <c r="X19" i="2"/>
  <c r="X27" i="2"/>
  <c r="X35" i="2"/>
  <c r="X43" i="2"/>
  <c r="X51" i="2"/>
  <c r="X4" i="4"/>
  <c r="X36" i="4"/>
  <c r="X14" i="3"/>
  <c r="X30" i="3"/>
  <c r="X46" i="3"/>
  <c r="X7" i="2"/>
  <c r="X15" i="2"/>
  <c r="X23" i="2"/>
  <c r="X31" i="2"/>
  <c r="X39" i="2"/>
  <c r="X47" i="2"/>
  <c r="X12" i="4"/>
  <c r="X44" i="4"/>
  <c r="X3" i="3"/>
  <c r="X19" i="3"/>
  <c r="X35" i="3"/>
  <c r="X51" i="3"/>
  <c r="X10" i="2"/>
  <c r="X50" i="1"/>
  <c r="X42" i="1"/>
  <c r="X34" i="1"/>
  <c r="X22" i="1"/>
  <c r="X18" i="1"/>
  <c r="X10" i="1"/>
  <c r="X45" i="1"/>
  <c r="X37" i="1"/>
  <c r="X29" i="1"/>
  <c r="X21" i="1"/>
  <c r="X13" i="1"/>
  <c r="X5" i="1"/>
  <c r="X40" i="1"/>
  <c r="X51" i="1"/>
  <c r="X47" i="1"/>
  <c r="X43" i="1"/>
  <c r="X39" i="1"/>
  <c r="X35" i="1"/>
  <c r="X31" i="1"/>
  <c r="X27" i="1"/>
  <c r="X23" i="1"/>
  <c r="X19" i="1"/>
  <c r="X15" i="1"/>
  <c r="X11" i="1"/>
  <c r="X7" i="1"/>
  <c r="X3" i="1"/>
  <c r="BA3" i="1"/>
  <c r="W6" i="1"/>
  <c r="W8" i="1"/>
  <c r="AC4" i="16"/>
  <c r="BA28" i="1"/>
  <c r="BA8" i="1"/>
  <c r="BA16" i="1"/>
  <c r="BA24" i="1"/>
  <c r="BA36" i="1"/>
  <c r="BA40" i="1"/>
  <c r="BA48" i="1"/>
  <c r="BA4" i="1"/>
  <c r="BA12" i="1"/>
  <c r="BA20" i="1"/>
  <c r="BA32" i="1"/>
  <c r="BA44" i="1"/>
  <c r="BA52" i="1"/>
  <c r="W52" i="1"/>
  <c r="W44" i="1"/>
  <c r="W36" i="1"/>
  <c r="W28" i="1"/>
  <c r="W20" i="1"/>
  <c r="W12" i="1"/>
  <c r="W4" i="1"/>
  <c r="P4" i="16"/>
  <c r="O7" i="16"/>
  <c r="D60" i="16"/>
  <c r="BA51" i="1"/>
  <c r="BA47" i="1"/>
  <c r="BA43" i="1"/>
  <c r="BA39" i="1"/>
  <c r="BA35" i="1"/>
  <c r="BA31" i="1"/>
  <c r="BA27" i="1"/>
  <c r="BA23" i="1"/>
  <c r="BA19" i="1"/>
  <c r="BA15" i="1"/>
  <c r="BA11" i="1"/>
  <c r="BA7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48" i="1"/>
  <c r="W40" i="1"/>
  <c r="W32" i="1"/>
  <c r="W24" i="1"/>
  <c r="W16" i="1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4" i="2"/>
  <c r="BA8" i="2"/>
  <c r="BA12" i="2"/>
  <c r="BA16" i="2"/>
  <c r="BA20" i="2"/>
  <c r="BA24" i="2"/>
  <c r="BA28" i="2"/>
  <c r="BA5" i="4"/>
  <c r="BA9" i="4"/>
  <c r="BA13" i="4"/>
  <c r="BA17" i="4"/>
  <c r="BA21" i="4"/>
  <c r="BA25" i="4"/>
  <c r="BA29" i="4"/>
  <c r="BA33" i="4"/>
  <c r="BA37" i="4"/>
  <c r="BA41" i="4"/>
  <c r="BA45" i="4"/>
  <c r="BA49" i="4"/>
  <c r="BA5" i="3"/>
  <c r="BA9" i="3"/>
  <c r="BA13" i="3"/>
  <c r="BA17" i="3"/>
  <c r="BA21" i="3"/>
  <c r="BA25" i="3"/>
  <c r="BA29" i="3"/>
  <c r="BA33" i="3"/>
  <c r="BA37" i="3"/>
  <c r="BA41" i="3"/>
  <c r="BA45" i="3"/>
  <c r="BA49" i="3"/>
  <c r="BA5" i="2"/>
  <c r="BA9" i="2"/>
  <c r="BA13" i="2"/>
  <c r="BA17" i="2"/>
  <c r="BA21" i="2"/>
  <c r="BA25" i="2"/>
  <c r="BA6" i="4"/>
  <c r="BA10" i="4"/>
  <c r="BA14" i="4"/>
  <c r="BA18" i="4"/>
  <c r="BA22" i="4"/>
  <c r="BA26" i="4"/>
  <c r="BA30" i="4"/>
  <c r="BA34" i="4"/>
  <c r="BA38" i="4"/>
  <c r="BA42" i="4"/>
  <c r="BA46" i="4"/>
  <c r="BA50" i="4"/>
  <c r="BA6" i="3"/>
  <c r="BA10" i="3"/>
  <c r="BA14" i="3"/>
  <c r="BA18" i="3"/>
  <c r="BA22" i="3"/>
  <c r="BA26" i="3"/>
  <c r="BA30" i="3"/>
  <c r="BA34" i="3"/>
  <c r="BA38" i="3"/>
  <c r="BA42" i="3"/>
  <c r="BA46" i="3"/>
  <c r="BA50" i="3"/>
  <c r="BA6" i="2"/>
  <c r="BA10" i="2"/>
  <c r="BA14" i="2"/>
  <c r="BA18" i="2"/>
  <c r="BA22" i="2"/>
  <c r="BA26" i="2"/>
  <c r="BA30" i="2"/>
  <c r="BA7" i="4"/>
  <c r="BA23" i="4"/>
  <c r="BA39" i="4"/>
  <c r="BA3" i="3"/>
  <c r="BA19" i="3"/>
  <c r="BA35" i="3"/>
  <c r="BA51" i="3"/>
  <c r="BA15" i="2"/>
  <c r="BA29" i="2"/>
  <c r="BA34" i="2"/>
  <c r="BA38" i="2"/>
  <c r="BA42" i="2"/>
  <c r="BA46" i="2"/>
  <c r="BA50" i="2"/>
  <c r="BA23" i="2"/>
  <c r="BA36" i="2"/>
  <c r="BA44" i="2"/>
  <c r="BA19" i="4"/>
  <c r="BA51" i="4"/>
  <c r="BA15" i="3"/>
  <c r="BA11" i="2"/>
  <c r="BA33" i="2"/>
  <c r="BA41" i="2"/>
  <c r="BA49" i="2"/>
  <c r="BA11" i="4"/>
  <c r="BA27" i="4"/>
  <c r="BA43" i="4"/>
  <c r="BA7" i="3"/>
  <c r="BA23" i="3"/>
  <c r="BA39" i="3"/>
  <c r="BA3" i="2"/>
  <c r="BA19" i="2"/>
  <c r="BA31" i="2"/>
  <c r="BA35" i="2"/>
  <c r="BA39" i="2"/>
  <c r="BA43" i="2"/>
  <c r="BA47" i="2"/>
  <c r="BA51" i="2"/>
  <c r="BA7" i="2"/>
  <c r="BA32" i="2"/>
  <c r="BA40" i="2"/>
  <c r="BA48" i="2"/>
  <c r="BA52" i="2"/>
  <c r="BA3" i="4"/>
  <c r="BA35" i="4"/>
  <c r="BA31" i="3"/>
  <c r="BA47" i="3"/>
  <c r="BA27" i="2"/>
  <c r="BA37" i="2"/>
  <c r="BA45" i="2"/>
  <c r="BA15" i="4"/>
  <c r="BA31" i="4"/>
  <c r="BA47" i="4"/>
  <c r="BA11" i="3"/>
  <c r="BA27" i="3"/>
  <c r="BA43" i="3"/>
  <c r="AB7" i="16"/>
  <c r="AC100" i="16" s="1"/>
  <c r="BA50" i="1"/>
  <c r="BA46" i="1"/>
  <c r="BA42" i="1"/>
  <c r="BA38" i="1"/>
  <c r="BA34" i="1"/>
  <c r="BA30" i="1"/>
  <c r="BA26" i="1"/>
  <c r="BA22" i="1"/>
  <c r="BA18" i="1"/>
  <c r="BA14" i="1"/>
  <c r="BA10" i="1"/>
  <c r="BA6" i="1"/>
  <c r="W50" i="1"/>
  <c r="W46" i="1"/>
  <c r="W42" i="1"/>
  <c r="W38" i="1"/>
  <c r="W34" i="1"/>
  <c r="W30" i="1"/>
  <c r="W26" i="1"/>
  <c r="W22" i="1"/>
  <c r="W18" i="1"/>
  <c r="W14" i="1"/>
  <c r="W10" i="1"/>
  <c r="W4" i="4"/>
  <c r="W8" i="4"/>
  <c r="W12" i="4"/>
  <c r="W16" i="4"/>
  <c r="W20" i="4"/>
  <c r="W24" i="4"/>
  <c r="W28" i="4"/>
  <c r="W32" i="4"/>
  <c r="W36" i="4"/>
  <c r="W40" i="4"/>
  <c r="W44" i="4"/>
  <c r="W48" i="4"/>
  <c r="W52" i="4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" i="4"/>
  <c r="W9" i="4"/>
  <c r="W13" i="4"/>
  <c r="W17" i="4"/>
  <c r="W21" i="4"/>
  <c r="W25" i="4"/>
  <c r="W29" i="4"/>
  <c r="W33" i="4"/>
  <c r="W37" i="4"/>
  <c r="W41" i="4"/>
  <c r="W45" i="4"/>
  <c r="W49" i="4"/>
  <c r="W5" i="3"/>
  <c r="W9" i="3"/>
  <c r="W13" i="3"/>
  <c r="W17" i="3"/>
  <c r="W21" i="3"/>
  <c r="W25" i="3"/>
  <c r="W29" i="3"/>
  <c r="W33" i="3"/>
  <c r="W37" i="3"/>
  <c r="W41" i="3"/>
  <c r="W45" i="3"/>
  <c r="W49" i="3"/>
  <c r="W6" i="4"/>
  <c r="W10" i="4"/>
  <c r="W14" i="4"/>
  <c r="W18" i="4"/>
  <c r="W22" i="4"/>
  <c r="W26" i="4"/>
  <c r="W30" i="4"/>
  <c r="W34" i="4"/>
  <c r="W38" i="4"/>
  <c r="W42" i="4"/>
  <c r="W46" i="4"/>
  <c r="W50" i="4"/>
  <c r="W6" i="3"/>
  <c r="W10" i="3"/>
  <c r="W14" i="3"/>
  <c r="W18" i="3"/>
  <c r="W22" i="3"/>
  <c r="W26" i="3"/>
  <c r="W30" i="3"/>
  <c r="W34" i="3"/>
  <c r="W38" i="3"/>
  <c r="W42" i="3"/>
  <c r="W46" i="3"/>
  <c r="W50" i="3"/>
  <c r="W15" i="4"/>
  <c r="W31" i="4"/>
  <c r="W47" i="4"/>
  <c r="W11" i="3"/>
  <c r="W27" i="3"/>
  <c r="W43" i="3"/>
  <c r="W6" i="2"/>
  <c r="W10" i="2"/>
  <c r="W14" i="2"/>
  <c r="W18" i="2"/>
  <c r="W22" i="2"/>
  <c r="W26" i="2"/>
  <c r="W30" i="2"/>
  <c r="W34" i="2"/>
  <c r="W38" i="2"/>
  <c r="W42" i="2"/>
  <c r="W46" i="2"/>
  <c r="W50" i="2"/>
  <c r="W4" i="2"/>
  <c r="W16" i="2"/>
  <c r="W24" i="2"/>
  <c r="W32" i="2"/>
  <c r="W40" i="2"/>
  <c r="W48" i="2"/>
  <c r="W11" i="4"/>
  <c r="W43" i="4"/>
  <c r="W7" i="3"/>
  <c r="W39" i="3"/>
  <c r="W3" i="4"/>
  <c r="W19" i="4"/>
  <c r="W35" i="4"/>
  <c r="W51" i="4"/>
  <c r="W15" i="3"/>
  <c r="W31" i="3"/>
  <c r="W47" i="3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8" i="2"/>
  <c r="W12" i="2"/>
  <c r="W20" i="2"/>
  <c r="W28" i="2"/>
  <c r="W36" i="2"/>
  <c r="W44" i="2"/>
  <c r="W52" i="2"/>
  <c r="W27" i="4"/>
  <c r="W23" i="3"/>
  <c r="W7" i="4"/>
  <c r="W23" i="4"/>
  <c r="W39" i="4"/>
  <c r="W3" i="3"/>
  <c r="W19" i="3"/>
  <c r="W35" i="3"/>
  <c r="W51" i="3"/>
  <c r="W13" i="2"/>
  <c r="W29" i="2"/>
  <c r="W45" i="2"/>
  <c r="W33" i="2"/>
  <c r="W49" i="2"/>
  <c r="W21" i="2"/>
  <c r="W37" i="2"/>
  <c r="W25" i="2"/>
  <c r="W41" i="2"/>
  <c r="W17" i="2"/>
  <c r="W5" i="2"/>
  <c r="W9" i="2"/>
  <c r="BA49" i="1"/>
  <c r="BA45" i="1"/>
  <c r="BA41" i="1"/>
  <c r="BA37" i="1"/>
  <c r="BA33" i="1"/>
  <c r="BA29" i="1"/>
  <c r="BA25" i="1"/>
  <c r="BA21" i="1"/>
  <c r="BA17" i="1"/>
  <c r="BA13" i="1"/>
  <c r="BA9" i="1"/>
  <c r="BA5" i="1"/>
  <c r="W49" i="1"/>
  <c r="W45" i="1"/>
  <c r="W41" i="1"/>
  <c r="W37" i="1"/>
  <c r="W33" i="1"/>
  <c r="W29" i="1"/>
  <c r="W25" i="1"/>
  <c r="W21" i="1"/>
  <c r="W17" i="1"/>
  <c r="W13" i="1"/>
  <c r="W9" i="1"/>
  <c r="W5" i="1"/>
  <c r="F109" i="15"/>
  <c r="D106" i="15"/>
  <c r="D122" i="15"/>
  <c r="V14" i="1"/>
  <c r="E110" i="15"/>
  <c r="R8" i="15"/>
  <c r="D118" i="15"/>
  <c r="E122" i="15"/>
  <c r="E106" i="15"/>
  <c r="G121" i="15"/>
  <c r="V46" i="1"/>
  <c r="M8" i="15"/>
  <c r="D114" i="15"/>
  <c r="E118" i="15"/>
  <c r="F122" i="15"/>
  <c r="G113" i="15"/>
  <c r="V30" i="1"/>
  <c r="AA8" i="15"/>
  <c r="D110" i="15"/>
  <c r="E114" i="15"/>
  <c r="F117" i="15"/>
  <c r="G105" i="15"/>
  <c r="V6" i="4"/>
  <c r="V10" i="4"/>
  <c r="V14" i="4"/>
  <c r="V18" i="4"/>
  <c r="V22" i="4"/>
  <c r="V26" i="4"/>
  <c r="V30" i="4"/>
  <c r="V34" i="4"/>
  <c r="V38" i="4"/>
  <c r="V42" i="4"/>
  <c r="V46" i="4"/>
  <c r="V50" i="4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3" i="4"/>
  <c r="V7" i="4"/>
  <c r="V11" i="4"/>
  <c r="V15" i="4"/>
  <c r="V19" i="4"/>
  <c r="V23" i="4"/>
  <c r="V27" i="4"/>
  <c r="V31" i="4"/>
  <c r="V35" i="4"/>
  <c r="V39" i="4"/>
  <c r="V43" i="4"/>
  <c r="V47" i="4"/>
  <c r="V51" i="4"/>
  <c r="V5" i="3"/>
  <c r="V9" i="3"/>
  <c r="V13" i="3"/>
  <c r="V17" i="3"/>
  <c r="V21" i="3"/>
  <c r="V25" i="3"/>
  <c r="V29" i="3"/>
  <c r="V33" i="3"/>
  <c r="V37" i="3"/>
  <c r="V41" i="3"/>
  <c r="V45" i="3"/>
  <c r="V49" i="3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13" i="4"/>
  <c r="V29" i="4"/>
  <c r="V45" i="4"/>
  <c r="V3" i="3"/>
  <c r="V11" i="3"/>
  <c r="V19" i="3"/>
  <c r="V27" i="3"/>
  <c r="V35" i="3"/>
  <c r="V43" i="3"/>
  <c r="V51" i="3"/>
  <c r="V6" i="2"/>
  <c r="V10" i="2"/>
  <c r="V14" i="2"/>
  <c r="V18" i="2"/>
  <c r="V22" i="2"/>
  <c r="V26" i="2"/>
  <c r="V30" i="2"/>
  <c r="V34" i="2"/>
  <c r="V38" i="2"/>
  <c r="V42" i="2"/>
  <c r="V46" i="2"/>
  <c r="V50" i="2"/>
  <c r="V14" i="3"/>
  <c r="V46" i="3"/>
  <c r="V3" i="2"/>
  <c r="V11" i="2"/>
  <c r="V19" i="2"/>
  <c r="V27" i="2"/>
  <c r="V31" i="2"/>
  <c r="V39" i="2"/>
  <c r="V47" i="2"/>
  <c r="V8" i="2"/>
  <c r="V16" i="2"/>
  <c r="V24" i="2"/>
  <c r="V32" i="2"/>
  <c r="V17" i="4"/>
  <c r="V33" i="4"/>
  <c r="V49" i="4"/>
  <c r="V6" i="3"/>
  <c r="V22" i="3"/>
  <c r="V30" i="3"/>
  <c r="V38" i="3"/>
  <c r="V7" i="2"/>
  <c r="V15" i="2"/>
  <c r="V23" i="2"/>
  <c r="V35" i="2"/>
  <c r="V43" i="2"/>
  <c r="V51" i="2"/>
  <c r="V4" i="2"/>
  <c r="V12" i="2"/>
  <c r="V20" i="2"/>
  <c r="V28" i="2"/>
  <c r="V36" i="2"/>
  <c r="V5" i="4"/>
  <c r="V21" i="4"/>
  <c r="V37" i="4"/>
  <c r="V7" i="3"/>
  <c r="V15" i="3"/>
  <c r="V23" i="3"/>
  <c r="V31" i="3"/>
  <c r="V39" i="3"/>
  <c r="V47" i="3"/>
  <c r="V25" i="4"/>
  <c r="V18" i="3"/>
  <c r="V50" i="3"/>
  <c r="V17" i="2"/>
  <c r="V33" i="2"/>
  <c r="V44" i="2"/>
  <c r="V52" i="2"/>
  <c r="V34" i="3"/>
  <c r="V25" i="2"/>
  <c r="V40" i="2"/>
  <c r="V10" i="3"/>
  <c r="V13" i="2"/>
  <c r="V41" i="2"/>
  <c r="V41" i="4"/>
  <c r="V26" i="3"/>
  <c r="V5" i="2"/>
  <c r="V21" i="2"/>
  <c r="V37" i="2"/>
  <c r="V45" i="2"/>
  <c r="V9" i="2"/>
  <c r="V48" i="2"/>
  <c r="V9" i="4"/>
  <c r="V42" i="3"/>
  <c r="V29" i="2"/>
  <c r="V49" i="2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4" i="1"/>
  <c r="V8" i="1"/>
  <c r="V12" i="1"/>
  <c r="V16" i="1"/>
  <c r="V20" i="1"/>
  <c r="V24" i="1"/>
  <c r="V28" i="1"/>
  <c r="V32" i="1"/>
  <c r="V36" i="1"/>
  <c r="V40" i="1"/>
  <c r="V44" i="1"/>
  <c r="V48" i="1"/>
  <c r="V52" i="1"/>
  <c r="V5" i="1"/>
  <c r="V9" i="1"/>
  <c r="V13" i="1"/>
  <c r="V17" i="1"/>
  <c r="V21" i="1"/>
  <c r="V25" i="1"/>
  <c r="V29" i="1"/>
  <c r="V33" i="1"/>
  <c r="V37" i="1"/>
  <c r="V41" i="1"/>
  <c r="V45" i="1"/>
  <c r="V49" i="1"/>
  <c r="Q8" i="15"/>
  <c r="AD8" i="15"/>
  <c r="Z8" i="15"/>
  <c r="D121" i="15"/>
  <c r="D117" i="15"/>
  <c r="D113" i="15"/>
  <c r="D109" i="15"/>
  <c r="D105" i="15"/>
  <c r="E121" i="15"/>
  <c r="E117" i="15"/>
  <c r="E113" i="15"/>
  <c r="E109" i="15"/>
  <c r="E105" i="15"/>
  <c r="F121" i="15"/>
  <c r="F116" i="15"/>
  <c r="F108" i="15"/>
  <c r="G120" i="15"/>
  <c r="G112" i="15"/>
  <c r="G104" i="15"/>
  <c r="V42" i="1"/>
  <c r="V26" i="1"/>
  <c r="V10" i="1"/>
  <c r="P8" i="15"/>
  <c r="AC8" i="15"/>
  <c r="X8" i="15"/>
  <c r="D120" i="15"/>
  <c r="D116" i="15"/>
  <c r="D112" i="15"/>
  <c r="D108" i="15"/>
  <c r="D104" i="15"/>
  <c r="E120" i="15"/>
  <c r="E116" i="15"/>
  <c r="E112" i="15"/>
  <c r="E108" i="15"/>
  <c r="E104" i="15"/>
  <c r="F120" i="15"/>
  <c r="F113" i="15"/>
  <c r="F105" i="15"/>
  <c r="G117" i="15"/>
  <c r="V38" i="1"/>
  <c r="V22" i="1"/>
  <c r="V6" i="1"/>
  <c r="G106" i="15"/>
  <c r="G110" i="15"/>
  <c r="G114" i="15"/>
  <c r="G118" i="15"/>
  <c r="G122" i="15"/>
  <c r="F106" i="15"/>
  <c r="F110" i="15"/>
  <c r="F114" i="15"/>
  <c r="F118" i="15"/>
  <c r="G107" i="15"/>
  <c r="G111" i="15"/>
  <c r="G115" i="15"/>
  <c r="G119" i="15"/>
  <c r="G123" i="15"/>
  <c r="F107" i="15"/>
  <c r="F111" i="15"/>
  <c r="F115" i="15"/>
  <c r="S8" i="15"/>
  <c r="O8" i="15"/>
  <c r="AB8" i="15"/>
  <c r="D123" i="15"/>
  <c r="D119" i="15"/>
  <c r="D115" i="15"/>
  <c r="D111" i="15"/>
  <c r="D107" i="15"/>
  <c r="E123" i="15"/>
  <c r="E119" i="15"/>
  <c r="E115" i="15"/>
  <c r="E111" i="15"/>
  <c r="E107" i="15"/>
  <c r="F123" i="15"/>
  <c r="F119" i="15"/>
  <c r="F112" i="15"/>
  <c r="F104" i="15"/>
  <c r="G116" i="15"/>
  <c r="G108" i="15"/>
  <c r="V50" i="1"/>
  <c r="V34" i="1"/>
  <c r="V18" i="1"/>
  <c r="U47" i="1"/>
  <c r="U3" i="1"/>
  <c r="U15" i="1"/>
  <c r="U43" i="1"/>
  <c r="U27" i="1"/>
  <c r="U11" i="1"/>
  <c r="U39" i="1"/>
  <c r="U23" i="1"/>
  <c r="U7" i="1"/>
  <c r="U51" i="1"/>
  <c r="U35" i="1"/>
  <c r="U19" i="1"/>
  <c r="U38" i="1"/>
  <c r="F10" i="14"/>
  <c r="G8" i="14"/>
  <c r="E17" i="14"/>
  <c r="E9" i="14"/>
  <c r="F11" i="14"/>
  <c r="G13" i="14"/>
  <c r="U4" i="4"/>
  <c r="U8" i="4"/>
  <c r="U12" i="4"/>
  <c r="U16" i="4"/>
  <c r="U20" i="4"/>
  <c r="U24" i="4"/>
  <c r="U28" i="4"/>
  <c r="U32" i="4"/>
  <c r="U36" i="4"/>
  <c r="U40" i="4"/>
  <c r="U44" i="4"/>
  <c r="U48" i="4"/>
  <c r="U52" i="4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7" i="4"/>
  <c r="U13" i="4"/>
  <c r="U18" i="4"/>
  <c r="U23" i="4"/>
  <c r="U29" i="4"/>
  <c r="U34" i="4"/>
  <c r="U39" i="4"/>
  <c r="U45" i="4"/>
  <c r="U50" i="4"/>
  <c r="U6" i="3"/>
  <c r="U11" i="3"/>
  <c r="U17" i="3"/>
  <c r="U22" i="3"/>
  <c r="U27" i="3"/>
  <c r="U33" i="3"/>
  <c r="U38" i="3"/>
  <c r="U43" i="3"/>
  <c r="U49" i="3"/>
  <c r="U5" i="2"/>
  <c r="U9" i="2"/>
  <c r="U13" i="2"/>
  <c r="U17" i="2"/>
  <c r="U21" i="2"/>
  <c r="U25" i="2"/>
  <c r="U29" i="2"/>
  <c r="U3" i="4"/>
  <c r="U9" i="4"/>
  <c r="U14" i="4"/>
  <c r="U19" i="4"/>
  <c r="U25" i="4"/>
  <c r="U30" i="4"/>
  <c r="U35" i="4"/>
  <c r="U41" i="4"/>
  <c r="U46" i="4"/>
  <c r="U51" i="4"/>
  <c r="U7" i="3"/>
  <c r="U13" i="3"/>
  <c r="U18" i="3"/>
  <c r="U23" i="3"/>
  <c r="U29" i="3"/>
  <c r="U34" i="3"/>
  <c r="U39" i="3"/>
  <c r="U45" i="3"/>
  <c r="U50" i="3"/>
  <c r="U6" i="2"/>
  <c r="U10" i="2"/>
  <c r="U14" i="2"/>
  <c r="U18" i="2"/>
  <c r="U22" i="2"/>
  <c r="U26" i="2"/>
  <c r="U30" i="2"/>
  <c r="U11" i="4"/>
  <c r="U22" i="4"/>
  <c r="U33" i="4"/>
  <c r="U43" i="4"/>
  <c r="U9" i="3"/>
  <c r="U19" i="3"/>
  <c r="U30" i="3"/>
  <c r="U41" i="3"/>
  <c r="U51" i="3"/>
  <c r="U4" i="2"/>
  <c r="U12" i="2"/>
  <c r="U20" i="2"/>
  <c r="U28" i="2"/>
  <c r="U34" i="2"/>
  <c r="U38" i="2"/>
  <c r="U42" i="2"/>
  <c r="U46" i="2"/>
  <c r="U50" i="2"/>
  <c r="U26" i="3"/>
  <c r="U3" i="2"/>
  <c r="U19" i="2"/>
  <c r="U27" i="2"/>
  <c r="U37" i="2"/>
  <c r="U45" i="2"/>
  <c r="U5" i="4"/>
  <c r="U15" i="4"/>
  <c r="U26" i="4"/>
  <c r="U37" i="4"/>
  <c r="U47" i="4"/>
  <c r="U10" i="3"/>
  <c r="U21" i="3"/>
  <c r="U31" i="3"/>
  <c r="U42" i="3"/>
  <c r="U7" i="2"/>
  <c r="U15" i="2"/>
  <c r="U23" i="2"/>
  <c r="U31" i="2"/>
  <c r="U35" i="2"/>
  <c r="U39" i="2"/>
  <c r="U43" i="2"/>
  <c r="U47" i="2"/>
  <c r="U51" i="2"/>
  <c r="U6" i="4"/>
  <c r="U17" i="4"/>
  <c r="U27" i="4"/>
  <c r="U38" i="4"/>
  <c r="U49" i="4"/>
  <c r="U3" i="3"/>
  <c r="U14" i="3"/>
  <c r="U25" i="3"/>
  <c r="U35" i="3"/>
  <c r="U46" i="3"/>
  <c r="U8" i="2"/>
  <c r="U16" i="2"/>
  <c r="U24" i="2"/>
  <c r="U32" i="2"/>
  <c r="U36" i="2"/>
  <c r="U40" i="2"/>
  <c r="U44" i="2"/>
  <c r="U48" i="2"/>
  <c r="U52" i="2"/>
  <c r="U10" i="4"/>
  <c r="U21" i="4"/>
  <c r="U31" i="4"/>
  <c r="U42" i="4"/>
  <c r="U5" i="3"/>
  <c r="U15" i="3"/>
  <c r="U37" i="3"/>
  <c r="U47" i="3"/>
  <c r="U11" i="2"/>
  <c r="U33" i="2"/>
  <c r="U41" i="2"/>
  <c r="U49" i="2"/>
  <c r="U50" i="1"/>
  <c r="U42" i="1"/>
  <c r="U30" i="1"/>
  <c r="U22" i="1"/>
  <c r="U14" i="1"/>
  <c r="U6" i="1"/>
  <c r="E16" i="14"/>
  <c r="E8" i="14"/>
  <c r="G12" i="14"/>
  <c r="U49" i="1"/>
  <c r="U41" i="1"/>
  <c r="U33" i="1"/>
  <c r="U29" i="1"/>
  <c r="U21" i="1"/>
  <c r="U17" i="1"/>
  <c r="U13" i="1"/>
  <c r="U9" i="1"/>
  <c r="U5" i="1"/>
  <c r="E15" i="14"/>
  <c r="E11" i="14"/>
  <c r="F17" i="14"/>
  <c r="F13" i="14"/>
  <c r="F9" i="14"/>
  <c r="G15" i="14"/>
  <c r="G11" i="14"/>
  <c r="E13" i="14"/>
  <c r="F15" i="14"/>
  <c r="G17" i="14"/>
  <c r="G9" i="14"/>
  <c r="U46" i="1"/>
  <c r="U34" i="1"/>
  <c r="U26" i="1"/>
  <c r="U18" i="1"/>
  <c r="U10" i="1"/>
  <c r="E12" i="14"/>
  <c r="F14" i="14"/>
  <c r="G16" i="14"/>
  <c r="U45" i="1"/>
  <c r="U37" i="1"/>
  <c r="U25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E14" i="14"/>
  <c r="E10" i="14"/>
  <c r="F16" i="14"/>
  <c r="F12" i="14"/>
  <c r="F8" i="14"/>
  <c r="G14" i="14"/>
  <c r="T10" i="1"/>
  <c r="F10" i="13"/>
  <c r="Q23" i="13"/>
  <c r="T38" i="1"/>
  <c r="AA27" i="13"/>
  <c r="AC31" i="13"/>
  <c r="O4" i="13"/>
  <c r="T30" i="1"/>
  <c r="G12" i="13"/>
  <c r="R25" i="13"/>
  <c r="AA32" i="13"/>
  <c r="AA24" i="13"/>
  <c r="AB26" i="13"/>
  <c r="AC28" i="13"/>
  <c r="AB6" i="13"/>
  <c r="AC39" i="13" s="1"/>
  <c r="T6" i="1"/>
  <c r="AB29" i="13"/>
  <c r="AC23" i="13"/>
  <c r="S4" i="13"/>
  <c r="O6" i="13"/>
  <c r="T22" i="1"/>
  <c r="E16" i="13"/>
  <c r="P29" i="13"/>
  <c r="AA31" i="13"/>
  <c r="AA23" i="13"/>
  <c r="AB25" i="13"/>
  <c r="AC27" i="13"/>
  <c r="AB4" i="13"/>
  <c r="AA16" i="13" s="1"/>
  <c r="S6" i="13"/>
  <c r="T46" i="1"/>
  <c r="T14" i="1"/>
  <c r="F18" i="13"/>
  <c r="Q31" i="13"/>
  <c r="AA28" i="13"/>
  <c r="AB30" i="13"/>
  <c r="AC32" i="13"/>
  <c r="AC24" i="13"/>
  <c r="G25" i="13"/>
  <c r="G29" i="13"/>
  <c r="F23" i="13"/>
  <c r="F27" i="13"/>
  <c r="F31" i="13"/>
  <c r="E25" i="13"/>
  <c r="E29" i="13"/>
  <c r="G26" i="13"/>
  <c r="G30" i="13"/>
  <c r="F24" i="13"/>
  <c r="F28" i="13"/>
  <c r="F32" i="13"/>
  <c r="E26" i="13"/>
  <c r="E30" i="13"/>
  <c r="P6" i="13"/>
  <c r="F29" i="13"/>
  <c r="G31" i="13"/>
  <c r="E38" i="13"/>
  <c r="G42" i="13"/>
  <c r="T50" i="1"/>
  <c r="T42" i="1"/>
  <c r="T34" i="1"/>
  <c r="T26" i="1"/>
  <c r="T18" i="1"/>
  <c r="E12" i="13"/>
  <c r="F14" i="13"/>
  <c r="E31" i="13"/>
  <c r="E23" i="13"/>
  <c r="F25" i="13"/>
  <c r="G27" i="13"/>
  <c r="E42" i="13"/>
  <c r="F44" i="13"/>
  <c r="F36" i="13"/>
  <c r="P25" i="13"/>
  <c r="Q27" i="13"/>
  <c r="X5" i="13"/>
  <c r="X6" i="13"/>
  <c r="X4" i="13"/>
  <c r="AC4" i="13"/>
  <c r="G36" i="13"/>
  <c r="G40" i="13"/>
  <c r="G44" i="13"/>
  <c r="F38" i="13"/>
  <c r="F42" i="13"/>
  <c r="E36" i="13"/>
  <c r="E40" i="13"/>
  <c r="E44" i="13"/>
  <c r="G37" i="13"/>
  <c r="G41" i="13"/>
  <c r="G45" i="13"/>
  <c r="F39" i="13"/>
  <c r="F43" i="13"/>
  <c r="E37" i="13"/>
  <c r="E41" i="13"/>
  <c r="E45" i="13"/>
  <c r="E27" i="13"/>
  <c r="G23" i="13"/>
  <c r="F40" i="13"/>
  <c r="R23" i="13"/>
  <c r="R27" i="13"/>
  <c r="R31" i="13"/>
  <c r="Q25" i="13"/>
  <c r="Q29" i="13"/>
  <c r="P23" i="13"/>
  <c r="P27" i="13"/>
  <c r="P31" i="13"/>
  <c r="R24" i="13"/>
  <c r="R28" i="13"/>
  <c r="R32" i="13"/>
  <c r="Q26" i="13"/>
  <c r="Q30" i="13"/>
  <c r="P24" i="13"/>
  <c r="P28" i="13"/>
  <c r="P32" i="13"/>
  <c r="G10" i="13"/>
  <c r="G14" i="13"/>
  <c r="G18" i="13"/>
  <c r="F12" i="13"/>
  <c r="F16" i="13"/>
  <c r="E10" i="13"/>
  <c r="E14" i="13"/>
  <c r="E18" i="13"/>
  <c r="G11" i="13"/>
  <c r="G15" i="13"/>
  <c r="G19" i="13"/>
  <c r="F13" i="13"/>
  <c r="F17" i="13"/>
  <c r="E11" i="13"/>
  <c r="E15" i="13"/>
  <c r="E19" i="13"/>
  <c r="P4" i="13"/>
  <c r="T6" i="4"/>
  <c r="T10" i="4"/>
  <c r="T14" i="4"/>
  <c r="T18" i="4"/>
  <c r="T22" i="4"/>
  <c r="T26" i="4"/>
  <c r="T30" i="4"/>
  <c r="T34" i="4"/>
  <c r="T38" i="4"/>
  <c r="T42" i="4"/>
  <c r="T46" i="4"/>
  <c r="T50" i="4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3" i="4"/>
  <c r="T7" i="4"/>
  <c r="T11" i="4"/>
  <c r="T15" i="4"/>
  <c r="T19" i="4"/>
  <c r="T23" i="4"/>
  <c r="T27" i="4"/>
  <c r="T31" i="4"/>
  <c r="T35" i="4"/>
  <c r="T39" i="4"/>
  <c r="T43" i="4"/>
  <c r="T47" i="4"/>
  <c r="T51" i="4"/>
  <c r="T5" i="3"/>
  <c r="T9" i="3"/>
  <c r="T13" i="3"/>
  <c r="T17" i="3"/>
  <c r="T21" i="3"/>
  <c r="T25" i="3"/>
  <c r="T29" i="3"/>
  <c r="T33" i="3"/>
  <c r="T37" i="3"/>
  <c r="T41" i="3"/>
  <c r="T45" i="3"/>
  <c r="T49" i="3"/>
  <c r="T4" i="4"/>
  <c r="T8" i="4"/>
  <c r="T12" i="4"/>
  <c r="T16" i="4"/>
  <c r="T20" i="4"/>
  <c r="T24" i="4"/>
  <c r="T28" i="4"/>
  <c r="T32" i="4"/>
  <c r="T36" i="4"/>
  <c r="T40" i="4"/>
  <c r="T44" i="4"/>
  <c r="T48" i="4"/>
  <c r="T52" i="4"/>
  <c r="T6" i="3"/>
  <c r="T10" i="3"/>
  <c r="T14" i="3"/>
  <c r="T18" i="3"/>
  <c r="T22" i="3"/>
  <c r="T26" i="3"/>
  <c r="T30" i="3"/>
  <c r="T34" i="3"/>
  <c r="T38" i="3"/>
  <c r="T42" i="3"/>
  <c r="T46" i="3"/>
  <c r="T50" i="3"/>
  <c r="T17" i="4"/>
  <c r="T33" i="4"/>
  <c r="T49" i="4"/>
  <c r="T11" i="3"/>
  <c r="T27" i="3"/>
  <c r="T43" i="3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" i="4"/>
  <c r="T21" i="4"/>
  <c r="T37" i="4"/>
  <c r="T15" i="3"/>
  <c r="T31" i="3"/>
  <c r="T47" i="3"/>
  <c r="T5" i="2"/>
  <c r="T9" i="2"/>
  <c r="T13" i="2"/>
  <c r="T17" i="2"/>
  <c r="T21" i="2"/>
  <c r="T25" i="2"/>
  <c r="T29" i="2"/>
  <c r="T33" i="2"/>
  <c r="T37" i="2"/>
  <c r="T41" i="2"/>
  <c r="T45" i="2"/>
  <c r="T49" i="2"/>
  <c r="T9" i="4"/>
  <c r="T25" i="4"/>
  <c r="T41" i="4"/>
  <c r="T3" i="3"/>
  <c r="T19" i="3"/>
  <c r="T35" i="3"/>
  <c r="T51" i="3"/>
  <c r="T29" i="4"/>
  <c r="T7" i="3"/>
  <c r="T3" i="2"/>
  <c r="T11" i="2"/>
  <c r="T19" i="2"/>
  <c r="T27" i="2"/>
  <c r="T35" i="2"/>
  <c r="T43" i="2"/>
  <c r="T51" i="2"/>
  <c r="T10" i="2"/>
  <c r="T34" i="2"/>
  <c r="T45" i="4"/>
  <c r="T23" i="3"/>
  <c r="T6" i="2"/>
  <c r="T14" i="2"/>
  <c r="T22" i="2"/>
  <c r="T30" i="2"/>
  <c r="T38" i="2"/>
  <c r="T46" i="2"/>
  <c r="T15" i="2"/>
  <c r="T31" i="2"/>
  <c r="T39" i="2"/>
  <c r="T26" i="2"/>
  <c r="T50" i="2"/>
  <c r="T39" i="3"/>
  <c r="T7" i="2"/>
  <c r="T23" i="2"/>
  <c r="T47" i="2"/>
  <c r="T13" i="4"/>
  <c r="T18" i="2"/>
  <c r="T42" i="2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" i="1"/>
  <c r="T9" i="1"/>
  <c r="T13" i="1"/>
  <c r="T17" i="1"/>
  <c r="T21" i="1"/>
  <c r="T25" i="1"/>
  <c r="T29" i="1"/>
  <c r="T33" i="1"/>
  <c r="T37" i="1"/>
  <c r="T41" i="1"/>
  <c r="T45" i="1"/>
  <c r="T49" i="1"/>
  <c r="T51" i="1"/>
  <c r="T43" i="1"/>
  <c r="T35" i="1"/>
  <c r="T27" i="1"/>
  <c r="T19" i="1"/>
  <c r="T11" i="1"/>
  <c r="T3" i="1"/>
  <c r="E13" i="13"/>
  <c r="F15" i="13"/>
  <c r="G17" i="13"/>
  <c r="E32" i="13"/>
  <c r="E24" i="13"/>
  <c r="F26" i="13"/>
  <c r="G28" i="13"/>
  <c r="E43" i="13"/>
  <c r="F45" i="13"/>
  <c r="F37" i="13"/>
  <c r="G39" i="13"/>
  <c r="P26" i="13"/>
  <c r="Q28" i="13"/>
  <c r="R30" i="13"/>
  <c r="AC6" i="13"/>
  <c r="T47" i="1"/>
  <c r="T39" i="1"/>
  <c r="T31" i="1"/>
  <c r="T23" i="1"/>
  <c r="T15" i="1"/>
  <c r="T7" i="1"/>
  <c r="E17" i="13"/>
  <c r="F19" i="13"/>
  <c r="F11" i="13"/>
  <c r="G13" i="13"/>
  <c r="E28" i="13"/>
  <c r="F30" i="13"/>
  <c r="G32" i="13"/>
  <c r="G24" i="13"/>
  <c r="E39" i="13"/>
  <c r="F41" i="13"/>
  <c r="G43" i="13"/>
  <c r="P30" i="13"/>
  <c r="Q32" i="13"/>
  <c r="Q24" i="13"/>
  <c r="R26" i="13"/>
  <c r="AA30" i="13"/>
  <c r="AA26" i="13"/>
  <c r="AB32" i="13"/>
  <c r="AB28" i="13"/>
  <c r="AB24" i="13"/>
  <c r="AC30" i="13"/>
  <c r="AC26" i="13"/>
  <c r="AA29" i="13"/>
  <c r="AA25" i="13"/>
  <c r="AB31" i="13"/>
  <c r="AB27" i="13"/>
  <c r="AB23" i="13"/>
  <c r="AC29" i="13"/>
  <c r="AB24" i="20"/>
  <c r="AB6" i="20"/>
  <c r="AB40" i="20" s="1"/>
  <c r="O4" i="20"/>
  <c r="AA30" i="20"/>
  <c r="AC26" i="20"/>
  <c r="AB4" i="20"/>
  <c r="AC19" i="20" s="1"/>
  <c r="S31" i="1"/>
  <c r="F28" i="20"/>
  <c r="AB32" i="20"/>
  <c r="E37" i="20"/>
  <c r="G41" i="20"/>
  <c r="S4" i="20"/>
  <c r="S15" i="1"/>
  <c r="E30" i="20"/>
  <c r="F24" i="20"/>
  <c r="E44" i="20"/>
  <c r="E36" i="20"/>
  <c r="F38" i="20"/>
  <c r="G40" i="20"/>
  <c r="AA29" i="20"/>
  <c r="AB31" i="20"/>
  <c r="AB23" i="20"/>
  <c r="AC25" i="20"/>
  <c r="E45" i="20"/>
  <c r="E26" i="20"/>
  <c r="G30" i="20"/>
  <c r="E41" i="20"/>
  <c r="F43" i="20"/>
  <c r="G45" i="20"/>
  <c r="G37" i="20"/>
  <c r="AA26" i="20"/>
  <c r="AB28" i="20"/>
  <c r="AC30" i="20"/>
  <c r="F39" i="20"/>
  <c r="S6" i="20"/>
  <c r="S47" i="1"/>
  <c r="F32" i="20"/>
  <c r="G26" i="20"/>
  <c r="E40" i="20"/>
  <c r="F42" i="20"/>
  <c r="G44" i="20"/>
  <c r="G36" i="20"/>
  <c r="AA25" i="20"/>
  <c r="AB27" i="20"/>
  <c r="AC29" i="20"/>
  <c r="G12" i="20"/>
  <c r="G16" i="20"/>
  <c r="F10" i="20"/>
  <c r="F14" i="20"/>
  <c r="F18" i="20"/>
  <c r="E12" i="20"/>
  <c r="E16" i="20"/>
  <c r="G18" i="20"/>
  <c r="F12" i="20"/>
  <c r="E14" i="20"/>
  <c r="G19" i="20"/>
  <c r="E11" i="20"/>
  <c r="E19" i="20"/>
  <c r="G13" i="20"/>
  <c r="G17" i="20"/>
  <c r="F11" i="20"/>
  <c r="F15" i="20"/>
  <c r="F19" i="20"/>
  <c r="E13" i="20"/>
  <c r="E17" i="20"/>
  <c r="G14" i="20"/>
  <c r="F16" i="20"/>
  <c r="E18" i="20"/>
  <c r="G11" i="20"/>
  <c r="G15" i="20"/>
  <c r="F13" i="20"/>
  <c r="E15" i="20"/>
  <c r="G10" i="20"/>
  <c r="E10" i="20"/>
  <c r="F17" i="20"/>
  <c r="S43" i="1"/>
  <c r="S11" i="1"/>
  <c r="S39" i="1"/>
  <c r="S23" i="1"/>
  <c r="AB36" i="20"/>
  <c r="AA42" i="20"/>
  <c r="AC39" i="20"/>
  <c r="AB45" i="20"/>
  <c r="AC44" i="20"/>
  <c r="AA40" i="20"/>
  <c r="AA37" i="20"/>
  <c r="R25" i="20"/>
  <c r="R29" i="20"/>
  <c r="Q23" i="20"/>
  <c r="Q27" i="20"/>
  <c r="Q31" i="20"/>
  <c r="P25" i="20"/>
  <c r="P29" i="20"/>
  <c r="P27" i="20"/>
  <c r="R28" i="20"/>
  <c r="Q30" i="20"/>
  <c r="P28" i="20"/>
  <c r="R26" i="20"/>
  <c r="R30" i="20"/>
  <c r="Q24" i="20"/>
  <c r="Q28" i="20"/>
  <c r="Q32" i="20"/>
  <c r="P26" i="20"/>
  <c r="P30" i="20"/>
  <c r="R23" i="20"/>
  <c r="R31" i="20"/>
  <c r="Q25" i="20"/>
  <c r="P23" i="20"/>
  <c r="P31" i="20"/>
  <c r="R24" i="20"/>
  <c r="Q26" i="20"/>
  <c r="P32" i="20"/>
  <c r="R27" i="20"/>
  <c r="Q29" i="20"/>
  <c r="R32" i="20"/>
  <c r="P24" i="20"/>
  <c r="S4" i="4"/>
  <c r="S8" i="4"/>
  <c r="S12" i="4"/>
  <c r="S16" i="4"/>
  <c r="S20" i="4"/>
  <c r="S24" i="4"/>
  <c r="S28" i="4"/>
  <c r="S32" i="4"/>
  <c r="S36" i="4"/>
  <c r="S40" i="4"/>
  <c r="S44" i="4"/>
  <c r="S48" i="4"/>
  <c r="S52" i="4"/>
  <c r="S5" i="4"/>
  <c r="S9" i="4"/>
  <c r="S13" i="4"/>
  <c r="S17" i="4"/>
  <c r="S21" i="4"/>
  <c r="S25" i="4"/>
  <c r="S29" i="4"/>
  <c r="S33" i="4"/>
  <c r="S37" i="4"/>
  <c r="S41" i="4"/>
  <c r="S45" i="4"/>
  <c r="S49" i="4"/>
  <c r="S5" i="3"/>
  <c r="S9" i="3"/>
  <c r="S13" i="3"/>
  <c r="S17" i="3"/>
  <c r="S21" i="3"/>
  <c r="S25" i="3"/>
  <c r="S29" i="3"/>
  <c r="S33" i="3"/>
  <c r="S37" i="3"/>
  <c r="S41" i="3"/>
  <c r="S45" i="3"/>
  <c r="S49" i="3"/>
  <c r="S10" i="4"/>
  <c r="S18" i="4"/>
  <c r="S26" i="4"/>
  <c r="S34" i="4"/>
  <c r="S42" i="4"/>
  <c r="S50" i="4"/>
  <c r="S6" i="3"/>
  <c r="S11" i="3"/>
  <c r="S16" i="3"/>
  <c r="S22" i="3"/>
  <c r="S27" i="3"/>
  <c r="S32" i="3"/>
  <c r="S38" i="3"/>
  <c r="S43" i="3"/>
  <c r="S48" i="3"/>
  <c r="S6" i="2"/>
  <c r="S10" i="2"/>
  <c r="S14" i="2"/>
  <c r="S18" i="2"/>
  <c r="S22" i="2"/>
  <c r="S26" i="2"/>
  <c r="S30" i="2"/>
  <c r="S34" i="2"/>
  <c r="S38" i="2"/>
  <c r="S42" i="2"/>
  <c r="S46" i="2"/>
  <c r="S50" i="2"/>
  <c r="S6" i="4"/>
  <c r="S22" i="4"/>
  <c r="S38" i="4"/>
  <c r="S3" i="4"/>
  <c r="S11" i="4"/>
  <c r="S19" i="4"/>
  <c r="S27" i="4"/>
  <c r="S35" i="4"/>
  <c r="S43" i="4"/>
  <c r="S51" i="4"/>
  <c r="S7" i="3"/>
  <c r="S12" i="3"/>
  <c r="S18" i="3"/>
  <c r="S23" i="3"/>
  <c r="S28" i="3"/>
  <c r="S34" i="3"/>
  <c r="S39" i="3"/>
  <c r="S44" i="3"/>
  <c r="S50" i="3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14" i="4"/>
  <c r="S30" i="4"/>
  <c r="S46" i="4"/>
  <c r="S7" i="4"/>
  <c r="S39" i="4"/>
  <c r="S10" i="3"/>
  <c r="S20" i="3"/>
  <c r="S31" i="3"/>
  <c r="S42" i="3"/>
  <c r="S52" i="3"/>
  <c r="S4" i="2"/>
  <c r="S12" i="2"/>
  <c r="S20" i="2"/>
  <c r="S28" i="2"/>
  <c r="S36" i="2"/>
  <c r="S44" i="2"/>
  <c r="S52" i="2"/>
  <c r="S23" i="4"/>
  <c r="S4" i="3"/>
  <c r="S15" i="3"/>
  <c r="S26" i="3"/>
  <c r="S36" i="3"/>
  <c r="S47" i="3"/>
  <c r="S8" i="2"/>
  <c r="S16" i="2"/>
  <c r="S24" i="2"/>
  <c r="S32" i="2"/>
  <c r="S40" i="2"/>
  <c r="S48" i="2"/>
  <c r="S31" i="4"/>
  <c r="S8" i="3"/>
  <c r="S19" i="3"/>
  <c r="S30" i="3"/>
  <c r="S40" i="3"/>
  <c r="S51" i="3"/>
  <c r="S9" i="2"/>
  <c r="S33" i="2"/>
  <c r="S49" i="2"/>
  <c r="S15" i="4"/>
  <c r="S47" i="4"/>
  <c r="S3" i="3"/>
  <c r="S14" i="3"/>
  <c r="S24" i="3"/>
  <c r="S35" i="3"/>
  <c r="S46" i="3"/>
  <c r="S5" i="2"/>
  <c r="S13" i="2"/>
  <c r="S21" i="2"/>
  <c r="S29" i="2"/>
  <c r="S37" i="2"/>
  <c r="S45" i="2"/>
  <c r="S17" i="2"/>
  <c r="S41" i="2"/>
  <c r="S25" i="2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6" i="1"/>
  <c r="S14" i="1"/>
  <c r="S22" i="1"/>
  <c r="S30" i="1"/>
  <c r="S38" i="1"/>
  <c r="S42" i="1"/>
  <c r="S50" i="1"/>
  <c r="S5" i="1"/>
  <c r="S9" i="1"/>
  <c r="S13" i="1"/>
  <c r="S17" i="1"/>
  <c r="S21" i="1"/>
  <c r="S25" i="1"/>
  <c r="S29" i="1"/>
  <c r="S33" i="1"/>
  <c r="S37" i="1"/>
  <c r="S41" i="1"/>
  <c r="S45" i="1"/>
  <c r="S49" i="1"/>
  <c r="S10" i="1"/>
  <c r="S18" i="1"/>
  <c r="S26" i="1"/>
  <c r="S34" i="1"/>
  <c r="S46" i="1"/>
  <c r="S27" i="1"/>
  <c r="S51" i="1"/>
  <c r="S35" i="1"/>
  <c r="S19" i="1"/>
  <c r="S3" i="1"/>
  <c r="F23" i="20"/>
  <c r="E25" i="20"/>
  <c r="F27" i="20"/>
  <c r="G25" i="20"/>
  <c r="O6" i="20"/>
  <c r="AH24" i="4" s="1"/>
  <c r="E32" i="20"/>
  <c r="E28" i="20"/>
  <c r="E24" i="20"/>
  <c r="F30" i="20"/>
  <c r="F26" i="20"/>
  <c r="G32" i="20"/>
  <c r="G28" i="20"/>
  <c r="G24" i="20"/>
  <c r="E43" i="20"/>
  <c r="E39" i="20"/>
  <c r="F45" i="20"/>
  <c r="F41" i="20"/>
  <c r="F37" i="20"/>
  <c r="G43" i="20"/>
  <c r="G39" i="20"/>
  <c r="AC13" i="20"/>
  <c r="AA32" i="20"/>
  <c r="AA28" i="20"/>
  <c r="AA24" i="20"/>
  <c r="AB30" i="20"/>
  <c r="AB26" i="20"/>
  <c r="AC32" i="20"/>
  <c r="AC28" i="20"/>
  <c r="AC24" i="20"/>
  <c r="E29" i="20"/>
  <c r="F31" i="20"/>
  <c r="G29" i="20"/>
  <c r="AA10" i="20"/>
  <c r="E31" i="20"/>
  <c r="E27" i="20"/>
  <c r="E23" i="20"/>
  <c r="F29" i="20"/>
  <c r="F25" i="20"/>
  <c r="G31" i="20"/>
  <c r="G27" i="20"/>
  <c r="E42" i="20"/>
  <c r="E38" i="20"/>
  <c r="F44" i="20"/>
  <c r="F40" i="20"/>
  <c r="F36" i="20"/>
  <c r="G42" i="20"/>
  <c r="AA31" i="20"/>
  <c r="AA27" i="20"/>
  <c r="AA23" i="20"/>
  <c r="AB29" i="20"/>
  <c r="AB25" i="20"/>
  <c r="AC31" i="20"/>
  <c r="AC27" i="20"/>
  <c r="R15" i="1"/>
  <c r="E28" i="12"/>
  <c r="F30" i="12"/>
  <c r="G32" i="12"/>
  <c r="M4" i="12"/>
  <c r="G24" i="12"/>
  <c r="R43" i="1"/>
  <c r="R27" i="1"/>
  <c r="E17" i="12"/>
  <c r="F11" i="12"/>
  <c r="P45" i="12"/>
  <c r="R41" i="12"/>
  <c r="AA4" i="12"/>
  <c r="R39" i="1"/>
  <c r="R23" i="1"/>
  <c r="R7" i="1"/>
  <c r="E16" i="12"/>
  <c r="F18" i="12"/>
  <c r="F10" i="12"/>
  <c r="G12" i="12"/>
  <c r="E27" i="12"/>
  <c r="F29" i="12"/>
  <c r="G31" i="12"/>
  <c r="G23" i="12"/>
  <c r="P44" i="12"/>
  <c r="P36" i="12"/>
  <c r="Q38" i="12"/>
  <c r="R40" i="12"/>
  <c r="R11" i="1"/>
  <c r="F19" i="12"/>
  <c r="G13" i="12"/>
  <c r="P37" i="12"/>
  <c r="Q39" i="12"/>
  <c r="R6" i="12"/>
  <c r="R51" i="1"/>
  <c r="R35" i="1"/>
  <c r="R19" i="1"/>
  <c r="R3" i="1"/>
  <c r="E13" i="12"/>
  <c r="F15" i="12"/>
  <c r="G17" i="12"/>
  <c r="E32" i="12"/>
  <c r="E24" i="12"/>
  <c r="F26" i="12"/>
  <c r="G28" i="12"/>
  <c r="E43" i="12"/>
  <c r="P41" i="12"/>
  <c r="Q43" i="12"/>
  <c r="R45" i="12"/>
  <c r="R37" i="12"/>
  <c r="R47" i="1"/>
  <c r="R31" i="1"/>
  <c r="E12" i="12"/>
  <c r="F14" i="12"/>
  <c r="G16" i="12"/>
  <c r="E31" i="12"/>
  <c r="E23" i="12"/>
  <c r="F25" i="12"/>
  <c r="G27" i="12"/>
  <c r="F37" i="12"/>
  <c r="P40" i="12"/>
  <c r="Q42" i="12"/>
  <c r="R44" i="12"/>
  <c r="R36" i="12"/>
  <c r="E39" i="12"/>
  <c r="G43" i="12"/>
  <c r="AC36" i="12"/>
  <c r="AC40" i="12"/>
  <c r="AC44" i="12"/>
  <c r="AB38" i="12"/>
  <c r="AB42" i="12"/>
  <c r="AA36" i="12"/>
  <c r="AA40" i="12"/>
  <c r="AA44" i="12"/>
  <c r="AC42" i="12"/>
  <c r="AB40" i="12"/>
  <c r="AC39" i="12"/>
  <c r="AB41" i="12"/>
  <c r="AA39" i="12"/>
  <c r="AC37" i="12"/>
  <c r="AC41" i="12"/>
  <c r="AC45" i="12"/>
  <c r="AB39" i="12"/>
  <c r="AB43" i="12"/>
  <c r="AA37" i="12"/>
  <c r="AA41" i="12"/>
  <c r="AA45" i="12"/>
  <c r="AB36" i="12"/>
  <c r="AB44" i="12"/>
  <c r="AA42" i="12"/>
  <c r="AC43" i="12"/>
  <c r="AB37" i="12"/>
  <c r="AB45" i="12"/>
  <c r="AA43" i="12"/>
  <c r="AC38" i="12"/>
  <c r="AA38" i="12"/>
  <c r="F45" i="12"/>
  <c r="O5" i="12"/>
  <c r="O4" i="12"/>
  <c r="S5" i="12"/>
  <c r="S6" i="12"/>
  <c r="AB5" i="12"/>
  <c r="AB4" i="12"/>
  <c r="G36" i="12"/>
  <c r="G40" i="12"/>
  <c r="G44" i="12"/>
  <c r="F38" i="12"/>
  <c r="F42" i="12"/>
  <c r="E36" i="12"/>
  <c r="E40" i="12"/>
  <c r="E44" i="12"/>
  <c r="G42" i="12"/>
  <c r="F44" i="12"/>
  <c r="E42" i="12"/>
  <c r="G37" i="12"/>
  <c r="G41" i="12"/>
  <c r="G45" i="12"/>
  <c r="F39" i="12"/>
  <c r="F43" i="12"/>
  <c r="E37" i="12"/>
  <c r="E41" i="12"/>
  <c r="E45" i="12"/>
  <c r="G38" i="12"/>
  <c r="F40" i="12"/>
  <c r="E38" i="12"/>
  <c r="F36" i="12"/>
  <c r="F41" i="12"/>
  <c r="R3" i="4"/>
  <c r="R7" i="4"/>
  <c r="R11" i="4"/>
  <c r="R15" i="4"/>
  <c r="R19" i="4"/>
  <c r="R23" i="4"/>
  <c r="R27" i="4"/>
  <c r="R31" i="4"/>
  <c r="R35" i="4"/>
  <c r="R39" i="4"/>
  <c r="R43" i="4"/>
  <c r="R47" i="4"/>
  <c r="R51" i="4"/>
  <c r="R5" i="3"/>
  <c r="R9" i="3"/>
  <c r="R13" i="3"/>
  <c r="R17" i="3"/>
  <c r="R21" i="3"/>
  <c r="R25" i="3"/>
  <c r="R29" i="3"/>
  <c r="R33" i="3"/>
  <c r="R37" i="3"/>
  <c r="R41" i="3"/>
  <c r="R45" i="3"/>
  <c r="R49" i="3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6" i="3"/>
  <c r="R10" i="3"/>
  <c r="R14" i="3"/>
  <c r="R18" i="3"/>
  <c r="R22" i="3"/>
  <c r="R26" i="3"/>
  <c r="R30" i="3"/>
  <c r="R34" i="3"/>
  <c r="R38" i="3"/>
  <c r="R42" i="3"/>
  <c r="R46" i="3"/>
  <c r="R50" i="3"/>
  <c r="R9" i="4"/>
  <c r="R17" i="4"/>
  <c r="R25" i="4"/>
  <c r="R33" i="4"/>
  <c r="R41" i="4"/>
  <c r="R49" i="4"/>
  <c r="R3" i="3"/>
  <c r="R11" i="3"/>
  <c r="R19" i="3"/>
  <c r="R27" i="3"/>
  <c r="R35" i="3"/>
  <c r="R43" i="3"/>
  <c r="R51" i="3"/>
  <c r="R5" i="2"/>
  <c r="R9" i="2"/>
  <c r="R13" i="2"/>
  <c r="R17" i="2"/>
  <c r="R21" i="2"/>
  <c r="R25" i="2"/>
  <c r="R29" i="2"/>
  <c r="R33" i="2"/>
  <c r="R37" i="2"/>
  <c r="R41" i="2"/>
  <c r="R45" i="2"/>
  <c r="R49" i="2"/>
  <c r="R20" i="3"/>
  <c r="R44" i="3"/>
  <c r="R6" i="2"/>
  <c r="R10" i="2"/>
  <c r="R10" i="4"/>
  <c r="R18" i="4"/>
  <c r="R26" i="4"/>
  <c r="R34" i="4"/>
  <c r="R42" i="4"/>
  <c r="R50" i="4"/>
  <c r="R4" i="3"/>
  <c r="R12" i="3"/>
  <c r="R28" i="3"/>
  <c r="R36" i="3"/>
  <c r="R52" i="3"/>
  <c r="R5" i="4"/>
  <c r="R13" i="4"/>
  <c r="R21" i="4"/>
  <c r="R29" i="4"/>
  <c r="R37" i="4"/>
  <c r="R45" i="4"/>
  <c r="R6" i="4"/>
  <c r="R38" i="4"/>
  <c r="R8" i="3"/>
  <c r="R24" i="3"/>
  <c r="R40" i="3"/>
  <c r="R4" i="2"/>
  <c r="R12" i="2"/>
  <c r="R18" i="2"/>
  <c r="R23" i="2"/>
  <c r="R28" i="2"/>
  <c r="R34" i="2"/>
  <c r="R39" i="2"/>
  <c r="R44" i="2"/>
  <c r="R50" i="2"/>
  <c r="R14" i="4"/>
  <c r="R46" i="4"/>
  <c r="R15" i="3"/>
  <c r="R31" i="3"/>
  <c r="R47" i="3"/>
  <c r="R7" i="2"/>
  <c r="R14" i="2"/>
  <c r="R19" i="2"/>
  <c r="R24" i="2"/>
  <c r="R30" i="2"/>
  <c r="R35" i="2"/>
  <c r="R40" i="2"/>
  <c r="R46" i="2"/>
  <c r="R51" i="2"/>
  <c r="R30" i="4"/>
  <c r="R23" i="3"/>
  <c r="R39" i="3"/>
  <c r="R3" i="2"/>
  <c r="R16" i="2"/>
  <c r="R27" i="2"/>
  <c r="R38" i="2"/>
  <c r="R48" i="2"/>
  <c r="R22" i="4"/>
  <c r="R16" i="3"/>
  <c r="R32" i="3"/>
  <c r="R48" i="3"/>
  <c r="R8" i="2"/>
  <c r="R15" i="2"/>
  <c r="R20" i="2"/>
  <c r="R26" i="2"/>
  <c r="R31" i="2"/>
  <c r="R36" i="2"/>
  <c r="R42" i="2"/>
  <c r="R47" i="2"/>
  <c r="R52" i="2"/>
  <c r="R7" i="3"/>
  <c r="R11" i="2"/>
  <c r="R22" i="2"/>
  <c r="R32" i="2"/>
  <c r="R43" i="2"/>
  <c r="R46" i="1"/>
  <c r="R38" i="1"/>
  <c r="R30" i="1"/>
  <c r="R22" i="1"/>
  <c r="R14" i="1"/>
  <c r="R6" i="1"/>
  <c r="R49" i="1"/>
  <c r="R41" i="1"/>
  <c r="R33" i="1"/>
  <c r="R25" i="1"/>
  <c r="R21" i="1"/>
  <c r="R13" i="1"/>
  <c r="R5" i="1"/>
  <c r="E19" i="12"/>
  <c r="E15" i="12"/>
  <c r="E11" i="12"/>
  <c r="F17" i="12"/>
  <c r="F13" i="12"/>
  <c r="G19" i="12"/>
  <c r="G15" i="12"/>
  <c r="G11" i="12"/>
  <c r="E30" i="12"/>
  <c r="E26" i="12"/>
  <c r="F32" i="12"/>
  <c r="F28" i="12"/>
  <c r="F24" i="12"/>
  <c r="G30" i="12"/>
  <c r="G26" i="12"/>
  <c r="P43" i="12"/>
  <c r="P39" i="12"/>
  <c r="Q45" i="12"/>
  <c r="Q41" i="12"/>
  <c r="Q37" i="12"/>
  <c r="R43" i="12"/>
  <c r="R39" i="12"/>
  <c r="R50" i="1"/>
  <c r="R42" i="1"/>
  <c r="R34" i="1"/>
  <c r="R26" i="1"/>
  <c r="R18" i="1"/>
  <c r="R10" i="1"/>
  <c r="R45" i="1"/>
  <c r="R37" i="1"/>
  <c r="R29" i="1"/>
  <c r="R17" i="1"/>
  <c r="R9" i="1"/>
  <c r="R4" i="12"/>
  <c r="M6" i="12"/>
  <c r="AA6" i="12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E18" i="12"/>
  <c r="E14" i="12"/>
  <c r="E10" i="12"/>
  <c r="F16" i="12"/>
  <c r="F12" i="12"/>
  <c r="G18" i="12"/>
  <c r="G14" i="12"/>
  <c r="E29" i="12"/>
  <c r="E25" i="12"/>
  <c r="F31" i="12"/>
  <c r="F27" i="12"/>
  <c r="F23" i="12"/>
  <c r="G29" i="12"/>
  <c r="P42" i="12"/>
  <c r="P38" i="12"/>
  <c r="Q44" i="12"/>
  <c r="Q40" i="12"/>
  <c r="Q36" i="12"/>
  <c r="R42" i="12"/>
  <c r="E15" i="11"/>
  <c r="AA8" i="11"/>
  <c r="F17" i="11"/>
  <c r="AC12" i="11"/>
  <c r="F9" i="11"/>
  <c r="G11" i="11"/>
  <c r="E12" i="11"/>
  <c r="F14" i="11"/>
  <c r="G16" i="11"/>
  <c r="G8" i="11"/>
  <c r="AB14" i="11"/>
  <c r="AC8" i="11"/>
  <c r="Q3" i="1"/>
  <c r="E11" i="11"/>
  <c r="F13" i="11"/>
  <c r="G15" i="11"/>
  <c r="AA16" i="11"/>
  <c r="AB10" i="11"/>
  <c r="E16" i="11"/>
  <c r="E8" i="11"/>
  <c r="F10" i="11"/>
  <c r="G12" i="11"/>
  <c r="AA12" i="11"/>
  <c r="AC16" i="11"/>
  <c r="AA11" i="11"/>
  <c r="AB13" i="11"/>
  <c r="AC15" i="11"/>
  <c r="AC11" i="11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" i="4"/>
  <c r="Q9" i="4"/>
  <c r="Q13" i="4"/>
  <c r="Q17" i="4"/>
  <c r="Q21" i="4"/>
  <c r="Q25" i="4"/>
  <c r="Q29" i="4"/>
  <c r="Q33" i="4"/>
  <c r="Q37" i="4"/>
  <c r="Q41" i="4"/>
  <c r="Q45" i="4"/>
  <c r="Q49" i="4"/>
  <c r="Q5" i="3"/>
  <c r="Q9" i="3"/>
  <c r="Q13" i="3"/>
  <c r="Q17" i="3"/>
  <c r="Q21" i="3"/>
  <c r="Q25" i="3"/>
  <c r="Q29" i="3"/>
  <c r="Q33" i="3"/>
  <c r="Q37" i="3"/>
  <c r="Q41" i="3"/>
  <c r="Q45" i="3"/>
  <c r="Q49" i="3"/>
  <c r="Q10" i="4"/>
  <c r="Q18" i="4"/>
  <c r="Q26" i="4"/>
  <c r="Q34" i="4"/>
  <c r="Q42" i="4"/>
  <c r="Q50" i="4"/>
  <c r="Q7" i="3"/>
  <c r="Q15" i="3"/>
  <c r="Q23" i="3"/>
  <c r="Q31" i="3"/>
  <c r="Q39" i="3"/>
  <c r="Q47" i="3"/>
  <c r="Q5" i="2"/>
  <c r="Q9" i="2"/>
  <c r="Q13" i="2"/>
  <c r="Q17" i="2"/>
  <c r="Q21" i="2"/>
  <c r="Q25" i="2"/>
  <c r="Q29" i="2"/>
  <c r="Q33" i="2"/>
  <c r="Q37" i="2"/>
  <c r="Q41" i="2"/>
  <c r="Q45" i="2"/>
  <c r="Q49" i="2"/>
  <c r="Q35" i="4"/>
  <c r="Q10" i="3"/>
  <c r="Q18" i="3"/>
  <c r="Q26" i="3"/>
  <c r="Q42" i="3"/>
  <c r="Q50" i="3"/>
  <c r="Q3" i="4"/>
  <c r="Q11" i="4"/>
  <c r="Q19" i="4"/>
  <c r="Q27" i="4"/>
  <c r="Q43" i="4"/>
  <c r="Q51" i="4"/>
  <c r="Q34" i="3"/>
  <c r="Q15" i="4"/>
  <c r="Q31" i="4"/>
  <c r="Q47" i="4"/>
  <c r="Q3" i="3"/>
  <c r="Q19" i="3"/>
  <c r="Q35" i="3"/>
  <c r="Q51" i="3"/>
  <c r="Q6" i="2"/>
  <c r="Q11" i="2"/>
  <c r="Q16" i="2"/>
  <c r="Q22" i="2"/>
  <c r="Q27" i="2"/>
  <c r="Q32" i="2"/>
  <c r="Q38" i="2"/>
  <c r="Q43" i="2"/>
  <c r="Q48" i="2"/>
  <c r="Q7" i="4"/>
  <c r="Q39" i="4"/>
  <c r="Q11" i="3"/>
  <c r="Q27" i="3"/>
  <c r="Q43" i="3"/>
  <c r="Q3" i="2"/>
  <c r="Q8" i="2"/>
  <c r="Q14" i="2"/>
  <c r="Q19" i="2"/>
  <c r="Q24" i="2"/>
  <c r="Q30" i="2"/>
  <c r="Q35" i="2"/>
  <c r="Q40" i="2"/>
  <c r="Q46" i="2"/>
  <c r="Q51" i="2"/>
  <c r="Q14" i="4"/>
  <c r="Q30" i="4"/>
  <c r="Q46" i="4"/>
  <c r="Q14" i="3"/>
  <c r="Q30" i="3"/>
  <c r="Q46" i="3"/>
  <c r="Q4" i="2"/>
  <c r="Q10" i="2"/>
  <c r="Q15" i="2"/>
  <c r="Q20" i="2"/>
  <c r="Q26" i="2"/>
  <c r="Q31" i="2"/>
  <c r="Q36" i="2"/>
  <c r="Q42" i="2"/>
  <c r="Q47" i="2"/>
  <c r="Q52" i="2"/>
  <c r="Q6" i="4"/>
  <c r="Q22" i="4"/>
  <c r="Q38" i="4"/>
  <c r="Q6" i="3"/>
  <c r="Q22" i="3"/>
  <c r="Q38" i="3"/>
  <c r="Q7" i="2"/>
  <c r="Q12" i="2"/>
  <c r="Q18" i="2"/>
  <c r="Q23" i="2"/>
  <c r="Q28" i="2"/>
  <c r="Q34" i="2"/>
  <c r="Q39" i="2"/>
  <c r="Q44" i="2"/>
  <c r="Q50" i="2"/>
  <c r="Q23" i="4"/>
  <c r="AB17" i="11"/>
  <c r="Q16" i="1"/>
  <c r="E14" i="11"/>
  <c r="E10" i="11"/>
  <c r="F16" i="11"/>
  <c r="F12" i="11"/>
  <c r="F8" i="11"/>
  <c r="G14" i="11"/>
  <c r="G10" i="11"/>
  <c r="AA14" i="11"/>
  <c r="AA10" i="11"/>
  <c r="AB16" i="11"/>
  <c r="AB12" i="11"/>
  <c r="AB8" i="11"/>
  <c r="AC14" i="11"/>
  <c r="AC10" i="11"/>
  <c r="AA15" i="11"/>
  <c r="AB9" i="11"/>
  <c r="E17" i="11"/>
  <c r="E13" i="11"/>
  <c r="E9" i="11"/>
  <c r="F15" i="11"/>
  <c r="F11" i="11"/>
  <c r="G17" i="11"/>
  <c r="G13" i="11"/>
  <c r="AA17" i="11"/>
  <c r="AA13" i="11"/>
  <c r="AA9" i="11"/>
  <c r="AB15" i="11"/>
  <c r="AB11" i="11"/>
  <c r="AC17" i="11"/>
  <c r="AC13" i="11"/>
  <c r="E58" i="10"/>
  <c r="E66" i="10"/>
  <c r="G65" i="10"/>
  <c r="AA8" i="10"/>
  <c r="E29" i="10"/>
  <c r="F18" i="10"/>
  <c r="F28" i="10"/>
  <c r="F42" i="10"/>
  <c r="F57" i="10"/>
  <c r="F71" i="10"/>
  <c r="P52" i="10"/>
  <c r="G21" i="10"/>
  <c r="G25" i="10"/>
  <c r="G47" i="10"/>
  <c r="G55" i="10"/>
  <c r="F65" i="10"/>
  <c r="R60" i="10"/>
  <c r="E16" i="10"/>
  <c r="F47" i="10"/>
  <c r="Q8" i="10"/>
  <c r="Q73" i="10" s="1"/>
  <c r="G14" i="10"/>
  <c r="E43" i="10"/>
  <c r="G41" i="10"/>
  <c r="E71" i="10"/>
  <c r="G70" i="10"/>
  <c r="AA4" i="10"/>
  <c r="M8" i="10"/>
  <c r="X8" i="10"/>
  <c r="E21" i="10"/>
  <c r="E13" i="10"/>
  <c r="F16" i="10"/>
  <c r="G20" i="10"/>
  <c r="G12" i="10"/>
  <c r="E25" i="10"/>
  <c r="G34" i="10"/>
  <c r="E47" i="10"/>
  <c r="E41" i="10"/>
  <c r="F46" i="10"/>
  <c r="F41" i="10"/>
  <c r="G45" i="10"/>
  <c r="G40" i="10"/>
  <c r="E55" i="10"/>
  <c r="F53" i="10"/>
  <c r="G54" i="10"/>
  <c r="E70" i="10"/>
  <c r="E65" i="10"/>
  <c r="F69" i="10"/>
  <c r="F64" i="10"/>
  <c r="G69" i="10"/>
  <c r="P60" i="10"/>
  <c r="Q58" i="10"/>
  <c r="R57" i="10"/>
  <c r="AA6" i="10"/>
  <c r="AD8" i="10"/>
  <c r="E18" i="10"/>
  <c r="E12" i="10"/>
  <c r="F15" i="10"/>
  <c r="G17" i="10"/>
  <c r="E34" i="10"/>
  <c r="F34" i="10"/>
  <c r="G33" i="10"/>
  <c r="E45" i="10"/>
  <c r="E40" i="10"/>
  <c r="F45" i="10"/>
  <c r="F39" i="10"/>
  <c r="G44" i="10"/>
  <c r="G39" i="10"/>
  <c r="E51" i="10"/>
  <c r="F52" i="10"/>
  <c r="G51" i="10"/>
  <c r="E69" i="10"/>
  <c r="F73" i="10"/>
  <c r="F68" i="10"/>
  <c r="G73" i="10"/>
  <c r="G67" i="10"/>
  <c r="P56" i="10"/>
  <c r="Q55" i="10"/>
  <c r="R56" i="10"/>
  <c r="R8" i="10"/>
  <c r="AC8" i="10"/>
  <c r="E17" i="10"/>
  <c r="F20" i="10"/>
  <c r="F12" i="10"/>
  <c r="E30" i="10"/>
  <c r="F30" i="10"/>
  <c r="G28" i="10"/>
  <c r="E44" i="10"/>
  <c r="E39" i="10"/>
  <c r="F43" i="10"/>
  <c r="F38" i="10"/>
  <c r="G43" i="10"/>
  <c r="E59" i="10"/>
  <c r="F60" i="10"/>
  <c r="E73" i="10"/>
  <c r="E67" i="10"/>
  <c r="F72" i="10"/>
  <c r="F67" i="10"/>
  <c r="G71" i="10"/>
  <c r="G66" i="10"/>
  <c r="P53" i="10"/>
  <c r="Q54" i="10"/>
  <c r="F32" i="10"/>
  <c r="O5" i="10"/>
  <c r="O8" i="10"/>
  <c r="S5" i="10"/>
  <c r="S8" i="10"/>
  <c r="AB5" i="10"/>
  <c r="AB8" i="10"/>
  <c r="R70" i="10"/>
  <c r="G26" i="10"/>
  <c r="G30" i="10"/>
  <c r="G27" i="10"/>
  <c r="G31" i="10"/>
  <c r="F25" i="10"/>
  <c r="F29" i="10"/>
  <c r="F33" i="10"/>
  <c r="E27" i="10"/>
  <c r="E31" i="10"/>
  <c r="D25" i="10"/>
  <c r="P8" i="10"/>
  <c r="E33" i="10"/>
  <c r="E28" i="10"/>
  <c r="F27" i="10"/>
  <c r="R54" i="10"/>
  <c r="R58" i="10"/>
  <c r="Q52" i="10"/>
  <c r="Q56" i="10"/>
  <c r="Q60" i="10"/>
  <c r="P54" i="10"/>
  <c r="P58" i="10"/>
  <c r="R51" i="10"/>
  <c r="R55" i="10"/>
  <c r="R59" i="10"/>
  <c r="Q53" i="10"/>
  <c r="Q57" i="10"/>
  <c r="P51" i="10"/>
  <c r="P55" i="10"/>
  <c r="P59" i="10"/>
  <c r="G15" i="10"/>
  <c r="G19" i="10"/>
  <c r="F13" i="10"/>
  <c r="F17" i="10"/>
  <c r="F21" i="10"/>
  <c r="E15" i="10"/>
  <c r="E19" i="10"/>
  <c r="G52" i="10"/>
  <c r="G56" i="10"/>
  <c r="G60" i="10"/>
  <c r="F54" i="10"/>
  <c r="F58" i="10"/>
  <c r="E52" i="10"/>
  <c r="E56" i="10"/>
  <c r="E60" i="10"/>
  <c r="G53" i="10"/>
  <c r="G57" i="10"/>
  <c r="F51" i="10"/>
  <c r="F55" i="10"/>
  <c r="F59" i="10"/>
  <c r="E53" i="10"/>
  <c r="E57" i="10"/>
  <c r="P6" i="4"/>
  <c r="P10" i="4"/>
  <c r="P14" i="4"/>
  <c r="P18" i="4"/>
  <c r="P22" i="4"/>
  <c r="P26" i="4"/>
  <c r="P30" i="4"/>
  <c r="P34" i="4"/>
  <c r="P38" i="4"/>
  <c r="P42" i="4"/>
  <c r="P46" i="4"/>
  <c r="P50" i="4"/>
  <c r="P5" i="4"/>
  <c r="P9" i="4"/>
  <c r="P13" i="4"/>
  <c r="P17" i="4"/>
  <c r="P21" i="4"/>
  <c r="P25" i="4"/>
  <c r="P29" i="4"/>
  <c r="P33" i="4"/>
  <c r="P37" i="4"/>
  <c r="P41" i="4"/>
  <c r="P45" i="4"/>
  <c r="P49" i="4"/>
  <c r="P3" i="3"/>
  <c r="P7" i="3"/>
  <c r="P11" i="3"/>
  <c r="P15" i="3"/>
  <c r="P19" i="3"/>
  <c r="P23" i="3"/>
  <c r="P27" i="3"/>
  <c r="P31" i="3"/>
  <c r="P35" i="3"/>
  <c r="P39" i="3"/>
  <c r="P43" i="3"/>
  <c r="P47" i="3"/>
  <c r="P51" i="3"/>
  <c r="P4" i="4"/>
  <c r="P12" i="4"/>
  <c r="P20" i="4"/>
  <c r="P28" i="4"/>
  <c r="P36" i="4"/>
  <c r="P44" i="4"/>
  <c r="P52" i="4"/>
  <c r="P7" i="4"/>
  <c r="P15" i="4"/>
  <c r="P23" i="4"/>
  <c r="P31" i="4"/>
  <c r="P39" i="4"/>
  <c r="P47" i="4"/>
  <c r="P5" i="3"/>
  <c r="P10" i="3"/>
  <c r="P16" i="3"/>
  <c r="P21" i="3"/>
  <c r="P26" i="3"/>
  <c r="P32" i="3"/>
  <c r="P37" i="3"/>
  <c r="P42" i="3"/>
  <c r="P48" i="3"/>
  <c r="P5" i="2"/>
  <c r="P9" i="2"/>
  <c r="P13" i="2"/>
  <c r="P17" i="2"/>
  <c r="P21" i="2"/>
  <c r="P25" i="2"/>
  <c r="P29" i="2"/>
  <c r="P33" i="2"/>
  <c r="P37" i="2"/>
  <c r="P41" i="2"/>
  <c r="P45" i="2"/>
  <c r="P49" i="2"/>
  <c r="P40" i="2"/>
  <c r="P3" i="4"/>
  <c r="P19" i="4"/>
  <c r="P35" i="4"/>
  <c r="P51" i="4"/>
  <c r="P6" i="3"/>
  <c r="P13" i="3"/>
  <c r="P20" i="3"/>
  <c r="P28" i="3"/>
  <c r="P34" i="3"/>
  <c r="P41" i="3"/>
  <c r="P49" i="3"/>
  <c r="P6" i="2"/>
  <c r="P11" i="2"/>
  <c r="P16" i="2"/>
  <c r="P22" i="2"/>
  <c r="P27" i="2"/>
  <c r="P32" i="2"/>
  <c r="P38" i="2"/>
  <c r="P43" i="2"/>
  <c r="P48" i="2"/>
  <c r="P8" i="4"/>
  <c r="P24" i="4"/>
  <c r="P40" i="4"/>
  <c r="P8" i="3"/>
  <c r="P14" i="3"/>
  <c r="P22" i="3"/>
  <c r="P29" i="3"/>
  <c r="P36" i="3"/>
  <c r="P44" i="3"/>
  <c r="P50" i="3"/>
  <c r="P7" i="2"/>
  <c r="P12" i="2"/>
  <c r="P18" i="2"/>
  <c r="P23" i="2"/>
  <c r="P28" i="2"/>
  <c r="P34" i="2"/>
  <c r="P39" i="2"/>
  <c r="P44" i="2"/>
  <c r="P50" i="2"/>
  <c r="P11" i="4"/>
  <c r="P27" i="4"/>
  <c r="P43" i="4"/>
  <c r="P9" i="3"/>
  <c r="P17" i="3"/>
  <c r="P24" i="3"/>
  <c r="P30" i="3"/>
  <c r="P38" i="3"/>
  <c r="P45" i="3"/>
  <c r="P52" i="3"/>
  <c r="P3" i="2"/>
  <c r="P8" i="2"/>
  <c r="P14" i="2"/>
  <c r="P19" i="2"/>
  <c r="P24" i="2"/>
  <c r="P30" i="2"/>
  <c r="P35" i="2"/>
  <c r="P46" i="2"/>
  <c r="P51" i="2"/>
  <c r="P16" i="4"/>
  <c r="P32" i="4"/>
  <c r="P48" i="4"/>
  <c r="P18" i="3"/>
  <c r="P46" i="3"/>
  <c r="P15" i="2"/>
  <c r="P36" i="2"/>
  <c r="P25" i="3"/>
  <c r="P20" i="2"/>
  <c r="P42" i="2"/>
  <c r="P4" i="3"/>
  <c r="P33" i="3"/>
  <c r="P4" i="2"/>
  <c r="P26" i="2"/>
  <c r="P47" i="2"/>
  <c r="P12" i="3"/>
  <c r="P40" i="3"/>
  <c r="P10" i="2"/>
  <c r="P31" i="2"/>
  <c r="P52" i="2"/>
  <c r="P3" i="1"/>
  <c r="Z8" i="10"/>
  <c r="E20" i="10"/>
  <c r="E14" i="10"/>
  <c r="F19" i="10"/>
  <c r="F14" i="10"/>
  <c r="G18" i="10"/>
  <c r="G13" i="10"/>
  <c r="E32" i="10"/>
  <c r="E26" i="10"/>
  <c r="F31" i="10"/>
  <c r="F26" i="10"/>
  <c r="G29" i="10"/>
  <c r="E54" i="10"/>
  <c r="F56" i="10"/>
  <c r="G58" i="10"/>
  <c r="P57" i="10"/>
  <c r="Q59" i="10"/>
  <c r="Q51" i="10"/>
  <c r="R53" i="10"/>
  <c r="E46" i="10"/>
  <c r="E42" i="10"/>
  <c r="E38" i="10"/>
  <c r="F44" i="10"/>
  <c r="F40" i="10"/>
  <c r="G46" i="10"/>
  <c r="G42" i="10"/>
  <c r="E72" i="10"/>
  <c r="E68" i="10"/>
  <c r="E64" i="10"/>
  <c r="F70" i="10"/>
  <c r="F66" i="10"/>
  <c r="G72" i="10"/>
  <c r="G68" i="10"/>
  <c r="AD7" i="9"/>
  <c r="F20" i="9"/>
  <c r="E26" i="9"/>
  <c r="G30" i="9"/>
  <c r="F58" i="9"/>
  <c r="G52" i="9"/>
  <c r="Q24" i="9"/>
  <c r="F12" i="9"/>
  <c r="F31" i="9"/>
  <c r="G25" i="9"/>
  <c r="F57" i="9"/>
  <c r="G51" i="9"/>
  <c r="R26" i="9"/>
  <c r="G14" i="9"/>
  <c r="F28" i="9"/>
  <c r="E56" i="9"/>
  <c r="F50" i="9"/>
  <c r="P30" i="9"/>
  <c r="AA31" i="9"/>
  <c r="E18" i="9"/>
  <c r="E29" i="9"/>
  <c r="G33" i="9"/>
  <c r="E55" i="9"/>
  <c r="G59" i="9"/>
  <c r="Q32" i="9"/>
  <c r="AB29" i="9"/>
  <c r="G11" i="9"/>
  <c r="E45" i="9"/>
  <c r="AB25" i="9"/>
  <c r="F17" i="9"/>
  <c r="P27" i="9"/>
  <c r="R31" i="9"/>
  <c r="O38" i="1"/>
  <c r="Q7" i="9"/>
  <c r="Q54" i="9" s="1"/>
  <c r="E14" i="9"/>
  <c r="F16" i="9"/>
  <c r="G18" i="9"/>
  <c r="E33" i="9"/>
  <c r="E25" i="9"/>
  <c r="F27" i="9"/>
  <c r="G29" i="9"/>
  <c r="E41" i="9"/>
  <c r="E52" i="9"/>
  <c r="F54" i="9"/>
  <c r="G56" i="9"/>
  <c r="O24" i="9"/>
  <c r="P26" i="9"/>
  <c r="Q28" i="9"/>
  <c r="R30" i="9"/>
  <c r="AA27" i="9"/>
  <c r="AC31" i="9"/>
  <c r="E15" i="9"/>
  <c r="G19" i="9"/>
  <c r="Q29" i="9"/>
  <c r="Z7" i="9"/>
  <c r="E19" i="9"/>
  <c r="E11" i="9"/>
  <c r="F13" i="9"/>
  <c r="G15" i="9"/>
  <c r="E30" i="9"/>
  <c r="F32" i="9"/>
  <c r="F24" i="9"/>
  <c r="G26" i="9"/>
  <c r="E59" i="9"/>
  <c r="E51" i="9"/>
  <c r="F53" i="9"/>
  <c r="G55" i="9"/>
  <c r="P31" i="9"/>
  <c r="Q33" i="9"/>
  <c r="Q25" i="9"/>
  <c r="R27" i="9"/>
  <c r="AB33" i="9"/>
  <c r="AC27" i="9"/>
  <c r="R6" i="9"/>
  <c r="R7" i="9"/>
  <c r="M6" i="9"/>
  <c r="M7" i="9"/>
  <c r="AA6" i="9"/>
  <c r="AA7" i="9"/>
  <c r="G38" i="9"/>
  <c r="G42" i="9"/>
  <c r="G46" i="9"/>
  <c r="F40" i="9"/>
  <c r="F44" i="9"/>
  <c r="E38" i="9"/>
  <c r="E42" i="9"/>
  <c r="E46" i="9"/>
  <c r="G44" i="9"/>
  <c r="F38" i="9"/>
  <c r="F46" i="9"/>
  <c r="E40" i="9"/>
  <c r="G41" i="9"/>
  <c r="G45" i="9"/>
  <c r="F43" i="9"/>
  <c r="G39" i="9"/>
  <c r="G43" i="9"/>
  <c r="F37" i="9"/>
  <c r="F41" i="9"/>
  <c r="F45" i="9"/>
  <c r="E39" i="9"/>
  <c r="E43" i="9"/>
  <c r="G40" i="9"/>
  <c r="F42" i="9"/>
  <c r="E44" i="9"/>
  <c r="G37" i="9"/>
  <c r="F39" i="9"/>
  <c r="O26" i="1"/>
  <c r="O3" i="1"/>
  <c r="AA26" i="9"/>
  <c r="AB28" i="9"/>
  <c r="AC26" i="9"/>
  <c r="AB4" i="9"/>
  <c r="O7" i="9"/>
  <c r="S7" i="9"/>
  <c r="AB7" i="9"/>
  <c r="E17" i="9"/>
  <c r="E13" i="9"/>
  <c r="F19" i="9"/>
  <c r="F15" i="9"/>
  <c r="F11" i="9"/>
  <c r="G17" i="9"/>
  <c r="G13" i="9"/>
  <c r="E32" i="9"/>
  <c r="E28" i="9"/>
  <c r="E24" i="9"/>
  <c r="F30" i="9"/>
  <c r="F26" i="9"/>
  <c r="G32" i="9"/>
  <c r="G28" i="9"/>
  <c r="G24" i="9"/>
  <c r="E58" i="9"/>
  <c r="E54" i="9"/>
  <c r="E50" i="9"/>
  <c r="F56" i="9"/>
  <c r="F52" i="9"/>
  <c r="G58" i="9"/>
  <c r="G54" i="9"/>
  <c r="G50" i="9"/>
  <c r="P33" i="9"/>
  <c r="P29" i="9"/>
  <c r="P25" i="9"/>
  <c r="Q31" i="9"/>
  <c r="Q27" i="9"/>
  <c r="R33" i="9"/>
  <c r="R29" i="9"/>
  <c r="R25" i="9"/>
  <c r="AA33" i="9"/>
  <c r="AA29" i="9"/>
  <c r="AA25" i="9"/>
  <c r="AB31" i="9"/>
  <c r="AB27" i="9"/>
  <c r="AC33" i="9"/>
  <c r="AC29" i="9"/>
  <c r="AC25" i="9"/>
  <c r="AA30" i="9"/>
  <c r="AB32" i="9"/>
  <c r="AB24" i="9"/>
  <c r="AC30" i="9"/>
  <c r="O4" i="4"/>
  <c r="O8" i="4"/>
  <c r="O12" i="4"/>
  <c r="O16" i="4"/>
  <c r="O20" i="4"/>
  <c r="O24" i="4"/>
  <c r="O28" i="4"/>
  <c r="O32" i="4"/>
  <c r="O36" i="4"/>
  <c r="O40" i="4"/>
  <c r="O44" i="4"/>
  <c r="O48" i="4"/>
  <c r="O52" i="4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" i="4"/>
  <c r="O9" i="4"/>
  <c r="O13" i="4"/>
  <c r="O17" i="4"/>
  <c r="O21" i="4"/>
  <c r="O25" i="4"/>
  <c r="O29" i="4"/>
  <c r="O33" i="4"/>
  <c r="O37" i="4"/>
  <c r="O41" i="4"/>
  <c r="O45" i="4"/>
  <c r="O49" i="4"/>
  <c r="O5" i="3"/>
  <c r="O9" i="3"/>
  <c r="O13" i="3"/>
  <c r="O17" i="3"/>
  <c r="O21" i="3"/>
  <c r="O25" i="3"/>
  <c r="O29" i="3"/>
  <c r="O33" i="3"/>
  <c r="O37" i="3"/>
  <c r="O41" i="3"/>
  <c r="O45" i="3"/>
  <c r="O49" i="3"/>
  <c r="O10" i="4"/>
  <c r="O18" i="4"/>
  <c r="O26" i="4"/>
  <c r="O34" i="4"/>
  <c r="O42" i="4"/>
  <c r="O50" i="4"/>
  <c r="O7" i="3"/>
  <c r="O15" i="3"/>
  <c r="O23" i="3"/>
  <c r="O31" i="3"/>
  <c r="O39" i="3"/>
  <c r="O47" i="3"/>
  <c r="O5" i="2"/>
  <c r="O9" i="2"/>
  <c r="O13" i="2"/>
  <c r="O17" i="2"/>
  <c r="O21" i="2"/>
  <c r="O25" i="2"/>
  <c r="O29" i="2"/>
  <c r="O33" i="2"/>
  <c r="O37" i="2"/>
  <c r="O41" i="2"/>
  <c r="O45" i="2"/>
  <c r="O49" i="2"/>
  <c r="O6" i="4"/>
  <c r="O22" i="4"/>
  <c r="O38" i="4"/>
  <c r="O3" i="4"/>
  <c r="O11" i="4"/>
  <c r="O19" i="4"/>
  <c r="O27" i="4"/>
  <c r="O35" i="4"/>
  <c r="O43" i="4"/>
  <c r="O51" i="4"/>
  <c r="O10" i="3"/>
  <c r="O18" i="3"/>
  <c r="O26" i="3"/>
  <c r="O34" i="3"/>
  <c r="O42" i="3"/>
  <c r="O50" i="3"/>
  <c r="O6" i="2"/>
  <c r="O10" i="2"/>
  <c r="O14" i="2"/>
  <c r="O18" i="2"/>
  <c r="O22" i="2"/>
  <c r="O26" i="2"/>
  <c r="O30" i="2"/>
  <c r="O34" i="2"/>
  <c r="O38" i="2"/>
  <c r="O42" i="2"/>
  <c r="O46" i="2"/>
  <c r="O50" i="2"/>
  <c r="O14" i="4"/>
  <c r="O30" i="4"/>
  <c r="O46" i="4"/>
  <c r="O7" i="4"/>
  <c r="O39" i="4"/>
  <c r="O11" i="3"/>
  <c r="O27" i="3"/>
  <c r="O43" i="3"/>
  <c r="O8" i="2"/>
  <c r="O16" i="2"/>
  <c r="O24" i="2"/>
  <c r="O32" i="2"/>
  <c r="O40" i="2"/>
  <c r="O48" i="2"/>
  <c r="O3" i="3"/>
  <c r="O51" i="3"/>
  <c r="O4" i="2"/>
  <c r="O28" i="2"/>
  <c r="O52" i="2"/>
  <c r="O31" i="4"/>
  <c r="O6" i="3"/>
  <c r="O15" i="2"/>
  <c r="O31" i="2"/>
  <c r="O15" i="4"/>
  <c r="O47" i="4"/>
  <c r="O14" i="3"/>
  <c r="O30" i="3"/>
  <c r="O46" i="3"/>
  <c r="O3" i="2"/>
  <c r="O11" i="2"/>
  <c r="O19" i="2"/>
  <c r="O27" i="2"/>
  <c r="O35" i="2"/>
  <c r="O43" i="2"/>
  <c r="O51" i="2"/>
  <c r="O23" i="4"/>
  <c r="O19" i="3"/>
  <c r="O35" i="3"/>
  <c r="O12" i="2"/>
  <c r="O20" i="2"/>
  <c r="O36" i="2"/>
  <c r="O44" i="2"/>
  <c r="O22" i="3"/>
  <c r="O38" i="3"/>
  <c r="O7" i="2"/>
  <c r="O23" i="2"/>
  <c r="O39" i="2"/>
  <c r="O47" i="2"/>
  <c r="P7" i="9"/>
  <c r="X7" i="9"/>
  <c r="AC7" i="9"/>
  <c r="E20" i="9"/>
  <c r="E16" i="9"/>
  <c r="E12" i="9"/>
  <c r="F18" i="9"/>
  <c r="F14" i="9"/>
  <c r="G20" i="9"/>
  <c r="G16" i="9"/>
  <c r="E31" i="9"/>
  <c r="E27" i="9"/>
  <c r="F33" i="9"/>
  <c r="F29" i="9"/>
  <c r="F25" i="9"/>
  <c r="G31" i="9"/>
  <c r="E57" i="9"/>
  <c r="E53" i="9"/>
  <c r="F59" i="9"/>
  <c r="F55" i="9"/>
  <c r="F51" i="9"/>
  <c r="G57" i="9"/>
  <c r="P32" i="9"/>
  <c r="P28" i="9"/>
  <c r="P24" i="9"/>
  <c r="Q30" i="9"/>
  <c r="Q26" i="9"/>
  <c r="R32" i="9"/>
  <c r="R28" i="9"/>
  <c r="AA32" i="9"/>
  <c r="AA28" i="9"/>
  <c r="AA24" i="9"/>
  <c r="AB30" i="9"/>
  <c r="AB26" i="9"/>
  <c r="AC32" i="9"/>
  <c r="AC28" i="9"/>
  <c r="G17" i="8"/>
  <c r="Z4" i="8"/>
  <c r="P23" i="8"/>
  <c r="Q25" i="8"/>
  <c r="F15" i="8"/>
  <c r="G9" i="8"/>
  <c r="R27" i="8"/>
  <c r="AR12" i="1"/>
  <c r="AR4" i="1"/>
  <c r="E13" i="8"/>
  <c r="P31" i="8"/>
  <c r="E12" i="8"/>
  <c r="F14" i="8"/>
  <c r="G16" i="8"/>
  <c r="E31" i="8"/>
  <c r="E23" i="8"/>
  <c r="F25" i="8"/>
  <c r="G27" i="8"/>
  <c r="P28" i="8"/>
  <c r="Q30" i="8"/>
  <c r="Q22" i="8"/>
  <c r="R24" i="8"/>
  <c r="E24" i="8"/>
  <c r="G28" i="8"/>
  <c r="AR48" i="1"/>
  <c r="N14" i="1"/>
  <c r="E17" i="8"/>
  <c r="E9" i="8"/>
  <c r="F11" i="8"/>
  <c r="G13" i="8"/>
  <c r="E28" i="8"/>
  <c r="F30" i="8"/>
  <c r="F22" i="8"/>
  <c r="G24" i="8"/>
  <c r="P27" i="8"/>
  <c r="Q29" i="8"/>
  <c r="R31" i="8"/>
  <c r="R23" i="8"/>
  <c r="F26" i="8"/>
  <c r="E16" i="8"/>
  <c r="F18" i="8"/>
  <c r="F10" i="8"/>
  <c r="G12" i="8"/>
  <c r="E27" i="8"/>
  <c r="F29" i="8"/>
  <c r="G31" i="8"/>
  <c r="G23" i="8"/>
  <c r="P24" i="8"/>
  <c r="Q26" i="8"/>
  <c r="R28" i="8"/>
  <c r="AB14" i="8"/>
  <c r="AA13" i="8"/>
  <c r="AB15" i="8"/>
  <c r="AC17" i="8"/>
  <c r="AC9" i="8"/>
  <c r="N30" i="1"/>
  <c r="AA16" i="8"/>
  <c r="AB18" i="8"/>
  <c r="AC16" i="8"/>
  <c r="N15" i="1"/>
  <c r="N47" i="1"/>
  <c r="N39" i="1"/>
  <c r="AR6" i="4"/>
  <c r="AR10" i="4"/>
  <c r="AR14" i="4"/>
  <c r="AR18" i="4"/>
  <c r="AR22" i="4"/>
  <c r="AR26" i="4"/>
  <c r="AR30" i="4"/>
  <c r="AR34" i="4"/>
  <c r="AR38" i="4"/>
  <c r="AR42" i="4"/>
  <c r="AR46" i="4"/>
  <c r="AR50" i="4"/>
  <c r="AR4" i="3"/>
  <c r="AR8" i="3"/>
  <c r="AR12" i="3"/>
  <c r="AR16" i="3"/>
  <c r="AR20" i="3"/>
  <c r="AR24" i="3"/>
  <c r="AR28" i="3"/>
  <c r="AR32" i="3"/>
  <c r="AR36" i="3"/>
  <c r="AR40" i="3"/>
  <c r="AR44" i="3"/>
  <c r="AR48" i="3"/>
  <c r="AR52" i="3"/>
  <c r="AR6" i="2"/>
  <c r="AR10" i="2"/>
  <c r="AR14" i="2"/>
  <c r="AR18" i="2"/>
  <c r="AR22" i="2"/>
  <c r="AR26" i="2"/>
  <c r="AR30" i="2"/>
  <c r="AR34" i="2"/>
  <c r="AR38" i="2"/>
  <c r="AR42" i="2"/>
  <c r="AR3" i="4"/>
  <c r="AR7" i="4"/>
  <c r="AR11" i="4"/>
  <c r="AR15" i="4"/>
  <c r="AR19" i="4"/>
  <c r="AR23" i="4"/>
  <c r="AR27" i="4"/>
  <c r="AR31" i="4"/>
  <c r="AR35" i="4"/>
  <c r="AR39" i="4"/>
  <c r="AR43" i="4"/>
  <c r="AR47" i="4"/>
  <c r="AR51" i="4"/>
  <c r="AR5" i="3"/>
  <c r="AR9" i="3"/>
  <c r="AR13" i="3"/>
  <c r="AR17" i="3"/>
  <c r="AR21" i="3"/>
  <c r="AR25" i="3"/>
  <c r="AR29" i="3"/>
  <c r="AR33" i="3"/>
  <c r="AR37" i="3"/>
  <c r="AR41" i="3"/>
  <c r="AR45" i="3"/>
  <c r="AR49" i="3"/>
  <c r="AR3" i="2"/>
  <c r="AR7" i="2"/>
  <c r="AR11" i="2"/>
  <c r="AR15" i="2"/>
  <c r="AR19" i="2"/>
  <c r="AR23" i="2"/>
  <c r="AR27" i="2"/>
  <c r="AR31" i="2"/>
  <c r="AR35" i="2"/>
  <c r="AR39" i="2"/>
  <c r="AR4" i="4"/>
  <c r="AR8" i="4"/>
  <c r="AR12" i="4"/>
  <c r="AR16" i="4"/>
  <c r="AR20" i="4"/>
  <c r="AR24" i="4"/>
  <c r="AR28" i="4"/>
  <c r="AR32" i="4"/>
  <c r="AR36" i="4"/>
  <c r="AR40" i="4"/>
  <c r="AR44" i="4"/>
  <c r="AR48" i="4"/>
  <c r="AR52" i="4"/>
  <c r="AR6" i="3"/>
  <c r="AR10" i="3"/>
  <c r="AR14" i="3"/>
  <c r="AR18" i="3"/>
  <c r="AR22" i="3"/>
  <c r="AR26" i="3"/>
  <c r="AR30" i="3"/>
  <c r="AR34" i="3"/>
  <c r="AR38" i="3"/>
  <c r="AR42" i="3"/>
  <c r="AR46" i="3"/>
  <c r="AR50" i="3"/>
  <c r="AR4" i="2"/>
  <c r="AR17" i="4"/>
  <c r="AR33" i="4"/>
  <c r="AR49" i="4"/>
  <c r="AR11" i="3"/>
  <c r="AR27" i="3"/>
  <c r="AR43" i="3"/>
  <c r="AR5" i="2"/>
  <c r="AR13" i="2"/>
  <c r="AR21" i="2"/>
  <c r="AR29" i="2"/>
  <c r="AR37" i="2"/>
  <c r="AR44" i="2"/>
  <c r="AR48" i="2"/>
  <c r="AR52" i="2"/>
  <c r="AR9" i="2"/>
  <c r="AR33" i="2"/>
  <c r="AR46" i="2"/>
  <c r="AR50" i="2"/>
  <c r="AR13" i="4"/>
  <c r="AR7" i="3"/>
  <c r="AR5" i="4"/>
  <c r="AR21" i="4"/>
  <c r="AR37" i="4"/>
  <c r="AR15" i="3"/>
  <c r="AR31" i="3"/>
  <c r="AR47" i="3"/>
  <c r="AR8" i="2"/>
  <c r="AR16" i="2"/>
  <c r="AR24" i="2"/>
  <c r="AR32" i="2"/>
  <c r="AR40" i="2"/>
  <c r="AR45" i="2"/>
  <c r="AR49" i="2"/>
  <c r="AR17" i="2"/>
  <c r="AR25" i="2"/>
  <c r="AR41" i="2"/>
  <c r="AR29" i="4"/>
  <c r="AR45" i="4"/>
  <c r="AR23" i="3"/>
  <c r="AR39" i="3"/>
  <c r="AR9" i="4"/>
  <c r="AR25" i="4"/>
  <c r="AR41" i="4"/>
  <c r="AR3" i="3"/>
  <c r="AR19" i="3"/>
  <c r="AR35" i="3"/>
  <c r="AR51" i="3"/>
  <c r="AR36" i="2"/>
  <c r="AR20" i="2"/>
  <c r="AR12" i="2"/>
  <c r="AR43" i="2"/>
  <c r="AR47" i="2"/>
  <c r="AR28" i="2"/>
  <c r="AR51" i="2"/>
  <c r="Q4" i="8"/>
  <c r="O15" i="8" s="1"/>
  <c r="AD4" i="8"/>
  <c r="E15" i="8"/>
  <c r="E11" i="8"/>
  <c r="F17" i="8"/>
  <c r="F13" i="8"/>
  <c r="F9" i="8"/>
  <c r="G15" i="8"/>
  <c r="G11" i="8"/>
  <c r="E30" i="8"/>
  <c r="E26" i="8"/>
  <c r="E22" i="8"/>
  <c r="F28" i="8"/>
  <c r="F24" i="8"/>
  <c r="G30" i="8"/>
  <c r="G26" i="8"/>
  <c r="G22" i="8"/>
  <c r="P30" i="8"/>
  <c r="P26" i="8"/>
  <c r="P22" i="8"/>
  <c r="Q28" i="8"/>
  <c r="Q24" i="8"/>
  <c r="R30" i="8"/>
  <c r="R26" i="8"/>
  <c r="R22" i="8"/>
  <c r="AA15" i="8"/>
  <c r="AA11" i="8"/>
  <c r="AB17" i="8"/>
  <c r="AB13" i="8"/>
  <c r="AB9" i="8"/>
  <c r="AC15" i="8"/>
  <c r="AC11" i="8"/>
  <c r="AA17" i="8"/>
  <c r="AA9" i="8"/>
  <c r="AB11" i="8"/>
  <c r="AC13" i="8"/>
  <c r="P4" i="8"/>
  <c r="AC4" i="8"/>
  <c r="N3" i="1"/>
  <c r="AA12" i="8"/>
  <c r="AB10" i="8"/>
  <c r="AC12" i="8"/>
  <c r="X4" i="8"/>
  <c r="N6" i="4"/>
  <c r="N10" i="4"/>
  <c r="N14" i="4"/>
  <c r="N18" i="4"/>
  <c r="N22" i="4"/>
  <c r="N26" i="4"/>
  <c r="N30" i="4"/>
  <c r="N34" i="4"/>
  <c r="N38" i="4"/>
  <c r="N42" i="4"/>
  <c r="N46" i="4"/>
  <c r="N50" i="4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" i="3"/>
  <c r="N9" i="3"/>
  <c r="N13" i="3"/>
  <c r="N17" i="3"/>
  <c r="N21" i="3"/>
  <c r="N25" i="3"/>
  <c r="N29" i="3"/>
  <c r="N33" i="3"/>
  <c r="N37" i="3"/>
  <c r="N41" i="3"/>
  <c r="N45" i="3"/>
  <c r="N49" i="3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6" i="3"/>
  <c r="N10" i="3"/>
  <c r="N14" i="3"/>
  <c r="N18" i="3"/>
  <c r="N22" i="3"/>
  <c r="N26" i="3"/>
  <c r="N30" i="3"/>
  <c r="N34" i="3"/>
  <c r="N38" i="3"/>
  <c r="N42" i="3"/>
  <c r="N46" i="3"/>
  <c r="N50" i="3"/>
  <c r="N13" i="4"/>
  <c r="N29" i="4"/>
  <c r="N45" i="4"/>
  <c r="N7" i="3"/>
  <c r="N23" i="3"/>
  <c r="N39" i="3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" i="2"/>
  <c r="N13" i="2"/>
  <c r="N21" i="2"/>
  <c r="N29" i="2"/>
  <c r="N37" i="2"/>
  <c r="N45" i="2"/>
  <c r="N10" i="2"/>
  <c r="N14" i="2"/>
  <c r="N22" i="2"/>
  <c r="N30" i="2"/>
  <c r="N38" i="2"/>
  <c r="N46" i="2"/>
  <c r="N25" i="4"/>
  <c r="N19" i="3"/>
  <c r="N51" i="3"/>
  <c r="N17" i="4"/>
  <c r="N33" i="4"/>
  <c r="N49" i="4"/>
  <c r="N11" i="3"/>
  <c r="N27" i="3"/>
  <c r="N43" i="3"/>
  <c r="N9" i="2"/>
  <c r="N17" i="2"/>
  <c r="N25" i="2"/>
  <c r="N33" i="2"/>
  <c r="N41" i="2"/>
  <c r="N49" i="2"/>
  <c r="N47" i="3"/>
  <c r="N6" i="2"/>
  <c r="N18" i="2"/>
  <c r="N26" i="2"/>
  <c r="N34" i="2"/>
  <c r="N42" i="2"/>
  <c r="N50" i="2"/>
  <c r="N9" i="4"/>
  <c r="N41" i="4"/>
  <c r="N3" i="3"/>
  <c r="N35" i="3"/>
  <c r="N5" i="4"/>
  <c r="N21" i="4"/>
  <c r="N37" i="4"/>
  <c r="N15" i="3"/>
  <c r="N31" i="3"/>
  <c r="N3" i="2"/>
  <c r="N19" i="2"/>
  <c r="N35" i="2"/>
  <c r="N51" i="2"/>
  <c r="N7" i="2"/>
  <c r="N23" i="2"/>
  <c r="N39" i="2"/>
  <c r="N11" i="2"/>
  <c r="N27" i="2"/>
  <c r="N43" i="2"/>
  <c r="N31" i="2"/>
  <c r="N15" i="2"/>
  <c r="N47" i="2"/>
  <c r="E18" i="8"/>
  <c r="E14" i="8"/>
  <c r="E10" i="8"/>
  <c r="F16" i="8"/>
  <c r="F12" i="8"/>
  <c r="G18" i="8"/>
  <c r="G14" i="8"/>
  <c r="E29" i="8"/>
  <c r="E25" i="8"/>
  <c r="F31" i="8"/>
  <c r="F27" i="8"/>
  <c r="F23" i="8"/>
  <c r="G29" i="8"/>
  <c r="P29" i="8"/>
  <c r="P25" i="8"/>
  <c r="Q31" i="8"/>
  <c r="Q27" i="8"/>
  <c r="Q23" i="8"/>
  <c r="R29" i="8"/>
  <c r="AA18" i="8"/>
  <c r="AA14" i="8"/>
  <c r="AA10" i="8"/>
  <c r="AB16" i="8"/>
  <c r="AB12" i="8"/>
  <c r="AC18" i="8"/>
  <c r="AC14" i="8"/>
  <c r="E37" i="7"/>
  <c r="F13" i="7"/>
  <c r="M36" i="1"/>
  <c r="G15" i="7"/>
  <c r="G41" i="7"/>
  <c r="E11" i="7"/>
  <c r="F39" i="7"/>
  <c r="E19" i="7"/>
  <c r="E45" i="7"/>
  <c r="E18" i="7"/>
  <c r="E10" i="7"/>
  <c r="F12" i="7"/>
  <c r="G14" i="7"/>
  <c r="E42" i="7"/>
  <c r="F44" i="7"/>
  <c r="F36" i="7"/>
  <c r="G38" i="7"/>
  <c r="E15" i="7"/>
  <c r="F17" i="7"/>
  <c r="G19" i="7"/>
  <c r="G11" i="7"/>
  <c r="E41" i="7"/>
  <c r="F43" i="7"/>
  <c r="G45" i="7"/>
  <c r="G37" i="7"/>
  <c r="E14" i="7"/>
  <c r="F16" i="7"/>
  <c r="G18" i="7"/>
  <c r="G10" i="7"/>
  <c r="E38" i="7"/>
  <c r="F40" i="7"/>
  <c r="G42" i="7"/>
  <c r="F31" i="7"/>
  <c r="F23" i="7"/>
  <c r="G25" i="7"/>
  <c r="AA12" i="7"/>
  <c r="AB10" i="7"/>
  <c r="AC16" i="7"/>
  <c r="M3" i="1"/>
  <c r="E32" i="7"/>
  <c r="E24" i="7"/>
  <c r="F26" i="7"/>
  <c r="G28" i="7"/>
  <c r="AA15" i="7"/>
  <c r="AB17" i="7"/>
  <c r="AC19" i="7"/>
  <c r="AC15" i="7"/>
  <c r="E17" i="7"/>
  <c r="F19" i="7"/>
  <c r="F11" i="7"/>
  <c r="G17" i="7"/>
  <c r="G13" i="7"/>
  <c r="E31" i="7"/>
  <c r="E23" i="7"/>
  <c r="F29" i="7"/>
  <c r="F25" i="7"/>
  <c r="G31" i="7"/>
  <c r="G27" i="7"/>
  <c r="G23" i="7"/>
  <c r="E44" i="7"/>
  <c r="E40" i="7"/>
  <c r="E36" i="7"/>
  <c r="F42" i="7"/>
  <c r="F38" i="7"/>
  <c r="G44" i="7"/>
  <c r="G40" i="7"/>
  <c r="G36" i="7"/>
  <c r="AA18" i="7"/>
  <c r="AA14" i="7"/>
  <c r="AA10" i="7"/>
  <c r="AB16" i="7"/>
  <c r="AB12" i="7"/>
  <c r="AC18" i="7"/>
  <c r="AC14" i="7"/>
  <c r="AC10" i="7"/>
  <c r="E29" i="7"/>
  <c r="E25" i="7"/>
  <c r="F27" i="7"/>
  <c r="G29" i="7"/>
  <c r="AA16" i="7"/>
  <c r="AB18" i="7"/>
  <c r="AB14" i="7"/>
  <c r="AC12" i="7"/>
  <c r="E28" i="7"/>
  <c r="F30" i="7"/>
  <c r="G32" i="7"/>
  <c r="G24" i="7"/>
  <c r="AA19" i="7"/>
  <c r="AA11" i="7"/>
  <c r="AB13" i="7"/>
  <c r="AC11" i="7"/>
  <c r="E13" i="7"/>
  <c r="F15" i="7"/>
  <c r="E27" i="7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6" i="4"/>
  <c r="M14" i="4"/>
  <c r="M22" i="4"/>
  <c r="M30" i="4"/>
  <c r="M38" i="4"/>
  <c r="M46" i="4"/>
  <c r="M6" i="3"/>
  <c r="M12" i="3"/>
  <c r="M17" i="3"/>
  <c r="M22" i="3"/>
  <c r="M28" i="3"/>
  <c r="M33" i="3"/>
  <c r="M38" i="3"/>
  <c r="M44" i="3"/>
  <c r="M49" i="3"/>
  <c r="M5" i="2"/>
  <c r="M9" i="2"/>
  <c r="M13" i="2"/>
  <c r="M17" i="2"/>
  <c r="M21" i="2"/>
  <c r="M25" i="2"/>
  <c r="M29" i="2"/>
  <c r="M33" i="2"/>
  <c r="M37" i="2"/>
  <c r="M41" i="2"/>
  <c r="M45" i="2"/>
  <c r="M49" i="2"/>
  <c r="M10" i="4"/>
  <c r="M26" i="4"/>
  <c r="M9" i="4"/>
  <c r="M17" i="4"/>
  <c r="M25" i="4"/>
  <c r="M33" i="4"/>
  <c r="M41" i="4"/>
  <c r="M49" i="4"/>
  <c r="M8" i="3"/>
  <c r="M13" i="3"/>
  <c r="M18" i="3"/>
  <c r="M24" i="3"/>
  <c r="M29" i="3"/>
  <c r="M34" i="3"/>
  <c r="M40" i="3"/>
  <c r="M45" i="3"/>
  <c r="M50" i="3"/>
  <c r="M6" i="2"/>
  <c r="M10" i="2"/>
  <c r="M14" i="2"/>
  <c r="M18" i="2"/>
  <c r="M22" i="2"/>
  <c r="M26" i="2"/>
  <c r="M30" i="2"/>
  <c r="M34" i="2"/>
  <c r="M38" i="2"/>
  <c r="M42" i="2"/>
  <c r="M46" i="2"/>
  <c r="M50" i="2"/>
  <c r="M18" i="4"/>
  <c r="M34" i="4"/>
  <c r="M13" i="4"/>
  <c r="M42" i="4"/>
  <c r="M4" i="3"/>
  <c r="M14" i="3"/>
  <c r="M25" i="3"/>
  <c r="M36" i="3"/>
  <c r="M46" i="3"/>
  <c r="M8" i="2"/>
  <c r="M16" i="2"/>
  <c r="M24" i="2"/>
  <c r="M32" i="2"/>
  <c r="M40" i="2"/>
  <c r="M48" i="2"/>
  <c r="M3" i="2"/>
  <c r="M19" i="2"/>
  <c r="M27" i="2"/>
  <c r="M35" i="2"/>
  <c r="M51" i="2"/>
  <c r="M21" i="4"/>
  <c r="M45" i="4"/>
  <c r="M5" i="3"/>
  <c r="M16" i="3"/>
  <c r="M26" i="3"/>
  <c r="M37" i="3"/>
  <c r="M48" i="3"/>
  <c r="M11" i="2"/>
  <c r="M43" i="2"/>
  <c r="M29" i="4"/>
  <c r="M50" i="4"/>
  <c r="M9" i="3"/>
  <c r="M20" i="3"/>
  <c r="M30" i="3"/>
  <c r="M41" i="3"/>
  <c r="M52" i="3"/>
  <c r="M4" i="2"/>
  <c r="M12" i="2"/>
  <c r="M20" i="2"/>
  <c r="M28" i="2"/>
  <c r="M36" i="2"/>
  <c r="M44" i="2"/>
  <c r="M52" i="2"/>
  <c r="M5" i="4"/>
  <c r="M37" i="4"/>
  <c r="M10" i="3"/>
  <c r="M21" i="3"/>
  <c r="M32" i="3"/>
  <c r="M15" i="2"/>
  <c r="M47" i="2"/>
  <c r="M7" i="2"/>
  <c r="M39" i="2"/>
  <c r="M42" i="3"/>
  <c r="M23" i="2"/>
  <c r="M31" i="2"/>
  <c r="E16" i="7"/>
  <c r="E12" i="7"/>
  <c r="F18" i="7"/>
  <c r="F14" i="7"/>
  <c r="F10" i="7"/>
  <c r="G16" i="7"/>
  <c r="E30" i="7"/>
  <c r="E26" i="7"/>
  <c r="F32" i="7"/>
  <c r="F28" i="7"/>
  <c r="F24" i="7"/>
  <c r="G30" i="7"/>
  <c r="E43" i="7"/>
  <c r="E39" i="7"/>
  <c r="F45" i="7"/>
  <c r="F41" i="7"/>
  <c r="F37" i="7"/>
  <c r="G43" i="7"/>
  <c r="AA17" i="7"/>
  <c r="AA13" i="7"/>
  <c r="AB19" i="7"/>
  <c r="AB15" i="7"/>
  <c r="AB11" i="7"/>
  <c r="AC17" i="7"/>
  <c r="AA33" i="1"/>
  <c r="D22" i="6"/>
  <c r="E24" i="6"/>
  <c r="AA29" i="1"/>
  <c r="F26" i="6"/>
  <c r="F14" i="6"/>
  <c r="G28" i="6"/>
  <c r="E16" i="6"/>
  <c r="F10" i="6"/>
  <c r="E31" i="6"/>
  <c r="E23" i="6"/>
  <c r="F25" i="6"/>
  <c r="G27" i="6"/>
  <c r="AA41" i="1"/>
  <c r="AA35" i="1"/>
  <c r="AA25" i="1"/>
  <c r="AA43" i="1"/>
  <c r="E12" i="6"/>
  <c r="G16" i="6"/>
  <c r="E28" i="6"/>
  <c r="F30" i="6"/>
  <c r="F22" i="6"/>
  <c r="G24" i="6"/>
  <c r="F18" i="6"/>
  <c r="G12" i="6"/>
  <c r="E27" i="6"/>
  <c r="F29" i="6"/>
  <c r="G31" i="6"/>
  <c r="G23" i="6"/>
  <c r="L6" i="4"/>
  <c r="L10" i="4"/>
  <c r="L14" i="4"/>
  <c r="L18" i="4"/>
  <c r="L22" i="4"/>
  <c r="L26" i="4"/>
  <c r="L30" i="4"/>
  <c r="L34" i="4"/>
  <c r="L38" i="4"/>
  <c r="L42" i="4"/>
  <c r="L46" i="4"/>
  <c r="L50" i="4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" i="3"/>
  <c r="L9" i="3"/>
  <c r="L13" i="3"/>
  <c r="L17" i="3"/>
  <c r="L21" i="3"/>
  <c r="L25" i="3"/>
  <c r="L29" i="3"/>
  <c r="L33" i="3"/>
  <c r="L37" i="3"/>
  <c r="L41" i="3"/>
  <c r="L45" i="3"/>
  <c r="L49" i="3"/>
  <c r="L5" i="4"/>
  <c r="L13" i="4"/>
  <c r="L21" i="4"/>
  <c r="L29" i="4"/>
  <c r="L37" i="4"/>
  <c r="L45" i="4"/>
  <c r="L7" i="3"/>
  <c r="L15" i="3"/>
  <c r="L23" i="3"/>
  <c r="L31" i="3"/>
  <c r="L39" i="3"/>
  <c r="L47" i="3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17" i="4"/>
  <c r="L33" i="4"/>
  <c r="L41" i="4"/>
  <c r="L8" i="4"/>
  <c r="L16" i="4"/>
  <c r="L24" i="4"/>
  <c r="L32" i="4"/>
  <c r="L40" i="4"/>
  <c r="L48" i="4"/>
  <c r="L10" i="3"/>
  <c r="L18" i="3"/>
  <c r="L26" i="3"/>
  <c r="L34" i="3"/>
  <c r="L42" i="3"/>
  <c r="L50" i="3"/>
  <c r="L5" i="2"/>
  <c r="L9" i="2"/>
  <c r="L13" i="2"/>
  <c r="L17" i="2"/>
  <c r="L21" i="2"/>
  <c r="L25" i="2"/>
  <c r="L29" i="2"/>
  <c r="L33" i="2"/>
  <c r="L37" i="2"/>
  <c r="L41" i="2"/>
  <c r="L45" i="2"/>
  <c r="L49" i="2"/>
  <c r="L9" i="4"/>
  <c r="L25" i="4"/>
  <c r="L49" i="4"/>
  <c r="L28" i="4"/>
  <c r="L3" i="3"/>
  <c r="L19" i="3"/>
  <c r="L35" i="3"/>
  <c r="L51" i="3"/>
  <c r="L10" i="2"/>
  <c r="L18" i="2"/>
  <c r="L26" i="2"/>
  <c r="L34" i="2"/>
  <c r="L42" i="2"/>
  <c r="L50" i="2"/>
  <c r="L43" i="3"/>
  <c r="L6" i="2"/>
  <c r="L22" i="2"/>
  <c r="L38" i="2"/>
  <c r="L52" i="4"/>
  <c r="L30" i="3"/>
  <c r="L7" i="2"/>
  <c r="L31" i="2"/>
  <c r="L47" i="2"/>
  <c r="L4" i="4"/>
  <c r="L36" i="4"/>
  <c r="L6" i="3"/>
  <c r="L22" i="3"/>
  <c r="L38" i="3"/>
  <c r="L3" i="2"/>
  <c r="L11" i="2"/>
  <c r="L19" i="2"/>
  <c r="L27" i="2"/>
  <c r="L35" i="2"/>
  <c r="L43" i="2"/>
  <c r="L51" i="2"/>
  <c r="L27" i="3"/>
  <c r="L14" i="2"/>
  <c r="L30" i="2"/>
  <c r="L46" i="2"/>
  <c r="L20" i="4"/>
  <c r="L14" i="3"/>
  <c r="L46" i="3"/>
  <c r="L15" i="2"/>
  <c r="L23" i="2"/>
  <c r="L39" i="2"/>
  <c r="L12" i="4"/>
  <c r="L44" i="4"/>
  <c r="L11" i="3"/>
  <c r="E15" i="6"/>
  <c r="F17" i="6"/>
  <c r="F13" i="6"/>
  <c r="G15" i="6"/>
  <c r="AA4" i="4"/>
  <c r="AA8" i="4"/>
  <c r="AA12" i="4"/>
  <c r="AA16" i="4"/>
  <c r="AA20" i="4"/>
  <c r="AA24" i="4"/>
  <c r="AA28" i="4"/>
  <c r="AA32" i="4"/>
  <c r="AA36" i="4"/>
  <c r="AA40" i="4"/>
  <c r="AA44" i="4"/>
  <c r="AA48" i="4"/>
  <c r="AA52" i="4"/>
  <c r="AA6" i="3"/>
  <c r="AA10" i="3"/>
  <c r="AA14" i="3"/>
  <c r="AA18" i="3"/>
  <c r="AA22" i="3"/>
  <c r="AA26" i="3"/>
  <c r="AA30" i="3"/>
  <c r="AA34" i="3"/>
  <c r="AA38" i="3"/>
  <c r="AA42" i="3"/>
  <c r="AA46" i="3"/>
  <c r="AA50" i="3"/>
  <c r="AA5" i="4"/>
  <c r="AA9" i="4"/>
  <c r="AA13" i="4"/>
  <c r="AA17" i="4"/>
  <c r="AA21" i="4"/>
  <c r="AA25" i="4"/>
  <c r="AA29" i="4"/>
  <c r="AA33" i="4"/>
  <c r="AA37" i="4"/>
  <c r="AA41" i="4"/>
  <c r="AA45" i="4"/>
  <c r="AA49" i="4"/>
  <c r="AA3" i="3"/>
  <c r="AA7" i="3"/>
  <c r="AA11" i="3"/>
  <c r="AA15" i="3"/>
  <c r="AA19" i="3"/>
  <c r="AA23" i="3"/>
  <c r="AA27" i="3"/>
  <c r="AA31" i="3"/>
  <c r="AA35" i="3"/>
  <c r="AA39" i="3"/>
  <c r="AA43" i="3"/>
  <c r="AA47" i="3"/>
  <c r="AA51" i="3"/>
  <c r="AA7" i="4"/>
  <c r="AA15" i="4"/>
  <c r="AA23" i="4"/>
  <c r="AA31" i="4"/>
  <c r="AA39" i="4"/>
  <c r="AA47" i="4"/>
  <c r="AA9" i="3"/>
  <c r="AA17" i="3"/>
  <c r="AA25" i="3"/>
  <c r="AA33" i="3"/>
  <c r="AA41" i="3"/>
  <c r="AA49" i="3"/>
  <c r="AA6" i="2"/>
  <c r="AA10" i="2"/>
  <c r="AA14" i="2"/>
  <c r="AA18" i="2"/>
  <c r="AA22" i="2"/>
  <c r="AA26" i="2"/>
  <c r="AA30" i="2"/>
  <c r="AA34" i="2"/>
  <c r="AA38" i="2"/>
  <c r="AA42" i="2"/>
  <c r="AA46" i="2"/>
  <c r="AA50" i="2"/>
  <c r="AA11" i="4"/>
  <c r="AA27" i="4"/>
  <c r="AA43" i="4"/>
  <c r="AA13" i="3"/>
  <c r="AA29" i="3"/>
  <c r="AA45" i="3"/>
  <c r="AA10" i="4"/>
  <c r="AA18" i="4"/>
  <c r="AA26" i="4"/>
  <c r="AA34" i="4"/>
  <c r="AA42" i="4"/>
  <c r="AA50" i="4"/>
  <c r="AA4" i="3"/>
  <c r="AA12" i="3"/>
  <c r="AA20" i="3"/>
  <c r="AA28" i="3"/>
  <c r="AA36" i="3"/>
  <c r="AA44" i="3"/>
  <c r="AA52" i="3"/>
  <c r="AA3" i="2"/>
  <c r="AA7" i="2"/>
  <c r="AA11" i="2"/>
  <c r="AA15" i="2"/>
  <c r="AA19" i="2"/>
  <c r="AA23" i="2"/>
  <c r="AA27" i="2"/>
  <c r="AA31" i="2"/>
  <c r="AA35" i="2"/>
  <c r="AA39" i="2"/>
  <c r="AA43" i="2"/>
  <c r="AA47" i="2"/>
  <c r="AA51" i="2"/>
  <c r="AA3" i="4"/>
  <c r="AA19" i="4"/>
  <c r="AA35" i="4"/>
  <c r="AA51" i="4"/>
  <c r="AA5" i="3"/>
  <c r="AA21" i="3"/>
  <c r="AA37" i="3"/>
  <c r="AA14" i="4"/>
  <c r="AA46" i="4"/>
  <c r="AA24" i="3"/>
  <c r="AA4" i="2"/>
  <c r="AA12" i="2"/>
  <c r="AA20" i="2"/>
  <c r="AA28" i="2"/>
  <c r="AA36" i="2"/>
  <c r="AA44" i="2"/>
  <c r="AA52" i="2"/>
  <c r="AA16" i="2"/>
  <c r="AA32" i="2"/>
  <c r="AA40" i="2"/>
  <c r="AA38" i="4"/>
  <c r="AA16" i="3"/>
  <c r="AA17" i="2"/>
  <c r="AA25" i="2"/>
  <c r="AA41" i="2"/>
  <c r="AA22" i="4"/>
  <c r="AA32" i="3"/>
  <c r="AA5" i="2"/>
  <c r="AA13" i="2"/>
  <c r="AA21" i="2"/>
  <c r="AA29" i="2"/>
  <c r="AA37" i="2"/>
  <c r="AA45" i="2"/>
  <c r="AA8" i="2"/>
  <c r="AA24" i="2"/>
  <c r="AA48" i="2"/>
  <c r="AA6" i="4"/>
  <c r="AA48" i="3"/>
  <c r="AA9" i="2"/>
  <c r="AA33" i="2"/>
  <c r="AA49" i="2"/>
  <c r="AA30" i="4"/>
  <c r="AA8" i="3"/>
  <c r="AA40" i="3"/>
  <c r="E18" i="6"/>
  <c r="E14" i="6"/>
  <c r="E10" i="6"/>
  <c r="F16" i="6"/>
  <c r="F12" i="6"/>
  <c r="G18" i="6"/>
  <c r="G14" i="6"/>
  <c r="G10" i="6"/>
  <c r="E30" i="6"/>
  <c r="E26" i="6"/>
  <c r="E22" i="6"/>
  <c r="F28" i="6"/>
  <c r="F24" i="6"/>
  <c r="G30" i="6"/>
  <c r="G26" i="6"/>
  <c r="G22" i="6"/>
  <c r="E11" i="6"/>
  <c r="F9" i="6"/>
  <c r="G11" i="6"/>
  <c r="L3" i="1"/>
  <c r="AA3" i="1"/>
  <c r="E17" i="6"/>
  <c r="E13" i="6"/>
  <c r="E9" i="6"/>
  <c r="F15" i="6"/>
  <c r="F11" i="6"/>
  <c r="G17" i="6"/>
  <c r="G13" i="6"/>
  <c r="E29" i="6"/>
  <c r="E25" i="6"/>
  <c r="F31" i="6"/>
  <c r="F27" i="6"/>
  <c r="F23" i="6"/>
  <c r="G29" i="6"/>
  <c r="E25" i="5"/>
  <c r="AO3" i="1"/>
  <c r="G29" i="5"/>
  <c r="G44" i="5"/>
  <c r="E40" i="5"/>
  <c r="G36" i="5"/>
  <c r="F42" i="5"/>
  <c r="F31" i="5"/>
  <c r="G25" i="5"/>
  <c r="E39" i="5"/>
  <c r="F41" i="5"/>
  <c r="G43" i="5"/>
  <c r="G35" i="5"/>
  <c r="F27" i="5"/>
  <c r="E44" i="5"/>
  <c r="E36" i="5"/>
  <c r="F38" i="5"/>
  <c r="G40" i="5"/>
  <c r="E29" i="5"/>
  <c r="F23" i="5"/>
  <c r="E43" i="5"/>
  <c r="E35" i="5"/>
  <c r="F37" i="5"/>
  <c r="G39" i="5"/>
  <c r="K3" i="1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7" i="4"/>
  <c r="K13" i="4"/>
  <c r="K18" i="4"/>
  <c r="K23" i="4"/>
  <c r="K29" i="4"/>
  <c r="K34" i="4"/>
  <c r="K39" i="4"/>
  <c r="K45" i="4"/>
  <c r="K50" i="4"/>
  <c r="K6" i="3"/>
  <c r="K11" i="3"/>
  <c r="K17" i="3"/>
  <c r="K22" i="3"/>
  <c r="K27" i="3"/>
  <c r="K33" i="3"/>
  <c r="K38" i="3"/>
  <c r="K43" i="3"/>
  <c r="K49" i="3"/>
  <c r="K5" i="2"/>
  <c r="K9" i="2"/>
  <c r="K13" i="2"/>
  <c r="K17" i="2"/>
  <c r="K21" i="2"/>
  <c r="K25" i="2"/>
  <c r="K29" i="2"/>
  <c r="K33" i="2"/>
  <c r="K37" i="2"/>
  <c r="K41" i="2"/>
  <c r="K45" i="2"/>
  <c r="K49" i="2"/>
  <c r="K3" i="4"/>
  <c r="K9" i="4"/>
  <c r="K14" i="4"/>
  <c r="K19" i="4"/>
  <c r="K25" i="4"/>
  <c r="K30" i="4"/>
  <c r="K35" i="4"/>
  <c r="K41" i="4"/>
  <c r="K46" i="4"/>
  <c r="K51" i="4"/>
  <c r="K7" i="3"/>
  <c r="K13" i="3"/>
  <c r="K18" i="3"/>
  <c r="K23" i="3"/>
  <c r="K29" i="3"/>
  <c r="K34" i="3"/>
  <c r="K39" i="3"/>
  <c r="K45" i="3"/>
  <c r="K50" i="3"/>
  <c r="K6" i="2"/>
  <c r="K10" i="2"/>
  <c r="K14" i="2"/>
  <c r="K11" i="4"/>
  <c r="K22" i="4"/>
  <c r="K33" i="4"/>
  <c r="K43" i="4"/>
  <c r="K9" i="3"/>
  <c r="K19" i="3"/>
  <c r="K30" i="3"/>
  <c r="K41" i="3"/>
  <c r="K51" i="3"/>
  <c r="K4" i="2"/>
  <c r="K12" i="2"/>
  <c r="K19" i="2"/>
  <c r="K24" i="2"/>
  <c r="K30" i="2"/>
  <c r="K35" i="2"/>
  <c r="K40" i="2"/>
  <c r="K46" i="2"/>
  <c r="K51" i="2"/>
  <c r="K10" i="3"/>
  <c r="K21" i="3"/>
  <c r="K31" i="3"/>
  <c r="K42" i="3"/>
  <c r="K7" i="2"/>
  <c r="K15" i="2"/>
  <c r="K20" i="2"/>
  <c r="K26" i="2"/>
  <c r="K31" i="2"/>
  <c r="K36" i="2"/>
  <c r="K42" i="2"/>
  <c r="K47" i="2"/>
  <c r="K52" i="2"/>
  <c r="K6" i="4"/>
  <c r="K17" i="4"/>
  <c r="K27" i="4"/>
  <c r="K38" i="4"/>
  <c r="K49" i="4"/>
  <c r="K3" i="3"/>
  <c r="K14" i="3"/>
  <c r="K25" i="3"/>
  <c r="K35" i="3"/>
  <c r="K46" i="3"/>
  <c r="K8" i="2"/>
  <c r="K16" i="2"/>
  <c r="K22" i="2"/>
  <c r="K27" i="2"/>
  <c r="K32" i="2"/>
  <c r="K38" i="2"/>
  <c r="K43" i="2"/>
  <c r="K48" i="2"/>
  <c r="K10" i="4"/>
  <c r="K21" i="4"/>
  <c r="K31" i="4"/>
  <c r="K42" i="4"/>
  <c r="K5" i="3"/>
  <c r="K15" i="3"/>
  <c r="K26" i="3"/>
  <c r="K37" i="3"/>
  <c r="K47" i="3"/>
  <c r="K3" i="2"/>
  <c r="K11" i="2"/>
  <c r="K18" i="2"/>
  <c r="K23" i="2"/>
  <c r="K28" i="2"/>
  <c r="K34" i="2"/>
  <c r="K39" i="2"/>
  <c r="K44" i="2"/>
  <c r="K50" i="2"/>
  <c r="K5" i="4"/>
  <c r="K15" i="4"/>
  <c r="K26" i="4"/>
  <c r="K37" i="4"/>
  <c r="K47" i="4"/>
  <c r="E28" i="5"/>
  <c r="E24" i="5"/>
  <c r="F30" i="5"/>
  <c r="F26" i="5"/>
  <c r="F22" i="5"/>
  <c r="G28" i="5"/>
  <c r="G24" i="5"/>
  <c r="AO4" i="4"/>
  <c r="AO8" i="4"/>
  <c r="AO12" i="4"/>
  <c r="AO16" i="4"/>
  <c r="AO20" i="4"/>
  <c r="AO24" i="4"/>
  <c r="AO28" i="4"/>
  <c r="AO32" i="4"/>
  <c r="AO36" i="4"/>
  <c r="AO40" i="4"/>
  <c r="AO44" i="4"/>
  <c r="AO48" i="4"/>
  <c r="AO52" i="4"/>
  <c r="AO4" i="3"/>
  <c r="AO8" i="3"/>
  <c r="AO12" i="3"/>
  <c r="AO16" i="3"/>
  <c r="AO20" i="3"/>
  <c r="AO24" i="3"/>
  <c r="AO28" i="3"/>
  <c r="AO32" i="3"/>
  <c r="AO36" i="3"/>
  <c r="AO40" i="3"/>
  <c r="AO44" i="3"/>
  <c r="AO48" i="3"/>
  <c r="AO52" i="3"/>
  <c r="AO4" i="2"/>
  <c r="AO8" i="2"/>
  <c r="AO12" i="2"/>
  <c r="AO16" i="2"/>
  <c r="AO20" i="2"/>
  <c r="AO24" i="2"/>
  <c r="AO28" i="2"/>
  <c r="AO5" i="4"/>
  <c r="AO10" i="4"/>
  <c r="AO15" i="4"/>
  <c r="AO21" i="4"/>
  <c r="AO26" i="4"/>
  <c r="AO31" i="4"/>
  <c r="AO37" i="4"/>
  <c r="AO42" i="4"/>
  <c r="AO47" i="4"/>
  <c r="AO3" i="3"/>
  <c r="AO9" i="3"/>
  <c r="AO14" i="3"/>
  <c r="AO19" i="3"/>
  <c r="AO25" i="3"/>
  <c r="AO30" i="3"/>
  <c r="AO35" i="3"/>
  <c r="AO41" i="3"/>
  <c r="AO46" i="3"/>
  <c r="AO51" i="3"/>
  <c r="AO7" i="2"/>
  <c r="AO13" i="2"/>
  <c r="AO18" i="2"/>
  <c r="AO23" i="2"/>
  <c r="AO29" i="2"/>
  <c r="AO33" i="2"/>
  <c r="AO37" i="2"/>
  <c r="AO41" i="2"/>
  <c r="AO45" i="2"/>
  <c r="AO49" i="2"/>
  <c r="AO6" i="4"/>
  <c r="AO11" i="4"/>
  <c r="AO17" i="4"/>
  <c r="AO22" i="4"/>
  <c r="AO27" i="4"/>
  <c r="AO33" i="4"/>
  <c r="AO38" i="4"/>
  <c r="AO43" i="4"/>
  <c r="AO49" i="4"/>
  <c r="AO5" i="3"/>
  <c r="AO10" i="3"/>
  <c r="AO15" i="3"/>
  <c r="AO21" i="3"/>
  <c r="AO26" i="3"/>
  <c r="AO31" i="3"/>
  <c r="AO37" i="3"/>
  <c r="AO42" i="3"/>
  <c r="AO47" i="3"/>
  <c r="AO3" i="2"/>
  <c r="AO9" i="2"/>
  <c r="AO14" i="2"/>
  <c r="AO19" i="2"/>
  <c r="AO25" i="2"/>
  <c r="AO30" i="2"/>
  <c r="AO34" i="2"/>
  <c r="AO38" i="2"/>
  <c r="AO42" i="2"/>
  <c r="AO46" i="2"/>
  <c r="AO50" i="2"/>
  <c r="AO7" i="4"/>
  <c r="AO18" i="4"/>
  <c r="AO29" i="4"/>
  <c r="AO39" i="4"/>
  <c r="AO50" i="4"/>
  <c r="AO13" i="3"/>
  <c r="AO23" i="3"/>
  <c r="AO34" i="3"/>
  <c r="AO45" i="3"/>
  <c r="AO6" i="2"/>
  <c r="AO17" i="2"/>
  <c r="AO27" i="2"/>
  <c r="AO36" i="2"/>
  <c r="AO44" i="2"/>
  <c r="AO52" i="2"/>
  <c r="AO10" i="2"/>
  <c r="AO21" i="2"/>
  <c r="AO31" i="2"/>
  <c r="AO39" i="2"/>
  <c r="AO47" i="2"/>
  <c r="AO13" i="4"/>
  <c r="AO23" i="4"/>
  <c r="AO34" i="4"/>
  <c r="AO45" i="4"/>
  <c r="AO7" i="3"/>
  <c r="AO18" i="3"/>
  <c r="AO29" i="3"/>
  <c r="AO39" i="3"/>
  <c r="AO50" i="3"/>
  <c r="AO11" i="2"/>
  <c r="AO22" i="2"/>
  <c r="AO32" i="2"/>
  <c r="AO40" i="2"/>
  <c r="AO48" i="2"/>
  <c r="AO3" i="4"/>
  <c r="AO14" i="4"/>
  <c r="AO25" i="4"/>
  <c r="AO35" i="4"/>
  <c r="AO46" i="4"/>
  <c r="AO11" i="3"/>
  <c r="AO22" i="3"/>
  <c r="AO33" i="3"/>
  <c r="AO43" i="3"/>
  <c r="AO5" i="2"/>
  <c r="AO15" i="2"/>
  <c r="AO26" i="2"/>
  <c r="AO35" i="2"/>
  <c r="AO43" i="2"/>
  <c r="AO51" i="2"/>
  <c r="AO9" i="4"/>
  <c r="AO19" i="4"/>
  <c r="AO30" i="4"/>
  <c r="AO41" i="4"/>
  <c r="AO51" i="4"/>
  <c r="AO6" i="3"/>
  <c r="AO17" i="3"/>
  <c r="AO27" i="3"/>
  <c r="AO38" i="3"/>
  <c r="AO49" i="3"/>
  <c r="D22" i="5"/>
  <c r="E31" i="5"/>
  <c r="E27" i="5"/>
  <c r="E23" i="5"/>
  <c r="F29" i="5"/>
  <c r="F25" i="5"/>
  <c r="G31" i="5"/>
  <c r="G27" i="5"/>
  <c r="G23" i="5"/>
  <c r="E42" i="5"/>
  <c r="E38" i="5"/>
  <c r="F44" i="5"/>
  <c r="F40" i="5"/>
  <c r="F36" i="5"/>
  <c r="G42" i="5"/>
  <c r="G38" i="5"/>
  <c r="D35" i="5"/>
  <c r="E30" i="5"/>
  <c r="E26" i="5"/>
  <c r="E22" i="5"/>
  <c r="F28" i="5"/>
  <c r="F24" i="5"/>
  <c r="G30" i="5"/>
  <c r="G26" i="5"/>
  <c r="E41" i="5"/>
  <c r="E37" i="5"/>
  <c r="F43" i="5"/>
  <c r="F39" i="5"/>
  <c r="F35" i="5"/>
  <c r="G41" i="5"/>
  <c r="Q4" i="17"/>
  <c r="O26" i="17" s="1"/>
  <c r="AD4" i="17"/>
  <c r="AC4" i="17"/>
  <c r="X4" i="17"/>
  <c r="P4" i="17"/>
  <c r="Z4" i="17"/>
  <c r="G8" i="17"/>
  <c r="E14" i="17"/>
  <c r="G16" i="17"/>
  <c r="E22" i="17"/>
  <c r="G24" i="17"/>
  <c r="E12" i="17"/>
  <c r="G14" i="17"/>
  <c r="E20" i="17"/>
  <c r="G22" i="17"/>
  <c r="E10" i="17"/>
  <c r="G12" i="17"/>
  <c r="E18" i="17"/>
  <c r="G20" i="17"/>
  <c r="E26" i="17"/>
  <c r="F8" i="17"/>
  <c r="G10" i="17"/>
  <c r="E16" i="17"/>
  <c r="G18" i="17"/>
  <c r="E24" i="17"/>
  <c r="G26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C27" i="17"/>
  <c r="AC25" i="17"/>
  <c r="AC23" i="17"/>
  <c r="AC21" i="17"/>
  <c r="AC19" i="17"/>
  <c r="AC17" i="17"/>
  <c r="AC15" i="17"/>
  <c r="AC13" i="17"/>
  <c r="AC11" i="17"/>
  <c r="AC9" i="17"/>
  <c r="AA26" i="17"/>
  <c r="AA18" i="17"/>
  <c r="AA10" i="17"/>
  <c r="AA27" i="17"/>
  <c r="AA25" i="17"/>
  <c r="AA23" i="17"/>
  <c r="AA21" i="17"/>
  <c r="AA19" i="17"/>
  <c r="AA17" i="17"/>
  <c r="AA15" i="17"/>
  <c r="AA13" i="17"/>
  <c r="AA11" i="17"/>
  <c r="AA9" i="17"/>
  <c r="AA24" i="17"/>
  <c r="AA22" i="17"/>
  <c r="AA20" i="17"/>
  <c r="AA16" i="17"/>
  <c r="AA14" i="17"/>
  <c r="AA12" i="17"/>
  <c r="AA8" i="17"/>
  <c r="AC26" i="17"/>
  <c r="AC24" i="17"/>
  <c r="AC22" i="17"/>
  <c r="AC20" i="17"/>
  <c r="AC18" i="17"/>
  <c r="AC16" i="17"/>
  <c r="AC14" i="17"/>
  <c r="AC12" i="17"/>
  <c r="AC10" i="17"/>
  <c r="AC8" i="17"/>
  <c r="M4" i="17"/>
  <c r="R4" i="17"/>
  <c r="AA4" i="17"/>
  <c r="E9" i="17"/>
  <c r="E11" i="17"/>
  <c r="E13" i="17"/>
  <c r="E15" i="17"/>
  <c r="E17" i="17"/>
  <c r="E19" i="17"/>
  <c r="E21" i="17"/>
  <c r="E23" i="17"/>
  <c r="E25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O4" i="17"/>
  <c r="S4" i="17"/>
  <c r="E8" i="17"/>
  <c r="G9" i="17"/>
  <c r="G11" i="17"/>
  <c r="G13" i="17"/>
  <c r="G15" i="17"/>
  <c r="G17" i="17"/>
  <c r="G19" i="17"/>
  <c r="G21" i="17"/>
  <c r="G23" i="17"/>
  <c r="G25" i="17"/>
  <c r="G27" i="17"/>
  <c r="D64" i="16"/>
  <c r="D68" i="16"/>
  <c r="E59" i="16"/>
  <c r="F73" i="16"/>
  <c r="E42" i="16"/>
  <c r="D13" i="16"/>
  <c r="E30" i="16"/>
  <c r="D15" i="16"/>
  <c r="F21" i="16"/>
  <c r="D23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O122" i="16"/>
  <c r="O118" i="16"/>
  <c r="O114" i="16"/>
  <c r="O110" i="16"/>
  <c r="O106" i="16"/>
  <c r="O123" i="16"/>
  <c r="O119" i="16"/>
  <c r="O115" i="16"/>
  <c r="O111" i="16"/>
  <c r="O107" i="16"/>
  <c r="O120" i="16"/>
  <c r="O116" i="16"/>
  <c r="O112" i="16"/>
  <c r="O108" i="16"/>
  <c r="O104" i="16"/>
  <c r="O117" i="16"/>
  <c r="O121" i="16"/>
  <c r="O105" i="16"/>
  <c r="O109" i="16"/>
  <c r="O113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Z54" i="16"/>
  <c r="Z52" i="16"/>
  <c r="Z50" i="16"/>
  <c r="Z48" i="16"/>
  <c r="Z46" i="16"/>
  <c r="Z44" i="16"/>
  <c r="Z42" i="16"/>
  <c r="Z40" i="16"/>
  <c r="Z38" i="16"/>
  <c r="Z36" i="16"/>
  <c r="Z35" i="16"/>
  <c r="AA53" i="16"/>
  <c r="AA51" i="16"/>
  <c r="AA49" i="16"/>
  <c r="AA47" i="16"/>
  <c r="AA45" i="16"/>
  <c r="AA43" i="16"/>
  <c r="AA41" i="16"/>
  <c r="AA39" i="16"/>
  <c r="AA37" i="16"/>
  <c r="Z53" i="16"/>
  <c r="Z51" i="16"/>
  <c r="Z49" i="16"/>
  <c r="Z47" i="16"/>
  <c r="Z45" i="16"/>
  <c r="Z43" i="16"/>
  <c r="Z41" i="16"/>
  <c r="Z39" i="16"/>
  <c r="Z37" i="16"/>
  <c r="AB35" i="16"/>
  <c r="Z82" i="16"/>
  <c r="AA36" i="16"/>
  <c r="AA44" i="16"/>
  <c r="O8" i="16"/>
  <c r="O6" i="16"/>
  <c r="S8" i="16"/>
  <c r="S6" i="16"/>
  <c r="AB8" i="16"/>
  <c r="AB6" i="16"/>
  <c r="Q4" i="16"/>
  <c r="AD4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D54" i="16"/>
  <c r="D52" i="16"/>
  <c r="D50" i="16"/>
  <c r="D48" i="16"/>
  <c r="D46" i="16"/>
  <c r="D44" i="16"/>
  <c r="D42" i="16"/>
  <c r="D40" i="16"/>
  <c r="D38" i="16"/>
  <c r="E36" i="16"/>
  <c r="F35" i="16"/>
  <c r="E53" i="16"/>
  <c r="E51" i="16"/>
  <c r="E49" i="16"/>
  <c r="E47" i="16"/>
  <c r="E45" i="16"/>
  <c r="E43" i="16"/>
  <c r="E41" i="16"/>
  <c r="E39" i="16"/>
  <c r="E37" i="16"/>
  <c r="D36" i="16"/>
  <c r="E35" i="16"/>
  <c r="D53" i="16"/>
  <c r="D51" i="16"/>
  <c r="D49" i="16"/>
  <c r="D47" i="16"/>
  <c r="D45" i="16"/>
  <c r="D43" i="16"/>
  <c r="D41" i="16"/>
  <c r="D39" i="16"/>
  <c r="D37" i="16"/>
  <c r="D35" i="16"/>
  <c r="P5" i="16"/>
  <c r="AC5" i="16"/>
  <c r="Q6" i="16"/>
  <c r="AD6" i="16"/>
  <c r="G100" i="16"/>
  <c r="G99" i="16"/>
  <c r="G98" i="16"/>
  <c r="G97" i="16"/>
  <c r="G96" i="16"/>
  <c r="G95" i="16"/>
  <c r="G94" i="16"/>
  <c r="G93" i="16"/>
  <c r="F100" i="16"/>
  <c r="F99" i="16"/>
  <c r="F98" i="16"/>
  <c r="F97" i="16"/>
  <c r="F96" i="16"/>
  <c r="F95" i="16"/>
  <c r="F94" i="16"/>
  <c r="D99" i="16"/>
  <c r="D97" i="16"/>
  <c r="D95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E100" i="16"/>
  <c r="E98" i="16"/>
  <c r="E96" i="16"/>
  <c r="E94" i="16"/>
  <c r="F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D100" i="16"/>
  <c r="D98" i="16"/>
  <c r="D96" i="16"/>
  <c r="D94" i="16"/>
  <c r="E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E97" i="16"/>
  <c r="G91" i="16"/>
  <c r="G87" i="16"/>
  <c r="G83" i="16"/>
  <c r="E99" i="16"/>
  <c r="G92" i="16"/>
  <c r="G88" i="16"/>
  <c r="G84" i="16"/>
  <c r="G89" i="16"/>
  <c r="G85" i="16"/>
  <c r="G81" i="16"/>
  <c r="G90" i="16"/>
  <c r="E95" i="16"/>
  <c r="D93" i="16"/>
  <c r="G82" i="16"/>
  <c r="G13" i="16"/>
  <c r="G15" i="16"/>
  <c r="E18" i="16"/>
  <c r="F25" i="16"/>
  <c r="D27" i="16"/>
  <c r="E40" i="16"/>
  <c r="AA42" i="16"/>
  <c r="E48" i="16"/>
  <c r="AA50" i="16"/>
  <c r="G86" i="16"/>
  <c r="M7" i="16"/>
  <c r="M5" i="16"/>
  <c r="AA7" i="16"/>
  <c r="AA5" i="16"/>
  <c r="M6" i="16"/>
  <c r="M8" i="16"/>
  <c r="AA8" i="16"/>
  <c r="P8" i="16"/>
  <c r="P6" i="16"/>
  <c r="X8" i="16"/>
  <c r="X6" i="16"/>
  <c r="AC8" i="16"/>
  <c r="AC6" i="16"/>
  <c r="M4" i="16"/>
  <c r="R4" i="16"/>
  <c r="AA4" i="16"/>
  <c r="R6" i="16"/>
  <c r="S7" i="16"/>
  <c r="D12" i="16"/>
  <c r="D14" i="16"/>
  <c r="E22" i="16"/>
  <c r="F29" i="16"/>
  <c r="AA35" i="16"/>
  <c r="E38" i="16"/>
  <c r="AA40" i="16"/>
  <c r="E46" i="16"/>
  <c r="AA48" i="16"/>
  <c r="E54" i="16"/>
  <c r="R7" i="16"/>
  <c r="R5" i="16"/>
  <c r="AA6" i="16"/>
  <c r="AA52" i="16"/>
  <c r="Q7" i="16"/>
  <c r="Q5" i="16"/>
  <c r="Z7" i="16"/>
  <c r="Z5" i="16"/>
  <c r="AD7" i="16"/>
  <c r="AD5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D30" i="16"/>
  <c r="E29" i="16"/>
  <c r="F28" i="16"/>
  <c r="D26" i="16"/>
  <c r="E25" i="16"/>
  <c r="F24" i="16"/>
  <c r="D22" i="16"/>
  <c r="E21" i="16"/>
  <c r="F20" i="16"/>
  <c r="D18" i="16"/>
  <c r="E17" i="16"/>
  <c r="F16" i="16"/>
  <c r="F15" i="16"/>
  <c r="F14" i="16"/>
  <c r="F13" i="16"/>
  <c r="F12" i="16"/>
  <c r="F31" i="16"/>
  <c r="D29" i="16"/>
  <c r="E28" i="16"/>
  <c r="F27" i="16"/>
  <c r="D25" i="16"/>
  <c r="E24" i="16"/>
  <c r="F23" i="16"/>
  <c r="D21" i="16"/>
  <c r="E20" i="16"/>
  <c r="F19" i="16"/>
  <c r="D17" i="16"/>
  <c r="E16" i="16"/>
  <c r="E15" i="16"/>
  <c r="E14" i="16"/>
  <c r="E13" i="16"/>
  <c r="E12" i="16"/>
  <c r="E31" i="16"/>
  <c r="F30" i="16"/>
  <c r="D28" i="16"/>
  <c r="E27" i="16"/>
  <c r="F26" i="16"/>
  <c r="D24" i="16"/>
  <c r="E23" i="16"/>
  <c r="F22" i="16"/>
  <c r="D20" i="16"/>
  <c r="E19" i="16"/>
  <c r="F18" i="16"/>
  <c r="D16" i="16"/>
  <c r="O4" i="16"/>
  <c r="S4" i="16"/>
  <c r="AB4" i="16"/>
  <c r="X5" i="16"/>
  <c r="Z6" i="16"/>
  <c r="X7" i="16"/>
  <c r="Z8" i="16"/>
  <c r="G12" i="16"/>
  <c r="G14" i="16"/>
  <c r="F17" i="16"/>
  <c r="D19" i="16"/>
  <c r="E26" i="16"/>
  <c r="F36" i="16"/>
  <c r="AA38" i="16"/>
  <c r="E44" i="16"/>
  <c r="AA46" i="16"/>
  <c r="E52" i="16"/>
  <c r="AA54" i="16"/>
  <c r="D58" i="16"/>
  <c r="D63" i="16"/>
  <c r="D67" i="16"/>
  <c r="F77" i="16"/>
  <c r="F76" i="16"/>
  <c r="F75" i="16"/>
  <c r="F74" i="16"/>
  <c r="E77" i="16"/>
  <c r="E76" i="16"/>
  <c r="E75" i="16"/>
  <c r="E74" i="16"/>
  <c r="E73" i="16"/>
  <c r="E72" i="16"/>
  <c r="E71" i="16"/>
  <c r="D77" i="16"/>
  <c r="D76" i="16"/>
  <c r="D75" i="16"/>
  <c r="D74" i="16"/>
  <c r="D73" i="16"/>
  <c r="D72" i="16"/>
  <c r="D71" i="16"/>
  <c r="G76" i="16"/>
  <c r="G72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77" i="16"/>
  <c r="F72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G74" i="16"/>
  <c r="G73" i="16"/>
  <c r="G71" i="16"/>
  <c r="E70" i="16"/>
  <c r="E69" i="16"/>
  <c r="E68" i="16"/>
  <c r="E67" i="16"/>
  <c r="E66" i="16"/>
  <c r="E65" i="16"/>
  <c r="E64" i="16"/>
  <c r="E63" i="16"/>
  <c r="E62" i="16"/>
  <c r="E61" i="16"/>
  <c r="E60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D121" i="16"/>
  <c r="D117" i="16"/>
  <c r="D113" i="16"/>
  <c r="D109" i="16"/>
  <c r="D105" i="16"/>
  <c r="D104" i="16"/>
  <c r="D122" i="16"/>
  <c r="D118" i="16"/>
  <c r="D114" i="16"/>
  <c r="D110" i="16"/>
  <c r="D106" i="16"/>
  <c r="D123" i="16"/>
  <c r="D119" i="16"/>
  <c r="D115" i="16"/>
  <c r="D111" i="16"/>
  <c r="D107" i="16"/>
  <c r="D112" i="16"/>
  <c r="D116" i="16"/>
  <c r="D120" i="16"/>
  <c r="E104" i="16"/>
  <c r="E58" i="16"/>
  <c r="D62" i="16"/>
  <c r="D66" i="16"/>
  <c r="D70" i="16"/>
  <c r="G75" i="16"/>
  <c r="D59" i="16"/>
  <c r="D61" i="16"/>
  <c r="D65" i="16"/>
  <c r="D69" i="16"/>
  <c r="G51" i="15"/>
  <c r="F53" i="15"/>
  <c r="F45" i="15"/>
  <c r="E47" i="15"/>
  <c r="D49" i="15"/>
  <c r="G70" i="15"/>
  <c r="E74" i="15"/>
  <c r="D68" i="15"/>
  <c r="P39" i="15"/>
  <c r="R43" i="15"/>
  <c r="Q52" i="15"/>
  <c r="D96" i="15"/>
  <c r="E100" i="15"/>
  <c r="E84" i="15"/>
  <c r="F88" i="15"/>
  <c r="G92" i="15"/>
  <c r="Z38" i="15"/>
  <c r="G50" i="15"/>
  <c r="F52" i="15"/>
  <c r="E54" i="15"/>
  <c r="E46" i="15"/>
  <c r="D48" i="15"/>
  <c r="F76" i="15"/>
  <c r="E70" i="15"/>
  <c r="O41" i="15"/>
  <c r="P35" i="15"/>
  <c r="R39" i="15"/>
  <c r="P54" i="15"/>
  <c r="D95" i="15"/>
  <c r="E99" i="15"/>
  <c r="E83" i="15"/>
  <c r="F87" i="15"/>
  <c r="G91" i="15"/>
  <c r="AA54" i="15"/>
  <c r="G47" i="15"/>
  <c r="F49" i="15"/>
  <c r="E51" i="15"/>
  <c r="D53" i="15"/>
  <c r="D45" i="15"/>
  <c r="F72" i="15"/>
  <c r="D76" i="15"/>
  <c r="O37" i="15"/>
  <c r="Q41" i="15"/>
  <c r="R54" i="15"/>
  <c r="P46" i="15"/>
  <c r="D88" i="15"/>
  <c r="E92" i="15"/>
  <c r="F96" i="15"/>
  <c r="G100" i="15"/>
  <c r="G84" i="15"/>
  <c r="AB46" i="15"/>
  <c r="G54" i="15"/>
  <c r="G46" i="15"/>
  <c r="F48" i="15"/>
  <c r="E50" i="15"/>
  <c r="D52" i="15"/>
  <c r="G74" i="15"/>
  <c r="F68" i="15"/>
  <c r="D72" i="15"/>
  <c r="P43" i="15"/>
  <c r="Q37" i="15"/>
  <c r="R49" i="15"/>
  <c r="D87" i="15"/>
  <c r="E91" i="15"/>
  <c r="F95" i="15"/>
  <c r="G99" i="15"/>
  <c r="AB42" i="15"/>
  <c r="O45" i="15"/>
  <c r="O49" i="15"/>
  <c r="O53" i="15"/>
  <c r="P47" i="15"/>
  <c r="P51" i="15"/>
  <c r="Q45" i="15"/>
  <c r="Q49" i="15"/>
  <c r="Q53" i="15"/>
  <c r="O46" i="15"/>
  <c r="O50" i="15"/>
  <c r="O54" i="15"/>
  <c r="P48" i="15"/>
  <c r="P52" i="15"/>
  <c r="Q46" i="15"/>
  <c r="Q50" i="15"/>
  <c r="Q54" i="15"/>
  <c r="R48" i="15"/>
  <c r="R52" i="15"/>
  <c r="R36" i="15"/>
  <c r="G77" i="15"/>
  <c r="G69" i="15"/>
  <c r="F71" i="15"/>
  <c r="E77" i="15"/>
  <c r="E69" i="15"/>
  <c r="D75" i="15"/>
  <c r="O44" i="15"/>
  <c r="O36" i="15"/>
  <c r="P38" i="15"/>
  <c r="Q40" i="15"/>
  <c r="R42" i="15"/>
  <c r="R38" i="15"/>
  <c r="R47" i="15"/>
  <c r="P53" i="15"/>
  <c r="P45" i="15"/>
  <c r="G81" i="15"/>
  <c r="G85" i="15"/>
  <c r="G89" i="15"/>
  <c r="G93" i="15"/>
  <c r="G97" i="15"/>
  <c r="F81" i="15"/>
  <c r="F85" i="15"/>
  <c r="F89" i="15"/>
  <c r="F93" i="15"/>
  <c r="F97" i="15"/>
  <c r="E81" i="15"/>
  <c r="E85" i="15"/>
  <c r="E89" i="15"/>
  <c r="E93" i="15"/>
  <c r="E97" i="15"/>
  <c r="D81" i="15"/>
  <c r="D85" i="15"/>
  <c r="D89" i="15"/>
  <c r="D93" i="15"/>
  <c r="D97" i="15"/>
  <c r="G82" i="15"/>
  <c r="G86" i="15"/>
  <c r="G90" i="15"/>
  <c r="G94" i="15"/>
  <c r="G98" i="15"/>
  <c r="F82" i="15"/>
  <c r="F86" i="15"/>
  <c r="F90" i="15"/>
  <c r="F94" i="15"/>
  <c r="F98" i="15"/>
  <c r="E82" i="15"/>
  <c r="E86" i="15"/>
  <c r="E90" i="15"/>
  <c r="E94" i="15"/>
  <c r="E98" i="15"/>
  <c r="D82" i="15"/>
  <c r="D86" i="15"/>
  <c r="D90" i="15"/>
  <c r="D94" i="15"/>
  <c r="D98" i="15"/>
  <c r="G53" i="15"/>
  <c r="G49" i="15"/>
  <c r="G45" i="15"/>
  <c r="F51" i="15"/>
  <c r="F47" i="15"/>
  <c r="E53" i="15"/>
  <c r="E49" i="15"/>
  <c r="E45" i="15"/>
  <c r="D51" i="15"/>
  <c r="D47" i="15"/>
  <c r="G76" i="15"/>
  <c r="G72" i="15"/>
  <c r="G68" i="15"/>
  <c r="F74" i="15"/>
  <c r="F70" i="15"/>
  <c r="E76" i="15"/>
  <c r="E72" i="15"/>
  <c r="E68" i="15"/>
  <c r="D74" i="15"/>
  <c r="D70" i="15"/>
  <c r="O43" i="15"/>
  <c r="O39" i="15"/>
  <c r="O35" i="15"/>
  <c r="P41" i="15"/>
  <c r="P37" i="15"/>
  <c r="Q43" i="15"/>
  <c r="Q39" i="15"/>
  <c r="Q35" i="15"/>
  <c r="R41" i="15"/>
  <c r="R37" i="15"/>
  <c r="R51" i="15"/>
  <c r="R46" i="15"/>
  <c r="Q48" i="15"/>
  <c r="P50" i="15"/>
  <c r="O52" i="15"/>
  <c r="D100" i="15"/>
  <c r="D92" i="15"/>
  <c r="D84" i="15"/>
  <c r="E96" i="15"/>
  <c r="E88" i="15"/>
  <c r="F100" i="15"/>
  <c r="F92" i="15"/>
  <c r="F84" i="15"/>
  <c r="G96" i="15"/>
  <c r="G88" i="15"/>
  <c r="Z54" i="15"/>
  <c r="AA42" i="15"/>
  <c r="G73" i="15"/>
  <c r="F75" i="15"/>
  <c r="E73" i="15"/>
  <c r="D71" i="15"/>
  <c r="O40" i="15"/>
  <c r="P42" i="15"/>
  <c r="Q44" i="15"/>
  <c r="Q36" i="15"/>
  <c r="R53" i="15"/>
  <c r="Q51" i="15"/>
  <c r="O47" i="15"/>
  <c r="AC35" i="15"/>
  <c r="AC39" i="15"/>
  <c r="AC43" i="15"/>
  <c r="AC47" i="15"/>
  <c r="AC51" i="15"/>
  <c r="AB35" i="15"/>
  <c r="AB39" i="15"/>
  <c r="AB43" i="15"/>
  <c r="AB47" i="15"/>
  <c r="AB51" i="15"/>
  <c r="AA35" i="15"/>
  <c r="AA39" i="15"/>
  <c r="AA43" i="15"/>
  <c r="AA47" i="15"/>
  <c r="AA51" i="15"/>
  <c r="Z35" i="15"/>
  <c r="Z39" i="15"/>
  <c r="Z43" i="15"/>
  <c r="Z47" i="15"/>
  <c r="Z51" i="15"/>
  <c r="AC36" i="15"/>
  <c r="AC40" i="15"/>
  <c r="AC44" i="15"/>
  <c r="AC48" i="15"/>
  <c r="AC52" i="15"/>
  <c r="AB36" i="15"/>
  <c r="AB40" i="15"/>
  <c r="AB44" i="15"/>
  <c r="AB48" i="15"/>
  <c r="AB52" i="15"/>
  <c r="AA36" i="15"/>
  <c r="AA40" i="15"/>
  <c r="AA44" i="15"/>
  <c r="AA48" i="15"/>
  <c r="AA52" i="15"/>
  <c r="Z36" i="15"/>
  <c r="Z40" i="15"/>
  <c r="Z44" i="15"/>
  <c r="Z48" i="15"/>
  <c r="Z52" i="15"/>
  <c r="AC37" i="15"/>
  <c r="AC41" i="15"/>
  <c r="AC45" i="15"/>
  <c r="AC49" i="15"/>
  <c r="AC53" i="15"/>
  <c r="AB37" i="15"/>
  <c r="AB41" i="15"/>
  <c r="AB45" i="15"/>
  <c r="AB49" i="15"/>
  <c r="AB53" i="15"/>
  <c r="AA37" i="15"/>
  <c r="AA41" i="15"/>
  <c r="AA45" i="15"/>
  <c r="AA49" i="15"/>
  <c r="AA53" i="15"/>
  <c r="Z37" i="15"/>
  <c r="Z41" i="15"/>
  <c r="Z45" i="15"/>
  <c r="Z49" i="15"/>
  <c r="Z53" i="15"/>
  <c r="AC38" i="15"/>
  <c r="AC54" i="15"/>
  <c r="AB50" i="15"/>
  <c r="AA46" i="15"/>
  <c r="Z42" i="15"/>
  <c r="AC42" i="15"/>
  <c r="AB38" i="15"/>
  <c r="AB54" i="15"/>
  <c r="AA50" i="15"/>
  <c r="Z46" i="15"/>
  <c r="G52" i="15"/>
  <c r="G48" i="15"/>
  <c r="F54" i="15"/>
  <c r="F50" i="15"/>
  <c r="F46" i="15"/>
  <c r="E52" i="15"/>
  <c r="E48" i="15"/>
  <c r="D54" i="15"/>
  <c r="D50" i="15"/>
  <c r="D46" i="15"/>
  <c r="G75" i="15"/>
  <c r="G71" i="15"/>
  <c r="F77" i="15"/>
  <c r="F73" i="15"/>
  <c r="F69" i="15"/>
  <c r="E75" i="15"/>
  <c r="E71" i="15"/>
  <c r="D77" i="15"/>
  <c r="D73" i="15"/>
  <c r="D69" i="15"/>
  <c r="O42" i="15"/>
  <c r="O38" i="15"/>
  <c r="P44" i="15"/>
  <c r="P40" i="15"/>
  <c r="P36" i="15"/>
  <c r="Q42" i="15"/>
  <c r="Q38" i="15"/>
  <c r="R44" i="15"/>
  <c r="R40" i="15"/>
  <c r="R35" i="15"/>
  <c r="R50" i="15"/>
  <c r="R45" i="15"/>
  <c r="Q47" i="15"/>
  <c r="P49" i="15"/>
  <c r="O51" i="15"/>
  <c r="D99" i="15"/>
  <c r="D91" i="15"/>
  <c r="D83" i="15"/>
  <c r="E95" i="15"/>
  <c r="E87" i="15"/>
  <c r="F99" i="15"/>
  <c r="F91" i="15"/>
  <c r="F83" i="15"/>
  <c r="G95" i="15"/>
  <c r="G87" i="15"/>
  <c r="Z50" i="15"/>
  <c r="AA38" i="15"/>
  <c r="AC46" i="15"/>
  <c r="D36" i="15"/>
  <c r="F40" i="15"/>
  <c r="E42" i="15"/>
  <c r="F36" i="15"/>
  <c r="E22" i="15"/>
  <c r="D44" i="15"/>
  <c r="E38" i="15"/>
  <c r="G42" i="15"/>
  <c r="D40" i="15"/>
  <c r="F44" i="15"/>
  <c r="G38" i="15"/>
  <c r="D24" i="15"/>
  <c r="E30" i="15"/>
  <c r="E18" i="15"/>
  <c r="F29" i="15"/>
  <c r="F17" i="15"/>
  <c r="G29" i="15"/>
  <c r="G17" i="15"/>
  <c r="D63" i="15"/>
  <c r="E61" i="15"/>
  <c r="F67" i="15"/>
  <c r="G65" i="15"/>
  <c r="D27" i="15"/>
  <c r="D23" i="15"/>
  <c r="D31" i="15"/>
  <c r="E29" i="15"/>
  <c r="E25" i="15"/>
  <c r="E21" i="15"/>
  <c r="E17" i="15"/>
  <c r="E13" i="15"/>
  <c r="F28" i="15"/>
  <c r="F24" i="15"/>
  <c r="F20" i="15"/>
  <c r="F16" i="15"/>
  <c r="F12" i="15"/>
  <c r="G28" i="15"/>
  <c r="G24" i="15"/>
  <c r="G20" i="15"/>
  <c r="G16" i="15"/>
  <c r="G12" i="15"/>
  <c r="D43" i="15"/>
  <c r="D39" i="15"/>
  <c r="D35" i="15"/>
  <c r="E41" i="15"/>
  <c r="E37" i="15"/>
  <c r="F43" i="15"/>
  <c r="F39" i="15"/>
  <c r="F35" i="15"/>
  <c r="G41" i="15"/>
  <c r="G37" i="15"/>
  <c r="D66" i="15"/>
  <c r="D62" i="15"/>
  <c r="D58" i="15"/>
  <c r="E64" i="15"/>
  <c r="E60" i="15"/>
  <c r="F66" i="15"/>
  <c r="F62" i="15"/>
  <c r="F58" i="15"/>
  <c r="G64" i="15"/>
  <c r="G60" i="15"/>
  <c r="D28" i="15"/>
  <c r="E26" i="15"/>
  <c r="E14" i="15"/>
  <c r="F21" i="15"/>
  <c r="F13" i="15"/>
  <c r="G25" i="15"/>
  <c r="G13" i="15"/>
  <c r="D67" i="15"/>
  <c r="D59" i="15"/>
  <c r="E65" i="15"/>
  <c r="F63" i="15"/>
  <c r="G61" i="15"/>
  <c r="D26" i="15"/>
  <c r="D22" i="15"/>
  <c r="D30" i="15"/>
  <c r="E28" i="15"/>
  <c r="E24" i="15"/>
  <c r="E20" i="15"/>
  <c r="E16" i="15"/>
  <c r="E12" i="15"/>
  <c r="F31" i="15"/>
  <c r="F27" i="15"/>
  <c r="F23" i="15"/>
  <c r="F19" i="15"/>
  <c r="F15" i="15"/>
  <c r="G31" i="15"/>
  <c r="G27" i="15"/>
  <c r="G23" i="15"/>
  <c r="G19" i="15"/>
  <c r="G15" i="15"/>
  <c r="D42" i="15"/>
  <c r="D38" i="15"/>
  <c r="E44" i="15"/>
  <c r="E40" i="15"/>
  <c r="E36" i="15"/>
  <c r="F42" i="15"/>
  <c r="F38" i="15"/>
  <c r="G44" i="15"/>
  <c r="G40" i="15"/>
  <c r="G36" i="15"/>
  <c r="D65" i="15"/>
  <c r="D61" i="15"/>
  <c r="E67" i="15"/>
  <c r="E63" i="15"/>
  <c r="E59" i="15"/>
  <c r="F65" i="15"/>
  <c r="F61" i="15"/>
  <c r="G67" i="15"/>
  <c r="G63" i="15"/>
  <c r="G59" i="15"/>
  <c r="F25" i="15"/>
  <c r="G21" i="15"/>
  <c r="F59" i="15"/>
  <c r="D25" i="15"/>
  <c r="D29" i="15"/>
  <c r="E31" i="15"/>
  <c r="E27" i="15"/>
  <c r="E23" i="15"/>
  <c r="E19" i="15"/>
  <c r="E15" i="15"/>
  <c r="F30" i="15"/>
  <c r="F26" i="15"/>
  <c r="F22" i="15"/>
  <c r="F18" i="15"/>
  <c r="F14" i="15"/>
  <c r="G30" i="15"/>
  <c r="G26" i="15"/>
  <c r="G22" i="15"/>
  <c r="G18" i="15"/>
  <c r="G14" i="15"/>
  <c r="D41" i="15"/>
  <c r="D37" i="15"/>
  <c r="E43" i="15"/>
  <c r="E39" i="15"/>
  <c r="E35" i="15"/>
  <c r="F41" i="15"/>
  <c r="F37" i="15"/>
  <c r="G43" i="15"/>
  <c r="G39" i="15"/>
  <c r="D64" i="15"/>
  <c r="D60" i="15"/>
  <c r="E66" i="15"/>
  <c r="E62" i="15"/>
  <c r="E58" i="15"/>
  <c r="F64" i="15"/>
  <c r="F60" i="15"/>
  <c r="G66" i="15"/>
  <c r="G62" i="15"/>
  <c r="G12" i="5"/>
  <c r="G11" i="5"/>
  <c r="G18" i="5"/>
  <c r="G14" i="5"/>
  <c r="G10" i="5"/>
  <c r="G15" i="5"/>
  <c r="G17" i="5"/>
  <c r="G13" i="5"/>
  <c r="AD7" i="15"/>
  <c r="AC4" i="15"/>
  <c r="Z7" i="15"/>
  <c r="D19" i="15"/>
  <c r="Q7" i="15"/>
  <c r="D15" i="15"/>
  <c r="P7" i="15"/>
  <c r="AC7" i="15"/>
  <c r="X7" i="15"/>
  <c r="D18" i="15"/>
  <c r="D14" i="15"/>
  <c r="X4" i="15"/>
  <c r="S7" i="15"/>
  <c r="O7" i="15"/>
  <c r="AB7" i="15"/>
  <c r="D21" i="15"/>
  <c r="D17" i="15"/>
  <c r="D13" i="15"/>
  <c r="R7" i="15"/>
  <c r="M7" i="15"/>
  <c r="AA7" i="15"/>
  <c r="D20" i="15"/>
  <c r="D16" i="15"/>
  <c r="P4" i="15"/>
  <c r="O4" i="15"/>
  <c r="AB4" i="15"/>
  <c r="AB6" i="15"/>
  <c r="S6" i="15"/>
  <c r="S4" i="15"/>
  <c r="O6" i="15"/>
  <c r="Z5" i="15"/>
  <c r="AD5" i="15"/>
  <c r="M5" i="15"/>
  <c r="R5" i="15"/>
  <c r="AA5" i="15"/>
  <c r="P6" i="15"/>
  <c r="X6" i="15"/>
  <c r="AC6" i="15"/>
  <c r="Q4" i="15"/>
  <c r="Z4" i="15"/>
  <c r="AD4" i="15"/>
  <c r="Q6" i="15"/>
  <c r="M4" i="15"/>
  <c r="R4" i="15"/>
  <c r="AA4" i="15"/>
  <c r="N24" i="1"/>
  <c r="N8" i="1"/>
  <c r="N20" i="1"/>
  <c r="M4" i="1"/>
  <c r="AR20" i="1"/>
  <c r="P8" i="1"/>
  <c r="AA51" i="1"/>
  <c r="AA27" i="1"/>
  <c r="N4" i="1"/>
  <c r="AA26" i="1"/>
  <c r="N16" i="1"/>
  <c r="AA47" i="1"/>
  <c r="AA39" i="1"/>
  <c r="AA31" i="1"/>
  <c r="AA12" i="1"/>
  <c r="M20" i="1"/>
  <c r="O42" i="1"/>
  <c r="AR16" i="1"/>
  <c r="Q38" i="1"/>
  <c r="AA50" i="1"/>
  <c r="AA42" i="1"/>
  <c r="AA34" i="1"/>
  <c r="N12" i="1"/>
  <c r="AA46" i="1"/>
  <c r="AA38" i="1"/>
  <c r="AA30" i="1"/>
  <c r="AA4" i="1"/>
  <c r="M16" i="1"/>
  <c r="P16" i="1"/>
  <c r="Q23" i="1"/>
  <c r="P23" i="1"/>
  <c r="O23" i="1"/>
  <c r="AR23" i="1"/>
  <c r="M23" i="1"/>
  <c r="Q19" i="1"/>
  <c r="P19" i="1"/>
  <c r="AS19" i="1"/>
  <c r="O19" i="1"/>
  <c r="AR19" i="1"/>
  <c r="M19" i="1"/>
  <c r="O32" i="1"/>
  <c r="Q32" i="1"/>
  <c r="N44" i="1"/>
  <c r="N32" i="1"/>
  <c r="AR36" i="1"/>
  <c r="P48" i="1"/>
  <c r="P10" i="1"/>
  <c r="Q10" i="1"/>
  <c r="AR10" i="1"/>
  <c r="M10" i="1"/>
  <c r="AA10" i="1"/>
  <c r="P6" i="1"/>
  <c r="Q6" i="1"/>
  <c r="AR6" i="1"/>
  <c r="M6" i="1"/>
  <c r="AA6" i="1"/>
  <c r="Q35" i="1"/>
  <c r="P35" i="1"/>
  <c r="O35" i="1"/>
  <c r="AR35" i="1"/>
  <c r="M35" i="1"/>
  <c r="N23" i="1"/>
  <c r="N7" i="1"/>
  <c r="M48" i="1"/>
  <c r="AR32" i="1"/>
  <c r="AS22" i="1"/>
  <c r="P11" i="1"/>
  <c r="AS11" i="1"/>
  <c r="O11" i="1"/>
  <c r="Q11" i="1"/>
  <c r="AR11" i="1"/>
  <c r="M11" i="1"/>
  <c r="Q28" i="1"/>
  <c r="P28" i="1"/>
  <c r="O28" i="1"/>
  <c r="Q52" i="1"/>
  <c r="P52" i="1"/>
  <c r="O52" i="1"/>
  <c r="AT48" i="1"/>
  <c r="Q48" i="1"/>
  <c r="O48" i="1"/>
  <c r="Q44" i="1"/>
  <c r="P44" i="1"/>
  <c r="O44" i="1"/>
  <c r="N48" i="1"/>
  <c r="N36" i="1"/>
  <c r="N28" i="1"/>
  <c r="AA19" i="1"/>
  <c r="AR52" i="1"/>
  <c r="Q51" i="1"/>
  <c r="P51" i="1"/>
  <c r="O51" i="1"/>
  <c r="AR51" i="1"/>
  <c r="M51" i="1"/>
  <c r="P43" i="1"/>
  <c r="Q43" i="1"/>
  <c r="AS43" i="1"/>
  <c r="O43" i="1"/>
  <c r="AR43" i="1"/>
  <c r="M43" i="1"/>
  <c r="Q39" i="1"/>
  <c r="P39" i="1"/>
  <c r="O39" i="1"/>
  <c r="AR39" i="1"/>
  <c r="M39" i="1"/>
  <c r="AA18" i="1"/>
  <c r="AA11" i="1"/>
  <c r="M32" i="1"/>
  <c r="O22" i="1"/>
  <c r="P40" i="1"/>
  <c r="Q4" i="1"/>
  <c r="P4" i="1"/>
  <c r="O4" i="1"/>
  <c r="Q13" i="1"/>
  <c r="AR13" i="1"/>
  <c r="M13" i="1"/>
  <c r="AA13" i="1"/>
  <c r="P13" i="1"/>
  <c r="AS13" i="1"/>
  <c r="O13" i="1"/>
  <c r="Q9" i="1"/>
  <c r="P9" i="1"/>
  <c r="AR9" i="1"/>
  <c r="M9" i="1"/>
  <c r="AA9" i="1"/>
  <c r="O9" i="1"/>
  <c r="Q5" i="1"/>
  <c r="AR5" i="1"/>
  <c r="M5" i="1"/>
  <c r="AA5" i="1"/>
  <c r="P5" i="1"/>
  <c r="O5" i="1"/>
  <c r="P26" i="1"/>
  <c r="Q26" i="1"/>
  <c r="AR26" i="1"/>
  <c r="M26" i="1"/>
  <c r="Q46" i="1"/>
  <c r="P46" i="1"/>
  <c r="AR46" i="1"/>
  <c r="M46" i="1"/>
  <c r="P42" i="1"/>
  <c r="Q42" i="1"/>
  <c r="AR42" i="1"/>
  <c r="M42" i="1"/>
  <c r="P38" i="1"/>
  <c r="AR38" i="1"/>
  <c r="M38" i="1"/>
  <c r="N50" i="1"/>
  <c r="N46" i="1"/>
  <c r="N42" i="1"/>
  <c r="N38" i="1"/>
  <c r="N34" i="1"/>
  <c r="N26" i="1"/>
  <c r="N22" i="1"/>
  <c r="N18" i="1"/>
  <c r="N10" i="1"/>
  <c r="N6" i="1"/>
  <c r="AA45" i="1"/>
  <c r="AA37" i="1"/>
  <c r="AA21" i="1"/>
  <c r="AA16" i="1"/>
  <c r="AA8" i="1"/>
  <c r="M44" i="1"/>
  <c r="M28" i="1"/>
  <c r="M12" i="1"/>
  <c r="O50" i="1"/>
  <c r="O34" i="1"/>
  <c r="O18" i="1"/>
  <c r="AR44" i="1"/>
  <c r="AR28" i="1"/>
  <c r="P32" i="1"/>
  <c r="Q15" i="1"/>
  <c r="P15" i="1"/>
  <c r="O15" i="1"/>
  <c r="AR15" i="1"/>
  <c r="M15" i="1"/>
  <c r="Q7" i="1"/>
  <c r="P7" i="1"/>
  <c r="O7" i="1"/>
  <c r="AR7" i="1"/>
  <c r="M7" i="1"/>
  <c r="AT36" i="1"/>
  <c r="Q36" i="1"/>
  <c r="P36" i="1"/>
  <c r="O36" i="1"/>
  <c r="Q40" i="1"/>
  <c r="O40" i="1"/>
  <c r="N52" i="1"/>
  <c r="N40" i="1"/>
  <c r="AA23" i="1"/>
  <c r="M52" i="1"/>
  <c r="P22" i="1"/>
  <c r="Q22" i="1"/>
  <c r="AR22" i="1"/>
  <c r="M22" i="1"/>
  <c r="Q18" i="1"/>
  <c r="P18" i="1"/>
  <c r="AR18" i="1"/>
  <c r="M18" i="1"/>
  <c r="Q14" i="1"/>
  <c r="P14" i="1"/>
  <c r="AR14" i="1"/>
  <c r="M14" i="1"/>
  <c r="AA14" i="1"/>
  <c r="Q31" i="1"/>
  <c r="P31" i="1"/>
  <c r="O31" i="1"/>
  <c r="AR31" i="1"/>
  <c r="M31" i="1"/>
  <c r="P27" i="1"/>
  <c r="O27" i="1"/>
  <c r="Q27" i="1"/>
  <c r="AR27" i="1"/>
  <c r="M27" i="1"/>
  <c r="Q47" i="1"/>
  <c r="P47" i="1"/>
  <c r="O47" i="1"/>
  <c r="AR47" i="1"/>
  <c r="M47" i="1"/>
  <c r="N43" i="1"/>
  <c r="N35" i="1"/>
  <c r="N27" i="1"/>
  <c r="N19" i="1"/>
  <c r="N11" i="1"/>
  <c r="AA22" i="1"/>
  <c r="O6" i="1"/>
  <c r="Q21" i="1"/>
  <c r="AR21" i="1"/>
  <c r="M21" i="1"/>
  <c r="P21" i="1"/>
  <c r="O21" i="1"/>
  <c r="Q17" i="1"/>
  <c r="P17" i="1"/>
  <c r="AR17" i="1"/>
  <c r="M17" i="1"/>
  <c r="AA17" i="1"/>
  <c r="O17" i="1"/>
  <c r="Q34" i="1"/>
  <c r="P34" i="1"/>
  <c r="AR34" i="1"/>
  <c r="M34" i="1"/>
  <c r="Q30" i="1"/>
  <c r="P30" i="1"/>
  <c r="AR30" i="1"/>
  <c r="M30" i="1"/>
  <c r="Q50" i="1"/>
  <c r="P50" i="1"/>
  <c r="AR50" i="1"/>
  <c r="M50" i="1"/>
  <c r="Q24" i="1"/>
  <c r="AS24" i="1"/>
  <c r="O24" i="1"/>
  <c r="Q20" i="1"/>
  <c r="P20" i="1"/>
  <c r="O20" i="1"/>
  <c r="O16" i="1"/>
  <c r="Q12" i="1"/>
  <c r="P12" i="1"/>
  <c r="AS12" i="1"/>
  <c r="O12" i="1"/>
  <c r="Q8" i="1"/>
  <c r="O8" i="1"/>
  <c r="Q37" i="1"/>
  <c r="AR37" i="1"/>
  <c r="M37" i="1"/>
  <c r="P37" i="1"/>
  <c r="AS37" i="1"/>
  <c r="O37" i="1"/>
  <c r="Q33" i="1"/>
  <c r="P33" i="1"/>
  <c r="AR33" i="1"/>
  <c r="M33" i="1"/>
  <c r="O33" i="1"/>
  <c r="Q29" i="1"/>
  <c r="AR29" i="1"/>
  <c r="M29" i="1"/>
  <c r="P29" i="1"/>
  <c r="O29" i="1"/>
  <c r="Q25" i="1"/>
  <c r="P25" i="1"/>
  <c r="AR25" i="1"/>
  <c r="M25" i="1"/>
  <c r="O25" i="1"/>
  <c r="Q49" i="1"/>
  <c r="P49" i="1"/>
  <c r="AR49" i="1"/>
  <c r="M49" i="1"/>
  <c r="O49" i="1"/>
  <c r="Q45" i="1"/>
  <c r="AR45" i="1"/>
  <c r="M45" i="1"/>
  <c r="P45" i="1"/>
  <c r="O45" i="1"/>
  <c r="Q41" i="1"/>
  <c r="P41" i="1"/>
  <c r="AR41" i="1"/>
  <c r="M41" i="1"/>
  <c r="O41" i="1"/>
  <c r="N49" i="1"/>
  <c r="N45" i="1"/>
  <c r="N41" i="1"/>
  <c r="N37" i="1"/>
  <c r="N33" i="1"/>
  <c r="N29" i="1"/>
  <c r="N25" i="1"/>
  <c r="N21" i="1"/>
  <c r="N17" i="1"/>
  <c r="N13" i="1"/>
  <c r="N9" i="1"/>
  <c r="N5" i="1"/>
  <c r="AA52" i="1"/>
  <c r="AA48" i="1"/>
  <c r="AA44" i="1"/>
  <c r="AA40" i="1"/>
  <c r="AA36" i="1"/>
  <c r="AA32" i="1"/>
  <c r="AA28" i="1"/>
  <c r="AA24" i="1"/>
  <c r="AA20" i="1"/>
  <c r="AA15" i="1"/>
  <c r="AA7" i="1"/>
  <c r="M40" i="1"/>
  <c r="M24" i="1"/>
  <c r="M8" i="1"/>
  <c r="O46" i="1"/>
  <c r="O30" i="1"/>
  <c r="O14" i="1"/>
  <c r="AD17" i="1"/>
  <c r="AR40" i="1"/>
  <c r="AR24" i="1"/>
  <c r="AR8" i="1"/>
  <c r="AS46" i="1"/>
  <c r="P24" i="1"/>
  <c r="D59" i="10"/>
  <c r="Z4" i="14"/>
  <c r="AD4" i="14"/>
  <c r="Q4" i="14"/>
  <c r="M4" i="14"/>
  <c r="R4" i="14"/>
  <c r="AA4" i="14"/>
  <c r="O4" i="14"/>
  <c r="S4" i="14"/>
  <c r="AB4" i="14"/>
  <c r="P4" i="14"/>
  <c r="X4" i="14"/>
  <c r="AC4" i="14"/>
  <c r="M6" i="13"/>
  <c r="M4" i="13"/>
  <c r="R6" i="13"/>
  <c r="R4" i="13"/>
  <c r="AA6" i="13"/>
  <c r="AA4" i="13"/>
  <c r="AA5" i="13"/>
  <c r="Q4" i="13"/>
  <c r="Z4" i="13"/>
  <c r="AD4" i="13"/>
  <c r="Q6" i="13"/>
  <c r="Z6" i="13"/>
  <c r="AD6" i="13"/>
  <c r="Z31" i="20"/>
  <c r="P4" i="20"/>
  <c r="X4" i="20"/>
  <c r="AC4" i="20"/>
  <c r="M5" i="20"/>
  <c r="R5" i="20"/>
  <c r="AA5" i="20"/>
  <c r="P6" i="20"/>
  <c r="X6" i="20"/>
  <c r="AC6" i="20"/>
  <c r="D27" i="20"/>
  <c r="Q4" i="20"/>
  <c r="Z4" i="20"/>
  <c r="AD4" i="20"/>
  <c r="Q6" i="20"/>
  <c r="Z6" i="20"/>
  <c r="AD6" i="20"/>
  <c r="M4" i="20"/>
  <c r="R4" i="20"/>
  <c r="AA4" i="20"/>
  <c r="Q5" i="12"/>
  <c r="Z5" i="12"/>
  <c r="AD5" i="12"/>
  <c r="P4" i="12"/>
  <c r="X4" i="12"/>
  <c r="AC4" i="12"/>
  <c r="P6" i="12"/>
  <c r="X6" i="12"/>
  <c r="AV41" i="1" s="1"/>
  <c r="AC6" i="12"/>
  <c r="Q4" i="12"/>
  <c r="Z4" i="12"/>
  <c r="AD4" i="12"/>
  <c r="P4" i="11"/>
  <c r="AC4" i="11"/>
  <c r="S4" i="11"/>
  <c r="X4" i="11"/>
  <c r="Q4" i="11"/>
  <c r="Z4" i="11"/>
  <c r="AD4" i="11"/>
  <c r="M4" i="11"/>
  <c r="AF28" i="1" s="1"/>
  <c r="R4" i="11"/>
  <c r="AA4" i="11"/>
  <c r="Z4" i="10"/>
  <c r="M6" i="10"/>
  <c r="X7" i="10"/>
  <c r="M4" i="10"/>
  <c r="AC5" i="10"/>
  <c r="Q6" i="10"/>
  <c r="AD6" i="10"/>
  <c r="Q4" i="10"/>
  <c r="O19" i="10" s="1"/>
  <c r="AD4" i="10"/>
  <c r="R6" i="10"/>
  <c r="R4" i="10"/>
  <c r="Z6" i="10"/>
  <c r="O56" i="10"/>
  <c r="O7" i="10"/>
  <c r="O6" i="10"/>
  <c r="O4" i="10"/>
  <c r="S7" i="10"/>
  <c r="S6" i="10"/>
  <c r="S4" i="10"/>
  <c r="AB7" i="10"/>
  <c r="AB6" i="10"/>
  <c r="AB4" i="10"/>
  <c r="P6" i="10"/>
  <c r="P4" i="10"/>
  <c r="X6" i="10"/>
  <c r="X4" i="10"/>
  <c r="AC6" i="10"/>
  <c r="AC4" i="10"/>
  <c r="P7" i="10"/>
  <c r="Q5" i="10"/>
  <c r="Z5" i="10"/>
  <c r="AD5" i="10"/>
  <c r="D43" i="10"/>
  <c r="M5" i="10"/>
  <c r="R5" i="10"/>
  <c r="AA5" i="10"/>
  <c r="D47" i="10"/>
  <c r="O4" i="9"/>
  <c r="O6" i="9"/>
  <c r="S6" i="9"/>
  <c r="S4" i="9"/>
  <c r="AB6" i="9"/>
  <c r="Z5" i="9"/>
  <c r="P4" i="9"/>
  <c r="X4" i="9"/>
  <c r="AC4" i="9"/>
  <c r="M5" i="9"/>
  <c r="R5" i="9"/>
  <c r="AA5" i="9"/>
  <c r="P6" i="9"/>
  <c r="X6" i="9"/>
  <c r="AC6" i="9"/>
  <c r="Q4" i="9"/>
  <c r="Z4" i="9"/>
  <c r="AD4" i="9"/>
  <c r="Q6" i="9"/>
  <c r="AD6" i="9"/>
  <c r="M4" i="9"/>
  <c r="R4" i="9"/>
  <c r="AA4" i="9"/>
  <c r="D22" i="8"/>
  <c r="D9" i="8"/>
  <c r="R5" i="8"/>
  <c r="S5" i="8"/>
  <c r="Z9" i="8"/>
  <c r="M5" i="8"/>
  <c r="AC37" i="1" s="1"/>
  <c r="AA5" i="8"/>
  <c r="O5" i="8"/>
  <c r="AB5" i="8"/>
  <c r="O22" i="8"/>
  <c r="X6" i="7"/>
  <c r="AQ16" i="4" s="1"/>
  <c r="D36" i="7"/>
  <c r="AB6" i="7"/>
  <c r="AC38" i="7" s="1"/>
  <c r="S6" i="7"/>
  <c r="AB5" i="7"/>
  <c r="O6" i="7"/>
  <c r="AC6" i="7"/>
  <c r="R6" i="7"/>
  <c r="Q6" i="7"/>
  <c r="M6" i="7"/>
  <c r="AB32" i="1" s="1"/>
  <c r="P6" i="7"/>
  <c r="AA6" i="7"/>
  <c r="X4" i="7"/>
  <c r="P4" i="7"/>
  <c r="D30" i="7"/>
  <c r="D23" i="7"/>
  <c r="D10" i="7"/>
  <c r="Q4" i="7"/>
  <c r="AA4" i="7"/>
  <c r="M4" i="7"/>
  <c r="R4" i="7"/>
  <c r="Z10" i="7"/>
  <c r="D12" i="7"/>
  <c r="Q5" i="7"/>
  <c r="Z5" i="7"/>
  <c r="Z4" i="7"/>
  <c r="AD5" i="7"/>
  <c r="AD4" i="7"/>
  <c r="O4" i="7"/>
  <c r="S4" i="7"/>
  <c r="AC4" i="7"/>
  <c r="L14" i="1"/>
  <c r="L46" i="1"/>
  <c r="L38" i="1"/>
  <c r="L30" i="1"/>
  <c r="L22" i="1"/>
  <c r="L6" i="1"/>
  <c r="L49" i="1"/>
  <c r="L45" i="1"/>
  <c r="L41" i="1"/>
  <c r="L37" i="1"/>
  <c r="L33" i="1"/>
  <c r="L29" i="1"/>
  <c r="L25" i="1"/>
  <c r="L21" i="1"/>
  <c r="L17" i="1"/>
  <c r="L13" i="1"/>
  <c r="L9" i="1"/>
  <c r="L5" i="1"/>
  <c r="L50" i="1"/>
  <c r="L42" i="1"/>
  <c r="L34" i="1"/>
  <c r="L26" i="1"/>
  <c r="L18" i="1"/>
  <c r="L10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51" i="1"/>
  <c r="L47" i="1"/>
  <c r="L43" i="1"/>
  <c r="L39" i="1"/>
  <c r="L35" i="1"/>
  <c r="L31" i="1"/>
  <c r="L27" i="1"/>
  <c r="L23" i="1"/>
  <c r="L19" i="1"/>
  <c r="L15" i="1"/>
  <c r="L11" i="1"/>
  <c r="L7" i="1"/>
  <c r="S4" i="6"/>
  <c r="X4" i="6"/>
  <c r="O4" i="6"/>
  <c r="AC4" i="6"/>
  <c r="P4" i="6"/>
  <c r="D9" i="6"/>
  <c r="AB5" i="6"/>
  <c r="Q4" i="6"/>
  <c r="AA4" i="6"/>
  <c r="Z5" i="6"/>
  <c r="AP12" i="1" s="1"/>
  <c r="R5" i="6"/>
  <c r="M4" i="6"/>
  <c r="AB4" i="6"/>
  <c r="Q5" i="6"/>
  <c r="AD5" i="6"/>
  <c r="AO5" i="1"/>
  <c r="AO16" i="1"/>
  <c r="AO48" i="1"/>
  <c r="AO24" i="1"/>
  <c r="AO32" i="1"/>
  <c r="AO40" i="1"/>
  <c r="AO8" i="1"/>
  <c r="P18" i="5"/>
  <c r="Q5" i="5"/>
  <c r="AO39" i="1"/>
  <c r="AO31" i="1"/>
  <c r="AO15" i="1"/>
  <c r="K23" i="1"/>
  <c r="K15" i="1"/>
  <c r="K7" i="1"/>
  <c r="K28" i="1"/>
  <c r="K44" i="1"/>
  <c r="AO52" i="1"/>
  <c r="AO12" i="1"/>
  <c r="AC11" i="5"/>
  <c r="AC15" i="5"/>
  <c r="AB9" i="5"/>
  <c r="AC12" i="5"/>
  <c r="AC16" i="5"/>
  <c r="AC9" i="5"/>
  <c r="AC17" i="5"/>
  <c r="AB13" i="5"/>
  <c r="AA11" i="5"/>
  <c r="AA16" i="5"/>
  <c r="AC10" i="5"/>
  <c r="AC18" i="5"/>
  <c r="Z15" i="5"/>
  <c r="AA9" i="5"/>
  <c r="Z9" i="5"/>
  <c r="AC13" i="5"/>
  <c r="AC14" i="5"/>
  <c r="AA15" i="5"/>
  <c r="AO47" i="1"/>
  <c r="AO23" i="1"/>
  <c r="AO7" i="1"/>
  <c r="K19" i="1"/>
  <c r="K11" i="1"/>
  <c r="K36" i="1"/>
  <c r="K32" i="1"/>
  <c r="K52" i="1"/>
  <c r="K48" i="1"/>
  <c r="K40" i="1"/>
  <c r="AB4" i="5"/>
  <c r="AO44" i="1"/>
  <c r="AO36" i="1"/>
  <c r="AO28" i="1"/>
  <c r="AO20" i="1"/>
  <c r="AO4" i="1"/>
  <c r="K22" i="1"/>
  <c r="K18" i="1"/>
  <c r="K14" i="1"/>
  <c r="K10" i="1"/>
  <c r="K6" i="1"/>
  <c r="K35" i="1"/>
  <c r="K31" i="1"/>
  <c r="K27" i="1"/>
  <c r="K51" i="1"/>
  <c r="K47" i="1"/>
  <c r="K43" i="1"/>
  <c r="K39" i="1"/>
  <c r="AO51" i="1"/>
  <c r="AO43" i="1"/>
  <c r="AO35" i="1"/>
  <c r="AO27" i="1"/>
  <c r="AO19" i="1"/>
  <c r="AO11" i="1"/>
  <c r="K4" i="1"/>
  <c r="K21" i="1"/>
  <c r="K17" i="1"/>
  <c r="K13" i="1"/>
  <c r="K9" i="1"/>
  <c r="K5" i="1"/>
  <c r="K34" i="1"/>
  <c r="K30" i="1"/>
  <c r="K26" i="1"/>
  <c r="K50" i="1"/>
  <c r="K46" i="1"/>
  <c r="K42" i="1"/>
  <c r="K38" i="1"/>
  <c r="R9" i="5"/>
  <c r="R12" i="5"/>
  <c r="R16" i="5"/>
  <c r="P12" i="5"/>
  <c r="R13" i="5"/>
  <c r="R17" i="5"/>
  <c r="Q11" i="5"/>
  <c r="P9" i="5"/>
  <c r="R10" i="5"/>
  <c r="R18" i="5"/>
  <c r="P14" i="5"/>
  <c r="R11" i="5"/>
  <c r="Q9" i="5"/>
  <c r="P15" i="5"/>
  <c r="AO50" i="1"/>
  <c r="AO46" i="1"/>
  <c r="AO42" i="1"/>
  <c r="AO38" i="1"/>
  <c r="AO34" i="1"/>
  <c r="AO30" i="1"/>
  <c r="AO26" i="1"/>
  <c r="AO22" i="1"/>
  <c r="AO18" i="1"/>
  <c r="AO14" i="1"/>
  <c r="AO10" i="1"/>
  <c r="AO6" i="1"/>
  <c r="O9" i="5"/>
  <c r="Q13" i="5"/>
  <c r="R15" i="5"/>
  <c r="K24" i="1"/>
  <c r="K20" i="1"/>
  <c r="K16" i="1"/>
  <c r="K12" i="1"/>
  <c r="K8" i="1"/>
  <c r="K37" i="1"/>
  <c r="K33" i="1"/>
  <c r="K29" i="1"/>
  <c r="K25" i="1"/>
  <c r="K49" i="1"/>
  <c r="K45" i="1"/>
  <c r="K41" i="1"/>
  <c r="AO49" i="1"/>
  <c r="AO45" i="1"/>
  <c r="AO41" i="1"/>
  <c r="AO37" i="1"/>
  <c r="AO33" i="1"/>
  <c r="AO29" i="1"/>
  <c r="AO25" i="1"/>
  <c r="AO21" i="1"/>
  <c r="AO17" i="1"/>
  <c r="AO13" i="1"/>
  <c r="AO9" i="1"/>
  <c r="R14" i="5"/>
  <c r="Z4" i="5"/>
  <c r="Q4" i="5"/>
  <c r="AB5" i="5"/>
  <c r="AC4" i="5"/>
  <c r="S5" i="5"/>
  <c r="AD4" i="5"/>
  <c r="O5" i="5"/>
  <c r="X4" i="5"/>
  <c r="R4" i="5"/>
  <c r="M5" i="5"/>
  <c r="AA5" i="5"/>
  <c r="P4" i="5"/>
  <c r="D11" i="13"/>
  <c r="D12" i="13"/>
  <c r="D26" i="13"/>
  <c r="O27" i="20"/>
  <c r="Z28" i="20"/>
  <c r="D15" i="14"/>
  <c r="D31" i="13"/>
  <c r="D17" i="14"/>
  <c r="B5" i="1"/>
  <c r="O24" i="8" s="1"/>
  <c r="B6" i="1"/>
  <c r="O25" i="8" s="1"/>
  <c r="D16" i="8"/>
  <c r="D18" i="7"/>
  <c r="O31" i="8"/>
  <c r="Z8" i="11"/>
  <c r="D9" i="11"/>
  <c r="O53" i="10"/>
  <c r="Z12" i="11"/>
  <c r="D30" i="10"/>
  <c r="D57" i="10"/>
  <c r="Z16" i="11"/>
  <c r="D60" i="10"/>
  <c r="D8" i="14"/>
  <c r="B5" i="2"/>
  <c r="B6" i="2"/>
  <c r="B4" i="2"/>
  <c r="B5" i="3"/>
  <c r="AB11" i="5" s="1"/>
  <c r="B6" i="3"/>
  <c r="B4" i="3"/>
  <c r="Q12" i="17" l="1"/>
  <c r="O13" i="17"/>
  <c r="R22" i="17"/>
  <c r="R26" i="17"/>
  <c r="R10" i="17"/>
  <c r="Q17" i="17"/>
  <c r="O19" i="17"/>
  <c r="R14" i="17"/>
  <c r="R21" i="17"/>
  <c r="Q23" i="17"/>
  <c r="O24" i="17"/>
  <c r="R18" i="17"/>
  <c r="P22" i="17"/>
  <c r="R9" i="17"/>
  <c r="O8" i="17"/>
  <c r="P26" i="17"/>
  <c r="P10" i="17"/>
  <c r="R17" i="17"/>
  <c r="Q8" i="17"/>
  <c r="Q13" i="17"/>
  <c r="Q19" i="17"/>
  <c r="Q24" i="17"/>
  <c r="O9" i="17"/>
  <c r="O15" i="17"/>
  <c r="O20" i="17"/>
  <c r="O25" i="17"/>
  <c r="R24" i="17"/>
  <c r="R20" i="17"/>
  <c r="R16" i="17"/>
  <c r="R12" i="17"/>
  <c r="R8" i="17"/>
  <c r="P14" i="17"/>
  <c r="R25" i="17"/>
  <c r="R15" i="17"/>
  <c r="Q9" i="17"/>
  <c r="Q15" i="17"/>
  <c r="Q20" i="17"/>
  <c r="Q25" i="17"/>
  <c r="O11" i="17"/>
  <c r="O16" i="17"/>
  <c r="O21" i="17"/>
  <c r="O27" i="17"/>
  <c r="P18" i="17"/>
  <c r="R23" i="17"/>
  <c r="R13" i="17"/>
  <c r="Q11" i="17"/>
  <c r="Q16" i="17"/>
  <c r="Q21" i="17"/>
  <c r="Q27" i="17"/>
  <c r="O12" i="17"/>
  <c r="O17" i="17"/>
  <c r="O23" i="17"/>
  <c r="AE12" i="4"/>
  <c r="AB10" i="20"/>
  <c r="AB19" i="20"/>
  <c r="AC45" i="20"/>
  <c r="AB43" i="20"/>
  <c r="AA36" i="20"/>
  <c r="AC40" i="20"/>
  <c r="AB41" i="20"/>
  <c r="AA41" i="20"/>
  <c r="AA38" i="20"/>
  <c r="AC42" i="20"/>
  <c r="AA16" i="20"/>
  <c r="AB16" i="20"/>
  <c r="AC36" i="20"/>
  <c r="AC41" i="20"/>
  <c r="AB42" i="20"/>
  <c r="AA43" i="20"/>
  <c r="AB37" i="20"/>
  <c r="AB39" i="20"/>
  <c r="AB44" i="20"/>
  <c r="AC38" i="20"/>
  <c r="AA45" i="20"/>
  <c r="AA44" i="20"/>
  <c r="AB38" i="20"/>
  <c r="AA39" i="20"/>
  <c r="AC43" i="20"/>
  <c r="AC37" i="20"/>
  <c r="AE16" i="2"/>
  <c r="AE23" i="3"/>
  <c r="AE37" i="1"/>
  <c r="AE8" i="1"/>
  <c r="AE34" i="1"/>
  <c r="AE11" i="1"/>
  <c r="AE25" i="2"/>
  <c r="AE16" i="3"/>
  <c r="AE34" i="2"/>
  <c r="AE21" i="3"/>
  <c r="AE46" i="3"/>
  <c r="AE43" i="2"/>
  <c r="AE7" i="4"/>
  <c r="AE49" i="1"/>
  <c r="AE33" i="1"/>
  <c r="AE40" i="1"/>
  <c r="AE26" i="1"/>
  <c r="AE43" i="1"/>
  <c r="AE24" i="3"/>
  <c r="AE42" i="3"/>
  <c r="AE4" i="2"/>
  <c r="AE13" i="2"/>
  <c r="AE27" i="2"/>
  <c r="AE49" i="4"/>
  <c r="AE38" i="4"/>
  <c r="AE5" i="3"/>
  <c r="AE44" i="4"/>
  <c r="AE34" i="4"/>
  <c r="AE45" i="4"/>
  <c r="AE19" i="3"/>
  <c r="AE26" i="3"/>
  <c r="AE11" i="2"/>
  <c r="AE17" i="4"/>
  <c r="AE6" i="4"/>
  <c r="AE39" i="4"/>
  <c r="AE28" i="4"/>
  <c r="AE22" i="1"/>
  <c r="AE7" i="1"/>
  <c r="AE12" i="2"/>
  <c r="AE37" i="2"/>
  <c r="AE46" i="2"/>
  <c r="AE10" i="4"/>
  <c r="AE21" i="4"/>
  <c r="AE44" i="3"/>
  <c r="AE38" i="3"/>
  <c r="AE37" i="3"/>
  <c r="AE23" i="4"/>
  <c r="AE16" i="4"/>
  <c r="AT52" i="1"/>
  <c r="P58" i="9"/>
  <c r="P54" i="9"/>
  <c r="AS6" i="1"/>
  <c r="P57" i="9"/>
  <c r="P56" i="9"/>
  <c r="Q51" i="9"/>
  <c r="Q50" i="9"/>
  <c r="P51" i="9"/>
  <c r="P65" i="10"/>
  <c r="R68" i="10"/>
  <c r="P72" i="10"/>
  <c r="R69" i="10"/>
  <c r="P68" i="10"/>
  <c r="P66" i="10"/>
  <c r="AQ43" i="1"/>
  <c r="AQ51" i="1"/>
  <c r="P24" i="17"/>
  <c r="P20" i="17"/>
  <c r="P16" i="17"/>
  <c r="P12" i="17"/>
  <c r="P8" i="17"/>
  <c r="R27" i="17"/>
  <c r="R19" i="17"/>
  <c r="R11" i="17"/>
  <c r="Q10" i="17"/>
  <c r="Q14" i="17"/>
  <c r="Q18" i="17"/>
  <c r="Q22" i="17"/>
  <c r="Q26" i="17"/>
  <c r="O10" i="17"/>
  <c r="O14" i="17"/>
  <c r="O18" i="17"/>
  <c r="O22" i="17"/>
  <c r="BB6" i="4"/>
  <c r="BB10" i="4"/>
  <c r="BB14" i="4"/>
  <c r="BB18" i="4"/>
  <c r="BB22" i="4"/>
  <c r="BB26" i="4"/>
  <c r="BB30" i="4"/>
  <c r="BB34" i="4"/>
  <c r="BB38" i="4"/>
  <c r="BB42" i="4"/>
  <c r="BB46" i="4"/>
  <c r="BB50" i="4"/>
  <c r="BB4" i="3"/>
  <c r="BB8" i="3"/>
  <c r="BB12" i="3"/>
  <c r="BB16" i="3"/>
  <c r="BB20" i="3"/>
  <c r="BB24" i="3"/>
  <c r="BB28" i="3"/>
  <c r="BB32" i="3"/>
  <c r="BB36" i="3"/>
  <c r="BB40" i="3"/>
  <c r="BB44" i="3"/>
  <c r="BB48" i="3"/>
  <c r="BB52" i="3"/>
  <c r="BB6" i="2"/>
  <c r="BB10" i="2"/>
  <c r="BB14" i="2"/>
  <c r="BB18" i="2"/>
  <c r="BB22" i="2"/>
  <c r="BB26" i="2"/>
  <c r="BB30" i="2"/>
  <c r="BB34" i="2"/>
  <c r="BB38" i="2"/>
  <c r="BB42" i="2"/>
  <c r="BB3" i="4"/>
  <c r="BB7" i="4"/>
  <c r="BB11" i="4"/>
  <c r="BB15" i="4"/>
  <c r="BB19" i="4"/>
  <c r="BB23" i="4"/>
  <c r="BB27" i="4"/>
  <c r="BB31" i="4"/>
  <c r="BB35" i="4"/>
  <c r="BB39" i="4"/>
  <c r="BB43" i="4"/>
  <c r="BB47" i="4"/>
  <c r="BB51" i="4"/>
  <c r="BB5" i="3"/>
  <c r="BB9" i="3"/>
  <c r="BB13" i="3"/>
  <c r="BB17" i="3"/>
  <c r="BB21" i="3"/>
  <c r="BB25" i="3"/>
  <c r="BB29" i="3"/>
  <c r="BB33" i="3"/>
  <c r="BB37" i="3"/>
  <c r="BB41" i="3"/>
  <c r="BB45" i="3"/>
  <c r="BB49" i="3"/>
  <c r="BB3" i="2"/>
  <c r="BB7" i="2"/>
  <c r="BB11" i="2"/>
  <c r="BB15" i="2"/>
  <c r="BB19" i="2"/>
  <c r="BB23" i="2"/>
  <c r="BB27" i="2"/>
  <c r="BB31" i="2"/>
  <c r="BB35" i="2"/>
  <c r="BB39" i="2"/>
  <c r="BB9" i="4"/>
  <c r="BB17" i="4"/>
  <c r="BB25" i="4"/>
  <c r="BB33" i="4"/>
  <c r="BB41" i="4"/>
  <c r="BB49" i="4"/>
  <c r="BB3" i="3"/>
  <c r="BB11" i="3"/>
  <c r="BB19" i="3"/>
  <c r="BB27" i="3"/>
  <c r="BB35" i="3"/>
  <c r="BB43" i="3"/>
  <c r="BB51" i="3"/>
  <c r="BB5" i="2"/>
  <c r="BB13" i="2"/>
  <c r="BB21" i="2"/>
  <c r="BB29" i="2"/>
  <c r="BB37" i="2"/>
  <c r="BB44" i="2"/>
  <c r="BB48" i="2"/>
  <c r="BB52" i="2"/>
  <c r="BB5" i="4"/>
  <c r="BB21" i="4"/>
  <c r="BB45" i="4"/>
  <c r="BB15" i="3"/>
  <c r="BB31" i="3"/>
  <c r="BB39" i="3"/>
  <c r="BB4" i="4"/>
  <c r="BB12" i="4"/>
  <c r="BB20" i="4"/>
  <c r="BB28" i="4"/>
  <c r="BB36" i="4"/>
  <c r="BB44" i="4"/>
  <c r="BB52" i="4"/>
  <c r="BB6" i="3"/>
  <c r="BB14" i="3"/>
  <c r="BB22" i="3"/>
  <c r="BB30" i="3"/>
  <c r="BB38" i="3"/>
  <c r="BB46" i="3"/>
  <c r="BB8" i="2"/>
  <c r="BB16" i="2"/>
  <c r="BB24" i="2"/>
  <c r="BB32" i="2"/>
  <c r="BB40" i="2"/>
  <c r="BB45" i="2"/>
  <c r="BB49" i="2"/>
  <c r="BB13" i="4"/>
  <c r="BB29" i="4"/>
  <c r="BB37" i="4"/>
  <c r="BB7" i="3"/>
  <c r="BB23" i="3"/>
  <c r="BB47" i="3"/>
  <c r="BB32" i="4"/>
  <c r="BB10" i="3"/>
  <c r="BB42" i="3"/>
  <c r="BB9" i="2"/>
  <c r="BB25" i="2"/>
  <c r="BB41" i="2"/>
  <c r="BB50" i="2"/>
  <c r="BB24" i="4"/>
  <c r="BB34" i="3"/>
  <c r="BB4" i="2"/>
  <c r="BB20" i="2"/>
  <c r="BB36" i="2"/>
  <c r="BB47" i="2"/>
  <c r="BB8" i="4"/>
  <c r="BB40" i="4"/>
  <c r="BB18" i="3"/>
  <c r="BB50" i="3"/>
  <c r="BB12" i="2"/>
  <c r="BB28" i="2"/>
  <c r="BB43" i="2"/>
  <c r="BB51" i="2"/>
  <c r="BB16" i="4"/>
  <c r="BB48" i="4"/>
  <c r="BB26" i="3"/>
  <c r="BB17" i="2"/>
  <c r="BB33" i="2"/>
  <c r="BB46" i="2"/>
  <c r="BB3" i="1"/>
  <c r="BB7" i="1"/>
  <c r="BB11" i="1"/>
  <c r="BB15" i="1"/>
  <c r="BB19" i="1"/>
  <c r="BB23" i="1"/>
  <c r="BB27" i="1"/>
  <c r="BB31" i="1"/>
  <c r="BB35" i="1"/>
  <c r="BB39" i="1"/>
  <c r="BB43" i="1"/>
  <c r="BB47" i="1"/>
  <c r="BB51" i="1"/>
  <c r="BB5" i="1"/>
  <c r="BB13" i="1"/>
  <c r="BB25" i="1"/>
  <c r="BB33" i="1"/>
  <c r="BB41" i="1"/>
  <c r="BB49" i="1"/>
  <c r="BB10" i="1"/>
  <c r="BB14" i="1"/>
  <c r="BB22" i="1"/>
  <c r="BB34" i="1"/>
  <c r="BB42" i="1"/>
  <c r="BB50" i="1"/>
  <c r="BB4" i="1"/>
  <c r="BB8" i="1"/>
  <c r="BB12" i="1"/>
  <c r="BB16" i="1"/>
  <c r="BB20" i="1"/>
  <c r="BB24" i="1"/>
  <c r="BB28" i="1"/>
  <c r="BB32" i="1"/>
  <c r="BB36" i="1"/>
  <c r="BB40" i="1"/>
  <c r="BB44" i="1"/>
  <c r="BB48" i="1"/>
  <c r="BB52" i="1"/>
  <c r="BB9" i="1"/>
  <c r="BB17" i="1"/>
  <c r="BB21" i="1"/>
  <c r="BB29" i="1"/>
  <c r="BB37" i="1"/>
  <c r="BB45" i="1"/>
  <c r="BB6" i="1"/>
  <c r="BB18" i="1"/>
  <c r="BB26" i="1"/>
  <c r="BB30" i="1"/>
  <c r="BB38" i="1"/>
  <c r="BB46" i="1"/>
  <c r="AM4" i="4"/>
  <c r="AM8" i="4"/>
  <c r="AM12" i="4"/>
  <c r="AM16" i="4"/>
  <c r="AM20" i="4"/>
  <c r="AM24" i="4"/>
  <c r="AM28" i="4"/>
  <c r="AM32" i="4"/>
  <c r="AM36" i="4"/>
  <c r="AM40" i="4"/>
  <c r="AM44" i="4"/>
  <c r="AM48" i="4"/>
  <c r="AM52" i="4"/>
  <c r="AM6" i="3"/>
  <c r="AM10" i="3"/>
  <c r="AM14" i="3"/>
  <c r="AM18" i="3"/>
  <c r="AM22" i="3"/>
  <c r="AM26" i="3"/>
  <c r="AM30" i="3"/>
  <c r="AM34" i="3"/>
  <c r="AM38" i="3"/>
  <c r="AM42" i="3"/>
  <c r="AM46" i="3"/>
  <c r="AM50" i="3"/>
  <c r="AM5" i="4"/>
  <c r="AM9" i="4"/>
  <c r="AM13" i="4"/>
  <c r="AM17" i="4"/>
  <c r="AM21" i="4"/>
  <c r="AM25" i="4"/>
  <c r="AM29" i="4"/>
  <c r="AM33" i="4"/>
  <c r="AM37" i="4"/>
  <c r="AM41" i="4"/>
  <c r="AM45" i="4"/>
  <c r="AM49" i="4"/>
  <c r="AM3" i="3"/>
  <c r="AM7" i="3"/>
  <c r="AM11" i="3"/>
  <c r="AM15" i="3"/>
  <c r="AM19" i="3"/>
  <c r="AM23" i="3"/>
  <c r="AM27" i="3"/>
  <c r="AM31" i="3"/>
  <c r="AM35" i="3"/>
  <c r="AM39" i="3"/>
  <c r="AM43" i="3"/>
  <c r="AM47" i="3"/>
  <c r="AM51" i="3"/>
  <c r="AM7" i="4"/>
  <c r="AM15" i="4"/>
  <c r="AM23" i="4"/>
  <c r="AM31" i="4"/>
  <c r="AM39" i="4"/>
  <c r="AM47" i="4"/>
  <c r="AM9" i="3"/>
  <c r="AM17" i="3"/>
  <c r="AM25" i="3"/>
  <c r="AM33" i="3"/>
  <c r="AM41" i="3"/>
  <c r="AM49" i="3"/>
  <c r="AM6" i="2"/>
  <c r="AM10" i="2"/>
  <c r="AM14" i="2"/>
  <c r="AM18" i="2"/>
  <c r="AM22" i="2"/>
  <c r="AM26" i="2"/>
  <c r="AM30" i="2"/>
  <c r="AM34" i="2"/>
  <c r="AM38" i="2"/>
  <c r="AM42" i="2"/>
  <c r="AM46" i="2"/>
  <c r="AM50" i="2"/>
  <c r="AM11" i="4"/>
  <c r="AM27" i="4"/>
  <c r="AM35" i="4"/>
  <c r="AM51" i="4"/>
  <c r="AM5" i="3"/>
  <c r="AM21" i="3"/>
  <c r="AM10" i="4"/>
  <c r="AM18" i="4"/>
  <c r="AM26" i="4"/>
  <c r="AM34" i="4"/>
  <c r="AM42" i="4"/>
  <c r="AM50" i="4"/>
  <c r="AM4" i="3"/>
  <c r="AM12" i="3"/>
  <c r="AM20" i="3"/>
  <c r="AM28" i="3"/>
  <c r="AM36" i="3"/>
  <c r="AM44" i="3"/>
  <c r="AM52" i="3"/>
  <c r="AM3" i="2"/>
  <c r="AM7" i="2"/>
  <c r="AM11" i="2"/>
  <c r="AM15" i="2"/>
  <c r="AM19" i="2"/>
  <c r="AM23" i="2"/>
  <c r="AM27" i="2"/>
  <c r="AM31" i="2"/>
  <c r="AM35" i="2"/>
  <c r="AM39" i="2"/>
  <c r="AM43" i="2"/>
  <c r="AM47" i="2"/>
  <c r="AM51" i="2"/>
  <c r="AM3" i="4"/>
  <c r="AM19" i="4"/>
  <c r="AM43" i="4"/>
  <c r="AM13" i="3"/>
  <c r="AM29" i="3"/>
  <c r="AM14" i="4"/>
  <c r="AM46" i="4"/>
  <c r="AM24" i="3"/>
  <c r="AM45" i="3"/>
  <c r="AM8" i="2"/>
  <c r="AM16" i="2"/>
  <c r="AM24" i="2"/>
  <c r="AM32" i="2"/>
  <c r="AM40" i="2"/>
  <c r="AM48" i="2"/>
  <c r="AM6" i="4"/>
  <c r="AM38" i="4"/>
  <c r="AM16" i="3"/>
  <c r="AM40" i="3"/>
  <c r="AM5" i="2"/>
  <c r="AM13" i="2"/>
  <c r="AM21" i="2"/>
  <c r="AM29" i="2"/>
  <c r="AM37" i="2"/>
  <c r="AM45" i="2"/>
  <c r="AM22" i="4"/>
  <c r="AM32" i="3"/>
  <c r="AM48" i="3"/>
  <c r="AM9" i="2"/>
  <c r="AM17" i="2"/>
  <c r="AM25" i="2"/>
  <c r="AM33" i="2"/>
  <c r="AM41" i="2"/>
  <c r="AM49" i="2"/>
  <c r="AM30" i="4"/>
  <c r="AM8" i="3"/>
  <c r="AM37" i="3"/>
  <c r="AM4" i="2"/>
  <c r="AM12" i="2"/>
  <c r="AM20" i="2"/>
  <c r="AM28" i="2"/>
  <c r="AM36" i="2"/>
  <c r="AM44" i="2"/>
  <c r="AM52" i="2"/>
  <c r="AM5" i="1"/>
  <c r="AM9" i="1"/>
  <c r="AM13" i="1"/>
  <c r="AM17" i="1"/>
  <c r="AM21" i="1"/>
  <c r="AM25" i="1"/>
  <c r="AM29" i="1"/>
  <c r="AM33" i="1"/>
  <c r="AM37" i="1"/>
  <c r="AM41" i="1"/>
  <c r="AM45" i="1"/>
  <c r="AM49" i="1"/>
  <c r="AM7" i="1"/>
  <c r="AM15" i="1"/>
  <c r="AM23" i="1"/>
  <c r="AM31" i="1"/>
  <c r="AM39" i="1"/>
  <c r="AM47" i="1"/>
  <c r="AM8" i="1"/>
  <c r="AM16" i="1"/>
  <c r="AM24" i="1"/>
  <c r="AM32" i="1"/>
  <c r="AM40" i="1"/>
  <c r="AM48" i="1"/>
  <c r="AM6" i="1"/>
  <c r="AM10" i="1"/>
  <c r="AM14" i="1"/>
  <c r="AM18" i="1"/>
  <c r="AM22" i="1"/>
  <c r="AM26" i="1"/>
  <c r="AM30" i="1"/>
  <c r="AM34" i="1"/>
  <c r="AM38" i="1"/>
  <c r="AM42" i="1"/>
  <c r="AM46" i="1"/>
  <c r="AM50" i="1"/>
  <c r="AM3" i="1"/>
  <c r="AM11" i="1"/>
  <c r="AM19" i="1"/>
  <c r="AM27" i="1"/>
  <c r="AM35" i="1"/>
  <c r="AM43" i="1"/>
  <c r="AM51" i="1"/>
  <c r="AM4" i="1"/>
  <c r="AM12" i="1"/>
  <c r="AM20" i="1"/>
  <c r="AM28" i="1"/>
  <c r="AM36" i="1"/>
  <c r="AM44" i="1"/>
  <c r="AM52" i="1"/>
  <c r="AA82" i="16"/>
  <c r="AB81" i="16"/>
  <c r="AC88" i="16"/>
  <c r="AB94" i="16"/>
  <c r="AC87" i="16"/>
  <c r="Z86" i="16"/>
  <c r="AB85" i="16"/>
  <c r="AC86" i="16"/>
  <c r="Z90" i="16"/>
  <c r="AA90" i="16"/>
  <c r="AB89" i="16"/>
  <c r="AC93" i="16"/>
  <c r="AA86" i="16"/>
  <c r="AB98" i="16"/>
  <c r="AC85" i="16"/>
  <c r="Z96" i="16"/>
  <c r="AA94" i="16"/>
  <c r="AA93" i="16"/>
  <c r="AC97" i="16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" i="4"/>
  <c r="AL9" i="4"/>
  <c r="AL13" i="4"/>
  <c r="AL17" i="4"/>
  <c r="AL21" i="4"/>
  <c r="AL25" i="4"/>
  <c r="AL29" i="4"/>
  <c r="AL33" i="4"/>
  <c r="AL37" i="4"/>
  <c r="AL41" i="4"/>
  <c r="AL45" i="4"/>
  <c r="AL49" i="4"/>
  <c r="AL5" i="3"/>
  <c r="AL9" i="3"/>
  <c r="AL13" i="3"/>
  <c r="AL17" i="3"/>
  <c r="AL21" i="3"/>
  <c r="AL25" i="3"/>
  <c r="AL29" i="3"/>
  <c r="AL33" i="3"/>
  <c r="AL37" i="3"/>
  <c r="AL41" i="3"/>
  <c r="AL45" i="3"/>
  <c r="AL49" i="3"/>
  <c r="AL6" i="4"/>
  <c r="AL10" i="4"/>
  <c r="AL14" i="4"/>
  <c r="AL18" i="4"/>
  <c r="AL22" i="4"/>
  <c r="AL26" i="4"/>
  <c r="AL30" i="4"/>
  <c r="AL34" i="4"/>
  <c r="AL38" i="4"/>
  <c r="AL42" i="4"/>
  <c r="AL46" i="4"/>
  <c r="AL50" i="4"/>
  <c r="AL6" i="3"/>
  <c r="AL10" i="3"/>
  <c r="AL14" i="3"/>
  <c r="AL18" i="3"/>
  <c r="AL22" i="3"/>
  <c r="AL26" i="3"/>
  <c r="AL30" i="3"/>
  <c r="AL34" i="3"/>
  <c r="AL38" i="3"/>
  <c r="AL42" i="3"/>
  <c r="AL46" i="3"/>
  <c r="AL50" i="3"/>
  <c r="AL11" i="4"/>
  <c r="AL27" i="4"/>
  <c r="AL43" i="4"/>
  <c r="AL7" i="3"/>
  <c r="AL23" i="3"/>
  <c r="AL39" i="3"/>
  <c r="AL6" i="2"/>
  <c r="AL10" i="2"/>
  <c r="AL14" i="2"/>
  <c r="AL18" i="2"/>
  <c r="AL22" i="2"/>
  <c r="AL26" i="2"/>
  <c r="AL30" i="2"/>
  <c r="AL34" i="2"/>
  <c r="AL38" i="2"/>
  <c r="AL42" i="2"/>
  <c r="AL46" i="2"/>
  <c r="AL50" i="2"/>
  <c r="AL4" i="2"/>
  <c r="AL12" i="2"/>
  <c r="AL20" i="2"/>
  <c r="AL28" i="2"/>
  <c r="AL36" i="2"/>
  <c r="AL44" i="2"/>
  <c r="AL52" i="2"/>
  <c r="AL23" i="4"/>
  <c r="AL39" i="4"/>
  <c r="AL3" i="3"/>
  <c r="AL35" i="3"/>
  <c r="AL5" i="2"/>
  <c r="AL17" i="2"/>
  <c r="AL21" i="2"/>
  <c r="AL15" i="4"/>
  <c r="AL31" i="4"/>
  <c r="AL47" i="4"/>
  <c r="AL11" i="3"/>
  <c r="AL27" i="3"/>
  <c r="AL43" i="3"/>
  <c r="AL3" i="2"/>
  <c r="AL7" i="2"/>
  <c r="AL11" i="2"/>
  <c r="AL15" i="2"/>
  <c r="AL19" i="2"/>
  <c r="AL23" i="2"/>
  <c r="AL27" i="2"/>
  <c r="AL31" i="2"/>
  <c r="AL35" i="2"/>
  <c r="AL39" i="2"/>
  <c r="AL43" i="2"/>
  <c r="AL47" i="2"/>
  <c r="AL51" i="2"/>
  <c r="AL8" i="2"/>
  <c r="AL16" i="2"/>
  <c r="AL24" i="2"/>
  <c r="AL32" i="2"/>
  <c r="AL40" i="2"/>
  <c r="AL48" i="2"/>
  <c r="AL7" i="4"/>
  <c r="AL19" i="3"/>
  <c r="AL51" i="3"/>
  <c r="AL9" i="2"/>
  <c r="AL13" i="2"/>
  <c r="AL3" i="4"/>
  <c r="AL19" i="4"/>
  <c r="AL35" i="4"/>
  <c r="AL51" i="4"/>
  <c r="AL15" i="3"/>
  <c r="AL31" i="3"/>
  <c r="AL47" i="3"/>
  <c r="AL37" i="2"/>
  <c r="AL45" i="2"/>
  <c r="AL49" i="2"/>
  <c r="AL25" i="2"/>
  <c r="AL41" i="2"/>
  <c r="AL29" i="2"/>
  <c r="AL33" i="2"/>
  <c r="AL3" i="1"/>
  <c r="AL7" i="1"/>
  <c r="AL11" i="1"/>
  <c r="AL15" i="1"/>
  <c r="AL19" i="1"/>
  <c r="AL23" i="1"/>
  <c r="AL27" i="1"/>
  <c r="AL31" i="1"/>
  <c r="AL35" i="1"/>
  <c r="AL39" i="1"/>
  <c r="AL43" i="1"/>
  <c r="AL47" i="1"/>
  <c r="AL51" i="1"/>
  <c r="AL30" i="1"/>
  <c r="AL4" i="1"/>
  <c r="AL8" i="1"/>
  <c r="AL12" i="1"/>
  <c r="AL16" i="1"/>
  <c r="AL20" i="1"/>
  <c r="AL24" i="1"/>
  <c r="AL28" i="1"/>
  <c r="AL32" i="1"/>
  <c r="AL36" i="1"/>
  <c r="AL40" i="1"/>
  <c r="AL44" i="1"/>
  <c r="AL48" i="1"/>
  <c r="AL52" i="1"/>
  <c r="AL6" i="1"/>
  <c r="AL14" i="1"/>
  <c r="AL22" i="1"/>
  <c r="AL34" i="1"/>
  <c r="AL42" i="1"/>
  <c r="AL50" i="1"/>
  <c r="AL5" i="1"/>
  <c r="AL9" i="1"/>
  <c r="AL13" i="1"/>
  <c r="AL17" i="1"/>
  <c r="AL21" i="1"/>
  <c r="AL25" i="1"/>
  <c r="AL29" i="1"/>
  <c r="AL33" i="1"/>
  <c r="AL37" i="1"/>
  <c r="AL41" i="1"/>
  <c r="AL45" i="1"/>
  <c r="AL49" i="1"/>
  <c r="AL10" i="1"/>
  <c r="AL18" i="1"/>
  <c r="AL26" i="1"/>
  <c r="AL38" i="1"/>
  <c r="AL46" i="1"/>
  <c r="AC84" i="16"/>
  <c r="AC91" i="16"/>
  <c r="AC90" i="16"/>
  <c r="AC89" i="16"/>
  <c r="Z83" i="16"/>
  <c r="Z87" i="16"/>
  <c r="Z91" i="16"/>
  <c r="Z98" i="16"/>
  <c r="AA83" i="16"/>
  <c r="AA87" i="16"/>
  <c r="AA91" i="16"/>
  <c r="AA96" i="16"/>
  <c r="AB82" i="16"/>
  <c r="AB86" i="16"/>
  <c r="AB90" i="16"/>
  <c r="Z95" i="16"/>
  <c r="AB95" i="16"/>
  <c r="AB99" i="16"/>
  <c r="AC94" i="16"/>
  <c r="AC98" i="16"/>
  <c r="AA97" i="16"/>
  <c r="AA95" i="16"/>
  <c r="AB93" i="16"/>
  <c r="AA99" i="16"/>
  <c r="Z84" i="16"/>
  <c r="Z88" i="16"/>
  <c r="Z92" i="16"/>
  <c r="Z100" i="16"/>
  <c r="AA84" i="16"/>
  <c r="AA88" i="16"/>
  <c r="AA92" i="16"/>
  <c r="AA98" i="16"/>
  <c r="AB83" i="16"/>
  <c r="AB87" i="16"/>
  <c r="AB91" i="16"/>
  <c r="Z97" i="16"/>
  <c r="AB96" i="16"/>
  <c r="AB100" i="16"/>
  <c r="AC95" i="16"/>
  <c r="AC99" i="16"/>
  <c r="AC83" i="16"/>
  <c r="AC82" i="16"/>
  <c r="AC81" i="16"/>
  <c r="Z81" i="16"/>
  <c r="Z85" i="16"/>
  <c r="Z89" i="16"/>
  <c r="Z94" i="16"/>
  <c r="AA81" i="16"/>
  <c r="AA85" i="16"/>
  <c r="AA89" i="16"/>
  <c r="Z93" i="16"/>
  <c r="AA100" i="16"/>
  <c r="AB84" i="16"/>
  <c r="AB88" i="16"/>
  <c r="AB92" i="16"/>
  <c r="Z99" i="16"/>
  <c r="AB97" i="16"/>
  <c r="AC92" i="16"/>
  <c r="AC96" i="16"/>
  <c r="AZ6" i="4"/>
  <c r="AZ10" i="4"/>
  <c r="AZ14" i="4"/>
  <c r="AZ18" i="4"/>
  <c r="AZ22" i="4"/>
  <c r="AZ26" i="4"/>
  <c r="AZ30" i="4"/>
  <c r="AZ34" i="4"/>
  <c r="AZ38" i="4"/>
  <c r="AZ42" i="4"/>
  <c r="AZ46" i="4"/>
  <c r="AZ50" i="4"/>
  <c r="AZ4" i="3"/>
  <c r="AZ8" i="3"/>
  <c r="AZ12" i="3"/>
  <c r="AZ16" i="3"/>
  <c r="AZ20" i="3"/>
  <c r="AZ24" i="3"/>
  <c r="AZ28" i="3"/>
  <c r="AZ32" i="3"/>
  <c r="AZ36" i="3"/>
  <c r="AZ40" i="3"/>
  <c r="AZ44" i="3"/>
  <c r="AZ48" i="3"/>
  <c r="AZ52" i="3"/>
  <c r="AZ6" i="2"/>
  <c r="AZ10" i="2"/>
  <c r="AZ14" i="2"/>
  <c r="AZ18" i="2"/>
  <c r="AZ22" i="2"/>
  <c r="AZ26" i="2"/>
  <c r="AZ30" i="2"/>
  <c r="AZ34" i="2"/>
  <c r="AZ38" i="2"/>
  <c r="AZ42" i="2"/>
  <c r="AZ3" i="4"/>
  <c r="AZ7" i="4"/>
  <c r="AZ11" i="4"/>
  <c r="AZ15" i="4"/>
  <c r="AZ19" i="4"/>
  <c r="AZ23" i="4"/>
  <c r="AZ27" i="4"/>
  <c r="AZ31" i="4"/>
  <c r="AZ35" i="4"/>
  <c r="AZ39" i="4"/>
  <c r="AZ43" i="4"/>
  <c r="AZ47" i="4"/>
  <c r="AZ51" i="4"/>
  <c r="AZ5" i="3"/>
  <c r="AZ9" i="3"/>
  <c r="AZ13" i="3"/>
  <c r="AZ17" i="3"/>
  <c r="AZ21" i="3"/>
  <c r="AZ25" i="3"/>
  <c r="AZ29" i="3"/>
  <c r="AZ33" i="3"/>
  <c r="AZ37" i="3"/>
  <c r="AZ41" i="3"/>
  <c r="AZ45" i="3"/>
  <c r="AZ49" i="3"/>
  <c r="AZ3" i="2"/>
  <c r="AZ7" i="2"/>
  <c r="AZ11" i="2"/>
  <c r="AZ15" i="2"/>
  <c r="AZ19" i="2"/>
  <c r="AZ23" i="2"/>
  <c r="AZ27" i="2"/>
  <c r="AZ31" i="2"/>
  <c r="AZ35" i="2"/>
  <c r="AZ39" i="2"/>
  <c r="AZ4" i="4"/>
  <c r="AZ8" i="4"/>
  <c r="AZ12" i="4"/>
  <c r="AZ16" i="4"/>
  <c r="AZ20" i="4"/>
  <c r="AZ24" i="4"/>
  <c r="AZ28" i="4"/>
  <c r="AZ32" i="4"/>
  <c r="AZ36" i="4"/>
  <c r="AZ40" i="4"/>
  <c r="AZ44" i="4"/>
  <c r="AZ48" i="4"/>
  <c r="AZ52" i="4"/>
  <c r="AZ17" i="4"/>
  <c r="AZ33" i="4"/>
  <c r="AZ49" i="4"/>
  <c r="AZ7" i="3"/>
  <c r="AZ15" i="3"/>
  <c r="AZ23" i="3"/>
  <c r="AZ31" i="3"/>
  <c r="AZ39" i="3"/>
  <c r="AZ47" i="3"/>
  <c r="AZ9" i="2"/>
  <c r="AZ17" i="2"/>
  <c r="AZ25" i="2"/>
  <c r="AZ33" i="2"/>
  <c r="AZ41" i="2"/>
  <c r="AZ46" i="2"/>
  <c r="AZ50" i="2"/>
  <c r="AZ12" i="2"/>
  <c r="AZ20" i="2"/>
  <c r="AZ36" i="2"/>
  <c r="AZ47" i="2"/>
  <c r="AZ5" i="4"/>
  <c r="AZ21" i="4"/>
  <c r="AZ37" i="4"/>
  <c r="AZ10" i="3"/>
  <c r="AZ18" i="3"/>
  <c r="AZ26" i="3"/>
  <c r="AZ34" i="3"/>
  <c r="AZ42" i="3"/>
  <c r="AZ50" i="3"/>
  <c r="AZ4" i="2"/>
  <c r="AZ28" i="2"/>
  <c r="AZ43" i="2"/>
  <c r="AZ51" i="2"/>
  <c r="AZ9" i="4"/>
  <c r="AZ25" i="4"/>
  <c r="AZ41" i="4"/>
  <c r="AZ3" i="3"/>
  <c r="AZ11" i="3"/>
  <c r="AZ19" i="3"/>
  <c r="AZ27" i="3"/>
  <c r="AZ35" i="3"/>
  <c r="AZ43" i="3"/>
  <c r="AZ51" i="3"/>
  <c r="AZ5" i="2"/>
  <c r="AZ13" i="2"/>
  <c r="AZ21" i="2"/>
  <c r="AZ29" i="2"/>
  <c r="AZ37" i="2"/>
  <c r="AZ44" i="2"/>
  <c r="AZ48" i="2"/>
  <c r="AZ52" i="2"/>
  <c r="AZ22" i="3"/>
  <c r="AZ32" i="2"/>
  <c r="AZ29" i="4"/>
  <c r="AZ6" i="3"/>
  <c r="AZ16" i="2"/>
  <c r="AZ14" i="3"/>
  <c r="AZ49" i="2"/>
  <c r="AZ13" i="4"/>
  <c r="AZ30" i="3"/>
  <c r="AZ8" i="2"/>
  <c r="AZ40" i="2"/>
  <c r="AZ38" i="3"/>
  <c r="AZ45" i="2"/>
  <c r="AZ45" i="4"/>
  <c r="AZ46" i="3"/>
  <c r="AZ24" i="2"/>
  <c r="AZ3" i="1"/>
  <c r="AZ7" i="1"/>
  <c r="AZ11" i="1"/>
  <c r="AZ15" i="1"/>
  <c r="AZ19" i="1"/>
  <c r="AZ23" i="1"/>
  <c r="AZ27" i="1"/>
  <c r="AZ31" i="1"/>
  <c r="AZ35" i="1"/>
  <c r="AZ39" i="1"/>
  <c r="AZ43" i="1"/>
  <c r="AZ47" i="1"/>
  <c r="AZ51" i="1"/>
  <c r="AZ4" i="1"/>
  <c r="AZ8" i="1"/>
  <c r="AZ12" i="1"/>
  <c r="AZ16" i="1"/>
  <c r="AZ20" i="1"/>
  <c r="AZ24" i="1"/>
  <c r="AZ28" i="1"/>
  <c r="AZ32" i="1"/>
  <c r="AZ36" i="1"/>
  <c r="AZ40" i="1"/>
  <c r="AZ44" i="1"/>
  <c r="AZ48" i="1"/>
  <c r="AZ52" i="1"/>
  <c r="AZ5" i="1"/>
  <c r="AZ9" i="1"/>
  <c r="AZ13" i="1"/>
  <c r="AZ17" i="1"/>
  <c r="AZ21" i="1"/>
  <c r="AZ25" i="1"/>
  <c r="AZ29" i="1"/>
  <c r="AZ33" i="1"/>
  <c r="AZ37" i="1"/>
  <c r="AZ41" i="1"/>
  <c r="AZ45" i="1"/>
  <c r="AZ49" i="1"/>
  <c r="AZ6" i="1"/>
  <c r="AZ22" i="1"/>
  <c r="AZ38" i="1"/>
  <c r="AZ34" i="1"/>
  <c r="AZ50" i="1"/>
  <c r="AZ10" i="1"/>
  <c r="AZ26" i="1"/>
  <c r="AZ42" i="1"/>
  <c r="AZ18" i="1"/>
  <c r="AZ14" i="1"/>
  <c r="AZ30" i="1"/>
  <c r="AZ46" i="1"/>
  <c r="AK4" i="4"/>
  <c r="AK8" i="4"/>
  <c r="AK12" i="4"/>
  <c r="AK16" i="4"/>
  <c r="AK20" i="4"/>
  <c r="AK24" i="4"/>
  <c r="AK28" i="4"/>
  <c r="AK32" i="4"/>
  <c r="AK36" i="4"/>
  <c r="AK40" i="4"/>
  <c r="AK44" i="4"/>
  <c r="AK48" i="4"/>
  <c r="AK52" i="4"/>
  <c r="AK6" i="3"/>
  <c r="AK10" i="3"/>
  <c r="AK14" i="3"/>
  <c r="AK18" i="3"/>
  <c r="AK22" i="3"/>
  <c r="AK26" i="3"/>
  <c r="AK30" i="3"/>
  <c r="AK34" i="3"/>
  <c r="AK38" i="3"/>
  <c r="AK42" i="3"/>
  <c r="AK46" i="3"/>
  <c r="AK50" i="3"/>
  <c r="AK5" i="4"/>
  <c r="AK9" i="4"/>
  <c r="AK13" i="4"/>
  <c r="AK17" i="4"/>
  <c r="AK21" i="4"/>
  <c r="AK25" i="4"/>
  <c r="AK29" i="4"/>
  <c r="AK33" i="4"/>
  <c r="AK37" i="4"/>
  <c r="AK41" i="4"/>
  <c r="AK45" i="4"/>
  <c r="AK49" i="4"/>
  <c r="AK3" i="3"/>
  <c r="AK7" i="3"/>
  <c r="AK11" i="3"/>
  <c r="AK15" i="3"/>
  <c r="AK19" i="3"/>
  <c r="AK23" i="3"/>
  <c r="AK27" i="3"/>
  <c r="AK31" i="3"/>
  <c r="AK35" i="3"/>
  <c r="AK39" i="3"/>
  <c r="AK43" i="3"/>
  <c r="AK47" i="3"/>
  <c r="AK51" i="3"/>
  <c r="AK6" i="4"/>
  <c r="AK10" i="4"/>
  <c r="AK14" i="4"/>
  <c r="AK18" i="4"/>
  <c r="AK22" i="4"/>
  <c r="AK26" i="4"/>
  <c r="AK30" i="4"/>
  <c r="AK34" i="4"/>
  <c r="AK38" i="4"/>
  <c r="AK42" i="4"/>
  <c r="AK46" i="4"/>
  <c r="AK50" i="4"/>
  <c r="AK15" i="4"/>
  <c r="AK31" i="4"/>
  <c r="AK47" i="4"/>
  <c r="AK5" i="3"/>
  <c r="AK13" i="3"/>
  <c r="AK21" i="3"/>
  <c r="AK29" i="3"/>
  <c r="AK37" i="3"/>
  <c r="AK45" i="3"/>
  <c r="AK4" i="2"/>
  <c r="AK8" i="2"/>
  <c r="AK12" i="2"/>
  <c r="AK16" i="2"/>
  <c r="AK20" i="2"/>
  <c r="AK24" i="2"/>
  <c r="AK28" i="2"/>
  <c r="AK32" i="2"/>
  <c r="AK36" i="2"/>
  <c r="AK40" i="2"/>
  <c r="AK44" i="2"/>
  <c r="AK48" i="2"/>
  <c r="AK52" i="2"/>
  <c r="AK5" i="2"/>
  <c r="AK17" i="2"/>
  <c r="AK25" i="2"/>
  <c r="AK33" i="2"/>
  <c r="AK41" i="2"/>
  <c r="AK26" i="2"/>
  <c r="AK38" i="2"/>
  <c r="AK46" i="2"/>
  <c r="AK3" i="4"/>
  <c r="AK19" i="4"/>
  <c r="AK35" i="4"/>
  <c r="AK51" i="4"/>
  <c r="AK8" i="3"/>
  <c r="AK16" i="3"/>
  <c r="AK24" i="3"/>
  <c r="AK32" i="3"/>
  <c r="AK40" i="3"/>
  <c r="AK48" i="3"/>
  <c r="AK9" i="2"/>
  <c r="AK13" i="2"/>
  <c r="AK21" i="2"/>
  <c r="AK29" i="2"/>
  <c r="AK37" i="2"/>
  <c r="AK45" i="2"/>
  <c r="AK49" i="2"/>
  <c r="AK30" i="2"/>
  <c r="AK34" i="2"/>
  <c r="AK42" i="2"/>
  <c r="AK50" i="2"/>
  <c r="AK7" i="4"/>
  <c r="AK23" i="4"/>
  <c r="AK39" i="4"/>
  <c r="AK9" i="3"/>
  <c r="AK17" i="3"/>
  <c r="AK25" i="3"/>
  <c r="AK33" i="3"/>
  <c r="AK41" i="3"/>
  <c r="AK49" i="3"/>
  <c r="AK6" i="2"/>
  <c r="AK10" i="2"/>
  <c r="AK14" i="2"/>
  <c r="AK18" i="2"/>
  <c r="AK22" i="2"/>
  <c r="AK11" i="4"/>
  <c r="AK4" i="3"/>
  <c r="AK36" i="3"/>
  <c r="AK3" i="2"/>
  <c r="AK19" i="2"/>
  <c r="AK35" i="2"/>
  <c r="AK51" i="2"/>
  <c r="AK52" i="3"/>
  <c r="AK27" i="2"/>
  <c r="AK28" i="3"/>
  <c r="AK15" i="2"/>
  <c r="AK47" i="2"/>
  <c r="AK27" i="4"/>
  <c r="AK12" i="3"/>
  <c r="AK44" i="3"/>
  <c r="AK7" i="2"/>
  <c r="AK23" i="2"/>
  <c r="AK39" i="2"/>
  <c r="AK43" i="4"/>
  <c r="AK20" i="3"/>
  <c r="AK11" i="2"/>
  <c r="AK43" i="2"/>
  <c r="AK31" i="2"/>
  <c r="AK5" i="1"/>
  <c r="AK9" i="1"/>
  <c r="AK13" i="1"/>
  <c r="AK17" i="1"/>
  <c r="AK21" i="1"/>
  <c r="AK25" i="1"/>
  <c r="AK29" i="1"/>
  <c r="AK33" i="1"/>
  <c r="AK37" i="1"/>
  <c r="AK41" i="1"/>
  <c r="AK45" i="1"/>
  <c r="AK49" i="1"/>
  <c r="AK6" i="1"/>
  <c r="AK10" i="1"/>
  <c r="AK14" i="1"/>
  <c r="AK18" i="1"/>
  <c r="AK22" i="1"/>
  <c r="AK26" i="1"/>
  <c r="AK30" i="1"/>
  <c r="AK34" i="1"/>
  <c r="AK38" i="1"/>
  <c r="AK42" i="1"/>
  <c r="AK46" i="1"/>
  <c r="AK50" i="1"/>
  <c r="AK3" i="1"/>
  <c r="AK7" i="1"/>
  <c r="AK11" i="1"/>
  <c r="AK15" i="1"/>
  <c r="AK19" i="1"/>
  <c r="AK23" i="1"/>
  <c r="AK27" i="1"/>
  <c r="AK31" i="1"/>
  <c r="AK35" i="1"/>
  <c r="AK39" i="1"/>
  <c r="AK43" i="1"/>
  <c r="AK47" i="1"/>
  <c r="AK51" i="1"/>
  <c r="AK4" i="1"/>
  <c r="AK20" i="1"/>
  <c r="AK36" i="1"/>
  <c r="AK52" i="1"/>
  <c r="AK48" i="1"/>
  <c r="AK8" i="1"/>
  <c r="AK24" i="1"/>
  <c r="AK40" i="1"/>
  <c r="AK16" i="1"/>
  <c r="AK32" i="1"/>
  <c r="AK12" i="1"/>
  <c r="AK28" i="1"/>
  <c r="AK44" i="1"/>
  <c r="AC105" i="15"/>
  <c r="AC109" i="15"/>
  <c r="AC113" i="15"/>
  <c r="AC117" i="15"/>
  <c r="AC121" i="15"/>
  <c r="AB105" i="15"/>
  <c r="AB109" i="15"/>
  <c r="AB113" i="15"/>
  <c r="AB117" i="15"/>
  <c r="AB121" i="15"/>
  <c r="AA105" i="15"/>
  <c r="AA109" i="15"/>
  <c r="AA113" i="15"/>
  <c r="AA117" i="15"/>
  <c r="AA121" i="15"/>
  <c r="Z105" i="15"/>
  <c r="Z109" i="15"/>
  <c r="Z113" i="15"/>
  <c r="Z117" i="15"/>
  <c r="Z121" i="15"/>
  <c r="AC106" i="15"/>
  <c r="AC110" i="15"/>
  <c r="AC114" i="15"/>
  <c r="AC118" i="15"/>
  <c r="AC122" i="15"/>
  <c r="AB106" i="15"/>
  <c r="AB110" i="15"/>
  <c r="AB114" i="15"/>
  <c r="AB118" i="15"/>
  <c r="AB122" i="15"/>
  <c r="AA106" i="15"/>
  <c r="AA110" i="15"/>
  <c r="AA114" i="15"/>
  <c r="AA118" i="15"/>
  <c r="AA122" i="15"/>
  <c r="Z106" i="15"/>
  <c r="Z110" i="15"/>
  <c r="Z114" i="15"/>
  <c r="Z118" i="15"/>
  <c r="Z122" i="15"/>
  <c r="AC107" i="15"/>
  <c r="AC111" i="15"/>
  <c r="AC115" i="15"/>
  <c r="AC119" i="15"/>
  <c r="AC123" i="15"/>
  <c r="AB107" i="15"/>
  <c r="AB111" i="15"/>
  <c r="AB115" i="15"/>
  <c r="AB119" i="15"/>
  <c r="AB123" i="15"/>
  <c r="AA107" i="15"/>
  <c r="AA111" i="15"/>
  <c r="AA115" i="15"/>
  <c r="AA119" i="15"/>
  <c r="AA123" i="15"/>
  <c r="Z107" i="15"/>
  <c r="Z111" i="15"/>
  <c r="Z115" i="15"/>
  <c r="Z119" i="15"/>
  <c r="Z123" i="15"/>
  <c r="AC112" i="15"/>
  <c r="AB108" i="15"/>
  <c r="AA104" i="15"/>
  <c r="AA120" i="15"/>
  <c r="Z116" i="15"/>
  <c r="AC116" i="15"/>
  <c r="AB112" i="15"/>
  <c r="AA108" i="15"/>
  <c r="Z104" i="15"/>
  <c r="Z120" i="15"/>
  <c r="AC108" i="15"/>
  <c r="AB104" i="15"/>
  <c r="AA116" i="15"/>
  <c r="Z112" i="15"/>
  <c r="AC104" i="15"/>
  <c r="AC120" i="15"/>
  <c r="AB116" i="15"/>
  <c r="AA112" i="15"/>
  <c r="Z108" i="15"/>
  <c r="AB120" i="15"/>
  <c r="R105" i="15"/>
  <c r="R109" i="15"/>
  <c r="R113" i="15"/>
  <c r="R117" i="15"/>
  <c r="R121" i="15"/>
  <c r="Q105" i="15"/>
  <c r="Q109" i="15"/>
  <c r="Q113" i="15"/>
  <c r="Q117" i="15"/>
  <c r="Q121" i="15"/>
  <c r="P105" i="15"/>
  <c r="P109" i="15"/>
  <c r="P113" i="15"/>
  <c r="P117" i="15"/>
  <c r="P121" i="15"/>
  <c r="O105" i="15"/>
  <c r="R106" i="15"/>
  <c r="R110" i="15"/>
  <c r="R114" i="15"/>
  <c r="R118" i="15"/>
  <c r="R122" i="15"/>
  <c r="Q106" i="15"/>
  <c r="Q110" i="15"/>
  <c r="Q114" i="15"/>
  <c r="Q118" i="15"/>
  <c r="Q122" i="15"/>
  <c r="P106" i="15"/>
  <c r="P110" i="15"/>
  <c r="P114" i="15"/>
  <c r="P118" i="15"/>
  <c r="P122" i="15"/>
  <c r="O106" i="15"/>
  <c r="O110" i="15"/>
  <c r="O114" i="15"/>
  <c r="O118" i="15"/>
  <c r="O122" i="15"/>
  <c r="R107" i="15"/>
  <c r="R111" i="15"/>
  <c r="R115" i="15"/>
  <c r="R119" i="15"/>
  <c r="R123" i="15"/>
  <c r="Q107" i="15"/>
  <c r="Q111" i="15"/>
  <c r="Q115" i="15"/>
  <c r="Q119" i="15"/>
  <c r="Q123" i="15"/>
  <c r="P107" i="15"/>
  <c r="P111" i="15"/>
  <c r="P115" i="15"/>
  <c r="P119" i="15"/>
  <c r="P123" i="15"/>
  <c r="O107" i="15"/>
  <c r="O111" i="15"/>
  <c r="O115" i="15"/>
  <c r="O119" i="15"/>
  <c r="O123" i="15"/>
  <c r="R112" i="15"/>
  <c r="Q108" i="15"/>
  <c r="P104" i="15"/>
  <c r="P120" i="15"/>
  <c r="O112" i="15"/>
  <c r="O120" i="15"/>
  <c r="R116" i="15"/>
  <c r="Q112" i="15"/>
  <c r="P108" i="15"/>
  <c r="O104" i="15"/>
  <c r="O113" i="15"/>
  <c r="O121" i="15"/>
  <c r="R108" i="15"/>
  <c r="Q120" i="15"/>
  <c r="O109" i="15"/>
  <c r="R104" i="15"/>
  <c r="R120" i="15"/>
  <c r="Q116" i="15"/>
  <c r="P112" i="15"/>
  <c r="O108" i="15"/>
  <c r="O116" i="15"/>
  <c r="Q104" i="15"/>
  <c r="P116" i="15"/>
  <c r="O117" i="15"/>
  <c r="AC10" i="14"/>
  <c r="AC14" i="14"/>
  <c r="AB8" i="14"/>
  <c r="AB12" i="14"/>
  <c r="AB16" i="14"/>
  <c r="AA10" i="14"/>
  <c r="AA14" i="14"/>
  <c r="AC16" i="14"/>
  <c r="AC9" i="14"/>
  <c r="AC17" i="14"/>
  <c r="AB15" i="14"/>
  <c r="AA17" i="14"/>
  <c r="AC11" i="14"/>
  <c r="AC15" i="14"/>
  <c r="AB9" i="14"/>
  <c r="AB13" i="14"/>
  <c r="AB17" i="14"/>
  <c r="AA11" i="14"/>
  <c r="AA15" i="14"/>
  <c r="AB10" i="14"/>
  <c r="AC13" i="14"/>
  <c r="AB11" i="14"/>
  <c r="AA9" i="14"/>
  <c r="AC8" i="14"/>
  <c r="AC12" i="14"/>
  <c r="AB14" i="14"/>
  <c r="AA8" i="14"/>
  <c r="AA12" i="14"/>
  <c r="AA16" i="14"/>
  <c r="AA13" i="14"/>
  <c r="AY4" i="4"/>
  <c r="AY8" i="4"/>
  <c r="AY12" i="4"/>
  <c r="AY16" i="4"/>
  <c r="AY20" i="4"/>
  <c r="AY24" i="4"/>
  <c r="AY28" i="4"/>
  <c r="AY32" i="4"/>
  <c r="AY36" i="4"/>
  <c r="AY40" i="4"/>
  <c r="AY44" i="4"/>
  <c r="AY48" i="4"/>
  <c r="AY52" i="4"/>
  <c r="AY4" i="3"/>
  <c r="AY8" i="3"/>
  <c r="AY12" i="3"/>
  <c r="AY16" i="3"/>
  <c r="AY20" i="3"/>
  <c r="AY24" i="3"/>
  <c r="AY28" i="3"/>
  <c r="AY32" i="3"/>
  <c r="AY36" i="3"/>
  <c r="AY40" i="3"/>
  <c r="AY44" i="3"/>
  <c r="AY48" i="3"/>
  <c r="AY52" i="3"/>
  <c r="AY4" i="2"/>
  <c r="AY8" i="2"/>
  <c r="AY12" i="2"/>
  <c r="AY16" i="2"/>
  <c r="AY20" i="2"/>
  <c r="AY24" i="2"/>
  <c r="AY28" i="2"/>
  <c r="AY5" i="4"/>
  <c r="AY10" i="4"/>
  <c r="AY15" i="4"/>
  <c r="AY21" i="4"/>
  <c r="AY26" i="4"/>
  <c r="AY31" i="4"/>
  <c r="AY37" i="4"/>
  <c r="AY42" i="4"/>
  <c r="AY47" i="4"/>
  <c r="AY3" i="3"/>
  <c r="AY9" i="3"/>
  <c r="AY14" i="3"/>
  <c r="AY19" i="3"/>
  <c r="AY25" i="3"/>
  <c r="AY30" i="3"/>
  <c r="AY35" i="3"/>
  <c r="AY41" i="3"/>
  <c r="AY46" i="3"/>
  <c r="AY51" i="3"/>
  <c r="AY7" i="2"/>
  <c r="AY13" i="2"/>
  <c r="AY18" i="2"/>
  <c r="AY23" i="2"/>
  <c r="AY29" i="2"/>
  <c r="AY33" i="2"/>
  <c r="AY37" i="2"/>
  <c r="AY41" i="2"/>
  <c r="AY45" i="2"/>
  <c r="AY49" i="2"/>
  <c r="AY6" i="4"/>
  <c r="AY11" i="4"/>
  <c r="AY17" i="4"/>
  <c r="AY22" i="4"/>
  <c r="AY27" i="4"/>
  <c r="AY33" i="4"/>
  <c r="AY38" i="4"/>
  <c r="AY43" i="4"/>
  <c r="AY49" i="4"/>
  <c r="AY5" i="3"/>
  <c r="AY10" i="3"/>
  <c r="AY15" i="3"/>
  <c r="AY21" i="3"/>
  <c r="AY26" i="3"/>
  <c r="AY31" i="3"/>
  <c r="AY37" i="3"/>
  <c r="AY42" i="3"/>
  <c r="AY47" i="3"/>
  <c r="AY3" i="2"/>
  <c r="AY9" i="2"/>
  <c r="AY14" i="2"/>
  <c r="AY19" i="2"/>
  <c r="AY25" i="2"/>
  <c r="AY30" i="2"/>
  <c r="AY34" i="2"/>
  <c r="AY38" i="2"/>
  <c r="AY42" i="2"/>
  <c r="AY46" i="2"/>
  <c r="AY50" i="2"/>
  <c r="AY7" i="4"/>
  <c r="AY18" i="4"/>
  <c r="AY29" i="4"/>
  <c r="AY39" i="4"/>
  <c r="AY50" i="4"/>
  <c r="AY13" i="3"/>
  <c r="AY23" i="3"/>
  <c r="AY34" i="3"/>
  <c r="AY45" i="3"/>
  <c r="AY6" i="2"/>
  <c r="AY17" i="2"/>
  <c r="AY27" i="2"/>
  <c r="AY36" i="2"/>
  <c r="AY44" i="2"/>
  <c r="AY52" i="2"/>
  <c r="AY5" i="2"/>
  <c r="AY26" i="2"/>
  <c r="AY35" i="2"/>
  <c r="AY51" i="2"/>
  <c r="AY9" i="4"/>
  <c r="AY19" i="4"/>
  <c r="AY30" i="4"/>
  <c r="AY41" i="4"/>
  <c r="AY51" i="4"/>
  <c r="AY6" i="3"/>
  <c r="AY17" i="3"/>
  <c r="AY27" i="3"/>
  <c r="AY38" i="3"/>
  <c r="AY49" i="3"/>
  <c r="AY10" i="2"/>
  <c r="AY21" i="2"/>
  <c r="AY31" i="2"/>
  <c r="AY39" i="2"/>
  <c r="AY47" i="2"/>
  <c r="AY13" i="4"/>
  <c r="AY23" i="4"/>
  <c r="AY34" i="4"/>
  <c r="AY45" i="4"/>
  <c r="AY7" i="3"/>
  <c r="AY18" i="3"/>
  <c r="AY29" i="3"/>
  <c r="AY39" i="3"/>
  <c r="AY50" i="3"/>
  <c r="AY11" i="2"/>
  <c r="AY22" i="2"/>
  <c r="AY32" i="2"/>
  <c r="AY40" i="2"/>
  <c r="AY48" i="2"/>
  <c r="AY3" i="4"/>
  <c r="AY14" i="4"/>
  <c r="AY25" i="4"/>
  <c r="AY35" i="4"/>
  <c r="AY46" i="4"/>
  <c r="AY11" i="3"/>
  <c r="AY22" i="3"/>
  <c r="AY33" i="3"/>
  <c r="AY43" i="3"/>
  <c r="AY15" i="2"/>
  <c r="AY43" i="2"/>
  <c r="AY3" i="1"/>
  <c r="AY7" i="1"/>
  <c r="AY11" i="1"/>
  <c r="AY15" i="1"/>
  <c r="AY19" i="1"/>
  <c r="AY23" i="1"/>
  <c r="AY27" i="1"/>
  <c r="AY31" i="1"/>
  <c r="AY35" i="1"/>
  <c r="AY39" i="1"/>
  <c r="AY43" i="1"/>
  <c r="AY47" i="1"/>
  <c r="AY51" i="1"/>
  <c r="AY9" i="1"/>
  <c r="AY21" i="1"/>
  <c r="AY33" i="1"/>
  <c r="AY37" i="1"/>
  <c r="AY45" i="1"/>
  <c r="AY6" i="1"/>
  <c r="AY18" i="1"/>
  <c r="AY26" i="1"/>
  <c r="AY34" i="1"/>
  <c r="AY46" i="1"/>
  <c r="AY4" i="1"/>
  <c r="AY8" i="1"/>
  <c r="AY12" i="1"/>
  <c r="AY16" i="1"/>
  <c r="AY20" i="1"/>
  <c r="AY24" i="1"/>
  <c r="AY28" i="1"/>
  <c r="AY32" i="1"/>
  <c r="AY36" i="1"/>
  <c r="AY40" i="1"/>
  <c r="AY44" i="1"/>
  <c r="AY48" i="1"/>
  <c r="AY52" i="1"/>
  <c r="AY13" i="1"/>
  <c r="AY17" i="1"/>
  <c r="AY29" i="1"/>
  <c r="AY41" i="1"/>
  <c r="AY49" i="1"/>
  <c r="AY10" i="1"/>
  <c r="AY22" i="1"/>
  <c r="AY30" i="1"/>
  <c r="AY38" i="1"/>
  <c r="AY50" i="1"/>
  <c r="AY5" i="1"/>
  <c r="AY25" i="1"/>
  <c r="AY14" i="1"/>
  <c r="AY42" i="1"/>
  <c r="AJ4" i="4"/>
  <c r="AJ8" i="4"/>
  <c r="AJ12" i="4"/>
  <c r="AJ16" i="4"/>
  <c r="AJ20" i="4"/>
  <c r="AJ24" i="4"/>
  <c r="AJ28" i="4"/>
  <c r="AJ32" i="4"/>
  <c r="AJ36" i="4"/>
  <c r="AJ40" i="4"/>
  <c r="AJ44" i="4"/>
  <c r="AJ48" i="4"/>
  <c r="AJ52" i="4"/>
  <c r="AJ4" i="3"/>
  <c r="AJ8" i="3"/>
  <c r="AJ12" i="3"/>
  <c r="AJ16" i="3"/>
  <c r="AJ20" i="3"/>
  <c r="AJ24" i="3"/>
  <c r="AJ28" i="3"/>
  <c r="AJ32" i="3"/>
  <c r="AJ36" i="3"/>
  <c r="AJ40" i="3"/>
  <c r="AJ44" i="3"/>
  <c r="AJ48" i="3"/>
  <c r="AJ52" i="3"/>
  <c r="AJ6" i="4"/>
  <c r="AJ11" i="4"/>
  <c r="AJ17" i="4"/>
  <c r="AJ22" i="4"/>
  <c r="AJ27" i="4"/>
  <c r="AJ33" i="4"/>
  <c r="AJ38" i="4"/>
  <c r="AJ43" i="4"/>
  <c r="AJ49" i="4"/>
  <c r="AJ5" i="3"/>
  <c r="AJ10" i="3"/>
  <c r="AJ15" i="3"/>
  <c r="AJ21" i="3"/>
  <c r="AJ26" i="3"/>
  <c r="AJ31" i="3"/>
  <c r="AJ37" i="3"/>
  <c r="AJ42" i="3"/>
  <c r="AJ47" i="3"/>
  <c r="AJ5" i="2"/>
  <c r="AJ9" i="2"/>
  <c r="AJ13" i="2"/>
  <c r="AJ17" i="2"/>
  <c r="AJ21" i="2"/>
  <c r="AJ25" i="2"/>
  <c r="AJ29" i="2"/>
  <c r="AJ33" i="2"/>
  <c r="AJ37" i="2"/>
  <c r="AJ41" i="2"/>
  <c r="AJ45" i="2"/>
  <c r="AJ49" i="2"/>
  <c r="AJ7" i="4"/>
  <c r="AJ13" i="4"/>
  <c r="AJ18" i="4"/>
  <c r="AJ23" i="4"/>
  <c r="AJ29" i="4"/>
  <c r="AJ34" i="4"/>
  <c r="AJ39" i="4"/>
  <c r="AJ45" i="4"/>
  <c r="AJ50" i="4"/>
  <c r="AJ6" i="3"/>
  <c r="AJ11" i="3"/>
  <c r="AJ17" i="3"/>
  <c r="AJ22" i="3"/>
  <c r="AJ27" i="3"/>
  <c r="AJ33" i="3"/>
  <c r="AJ38" i="3"/>
  <c r="AJ43" i="3"/>
  <c r="AJ49" i="3"/>
  <c r="AJ6" i="2"/>
  <c r="AJ10" i="2"/>
  <c r="AJ14" i="2"/>
  <c r="AJ18" i="2"/>
  <c r="AJ22" i="2"/>
  <c r="AJ26" i="2"/>
  <c r="AJ30" i="2"/>
  <c r="AJ34" i="2"/>
  <c r="AJ38" i="2"/>
  <c r="AJ42" i="2"/>
  <c r="AJ46" i="2"/>
  <c r="AJ50" i="2"/>
  <c r="AJ3" i="4"/>
  <c r="AJ14" i="4"/>
  <c r="AJ25" i="4"/>
  <c r="AJ35" i="4"/>
  <c r="AJ46" i="4"/>
  <c r="AJ13" i="3"/>
  <c r="AJ23" i="3"/>
  <c r="AJ34" i="3"/>
  <c r="AJ45" i="3"/>
  <c r="AJ4" i="2"/>
  <c r="AJ12" i="2"/>
  <c r="AJ20" i="2"/>
  <c r="AJ28" i="2"/>
  <c r="AJ36" i="2"/>
  <c r="AJ44" i="2"/>
  <c r="AJ52" i="2"/>
  <c r="AJ3" i="3"/>
  <c r="AJ14" i="3"/>
  <c r="AJ41" i="3"/>
  <c r="AJ3" i="2"/>
  <c r="AJ19" i="2"/>
  <c r="AJ27" i="2"/>
  <c r="AJ43" i="2"/>
  <c r="AJ5" i="4"/>
  <c r="AJ15" i="4"/>
  <c r="AJ26" i="4"/>
  <c r="AJ37" i="4"/>
  <c r="AJ47" i="4"/>
  <c r="AJ25" i="3"/>
  <c r="AJ35" i="3"/>
  <c r="AJ46" i="3"/>
  <c r="AJ7" i="2"/>
  <c r="AJ15" i="2"/>
  <c r="AJ23" i="2"/>
  <c r="AJ31" i="2"/>
  <c r="AJ39" i="2"/>
  <c r="AJ47" i="2"/>
  <c r="AJ9" i="4"/>
  <c r="AJ19" i="4"/>
  <c r="AJ30" i="4"/>
  <c r="AJ41" i="4"/>
  <c r="AJ51" i="4"/>
  <c r="AJ7" i="3"/>
  <c r="AJ18" i="3"/>
  <c r="AJ29" i="3"/>
  <c r="AJ39" i="3"/>
  <c r="AJ50" i="3"/>
  <c r="AJ8" i="2"/>
  <c r="AJ16" i="2"/>
  <c r="AJ24" i="2"/>
  <c r="AJ32" i="2"/>
  <c r="AJ40" i="2"/>
  <c r="AJ48" i="2"/>
  <c r="AJ10" i="4"/>
  <c r="AJ21" i="4"/>
  <c r="AJ31" i="4"/>
  <c r="AJ42" i="4"/>
  <c r="AJ9" i="3"/>
  <c r="AJ19" i="3"/>
  <c r="AJ30" i="3"/>
  <c r="AJ51" i="3"/>
  <c r="AJ11" i="2"/>
  <c r="AJ35" i="2"/>
  <c r="AJ51" i="2"/>
  <c r="AJ5" i="1"/>
  <c r="AJ9" i="1"/>
  <c r="AJ13" i="1"/>
  <c r="AJ17" i="1"/>
  <c r="AJ21" i="1"/>
  <c r="AJ25" i="1"/>
  <c r="AJ29" i="1"/>
  <c r="AJ33" i="1"/>
  <c r="AJ37" i="1"/>
  <c r="AJ41" i="1"/>
  <c r="AJ45" i="1"/>
  <c r="AJ49" i="1"/>
  <c r="AJ7" i="1"/>
  <c r="AJ15" i="1"/>
  <c r="AJ23" i="1"/>
  <c r="AJ31" i="1"/>
  <c r="AJ43" i="1"/>
  <c r="AJ51" i="1"/>
  <c r="AJ4" i="1"/>
  <c r="AJ12" i="1"/>
  <c r="AJ24" i="1"/>
  <c r="AJ32" i="1"/>
  <c r="AJ44" i="1"/>
  <c r="AJ52" i="1"/>
  <c r="AJ6" i="1"/>
  <c r="AJ10" i="1"/>
  <c r="AJ14" i="1"/>
  <c r="AJ18" i="1"/>
  <c r="AJ22" i="1"/>
  <c r="AJ26" i="1"/>
  <c r="AJ30" i="1"/>
  <c r="AJ34" i="1"/>
  <c r="AJ38" i="1"/>
  <c r="AJ42" i="1"/>
  <c r="AJ46" i="1"/>
  <c r="AJ50" i="1"/>
  <c r="AJ11" i="1"/>
  <c r="AJ19" i="1"/>
  <c r="AJ27" i="1"/>
  <c r="AJ35" i="1"/>
  <c r="AJ47" i="1"/>
  <c r="AJ8" i="1"/>
  <c r="AJ20" i="1"/>
  <c r="AJ28" i="1"/>
  <c r="AJ36" i="1"/>
  <c r="AJ48" i="1"/>
  <c r="AJ3" i="1"/>
  <c r="AJ39" i="1"/>
  <c r="AJ16" i="1"/>
  <c r="AJ40" i="1"/>
  <c r="R8" i="14"/>
  <c r="R12" i="14"/>
  <c r="R16" i="14"/>
  <c r="Q10" i="14"/>
  <c r="Q14" i="14"/>
  <c r="P8" i="14"/>
  <c r="P12" i="14"/>
  <c r="P16" i="14"/>
  <c r="R14" i="14"/>
  <c r="Q12" i="14"/>
  <c r="P10" i="14"/>
  <c r="R15" i="14"/>
  <c r="Q13" i="14"/>
  <c r="P11" i="14"/>
  <c r="R9" i="14"/>
  <c r="R13" i="14"/>
  <c r="R17" i="14"/>
  <c r="Q11" i="14"/>
  <c r="Q15" i="14"/>
  <c r="P9" i="14"/>
  <c r="P13" i="14"/>
  <c r="P17" i="14"/>
  <c r="R10" i="14"/>
  <c r="Q16" i="14"/>
  <c r="P14" i="14"/>
  <c r="R11" i="14"/>
  <c r="Q9" i="14"/>
  <c r="Q17" i="14"/>
  <c r="P15" i="14"/>
  <c r="Q8" i="14"/>
  <c r="AA11" i="13"/>
  <c r="AA13" i="13"/>
  <c r="AC11" i="13"/>
  <c r="AC18" i="13"/>
  <c r="AB17" i="13"/>
  <c r="AC14" i="13"/>
  <c r="AC19" i="13"/>
  <c r="AA10" i="13"/>
  <c r="AC10" i="13"/>
  <c r="AA14" i="13"/>
  <c r="AC17" i="13"/>
  <c r="AA15" i="13"/>
  <c r="AC15" i="13"/>
  <c r="AB16" i="13"/>
  <c r="AB18" i="13"/>
  <c r="AB15" i="13"/>
  <c r="AA19" i="13"/>
  <c r="AB13" i="13"/>
  <c r="AA18" i="13"/>
  <c r="AB12" i="13"/>
  <c r="AB10" i="13"/>
  <c r="AC38" i="13"/>
  <c r="AB44" i="13"/>
  <c r="AC43" i="13"/>
  <c r="AA39" i="13"/>
  <c r="AB36" i="13"/>
  <c r="AA42" i="13"/>
  <c r="AB41" i="13"/>
  <c r="AB37" i="13"/>
  <c r="AC42" i="13"/>
  <c r="AA37" i="13"/>
  <c r="AC41" i="13"/>
  <c r="AA36" i="13"/>
  <c r="AC40" i="13"/>
  <c r="AA40" i="13"/>
  <c r="Z40" i="13"/>
  <c r="AB45" i="13"/>
  <c r="AB40" i="13"/>
  <c r="AB43" i="13"/>
  <c r="AC37" i="13"/>
  <c r="AB42" i="13"/>
  <c r="AC36" i="13"/>
  <c r="AA41" i="13"/>
  <c r="AC45" i="13"/>
  <c r="AC44" i="13"/>
  <c r="AA43" i="13"/>
  <c r="AA38" i="13"/>
  <c r="AA45" i="13"/>
  <c r="AB39" i="13"/>
  <c r="AA44" i="13"/>
  <c r="AB38" i="13"/>
  <c r="AC12" i="13"/>
  <c r="AC16" i="13"/>
  <c r="AA12" i="13"/>
  <c r="AB11" i="13"/>
  <c r="AA17" i="13"/>
  <c r="AC13" i="13"/>
  <c r="AB14" i="13"/>
  <c r="AB19" i="13"/>
  <c r="R38" i="13"/>
  <c r="R42" i="13"/>
  <c r="Q36" i="13"/>
  <c r="Q40" i="13"/>
  <c r="Q44" i="13"/>
  <c r="P38" i="13"/>
  <c r="P42" i="13"/>
  <c r="R39" i="13"/>
  <c r="R43" i="13"/>
  <c r="Q37" i="13"/>
  <c r="Q41" i="13"/>
  <c r="Q45" i="13"/>
  <c r="P39" i="13"/>
  <c r="P43" i="13"/>
  <c r="R37" i="13"/>
  <c r="R45" i="13"/>
  <c r="Q43" i="13"/>
  <c r="P41" i="13"/>
  <c r="R41" i="13"/>
  <c r="Q39" i="13"/>
  <c r="P37" i="13"/>
  <c r="P45" i="13"/>
  <c r="R36" i="13"/>
  <c r="R44" i="13"/>
  <c r="Q42" i="13"/>
  <c r="P40" i="13"/>
  <c r="R40" i="13"/>
  <c r="Q38" i="13"/>
  <c r="P36" i="13"/>
  <c r="P44" i="13"/>
  <c r="AI4" i="4"/>
  <c r="AI8" i="4"/>
  <c r="AI12" i="4"/>
  <c r="AI16" i="4"/>
  <c r="AI20" i="4"/>
  <c r="AI24" i="4"/>
  <c r="AI28" i="4"/>
  <c r="AI32" i="4"/>
  <c r="AI36" i="4"/>
  <c r="AI40" i="4"/>
  <c r="AI44" i="4"/>
  <c r="AI48" i="4"/>
  <c r="AI52" i="4"/>
  <c r="AI6" i="3"/>
  <c r="AI10" i="3"/>
  <c r="AI14" i="3"/>
  <c r="AI18" i="3"/>
  <c r="AI22" i="3"/>
  <c r="AI26" i="3"/>
  <c r="AI30" i="3"/>
  <c r="AI34" i="3"/>
  <c r="AI38" i="3"/>
  <c r="AI42" i="3"/>
  <c r="AI46" i="3"/>
  <c r="AI50" i="3"/>
  <c r="AI5" i="4"/>
  <c r="AI9" i="4"/>
  <c r="AI13" i="4"/>
  <c r="AI17" i="4"/>
  <c r="AI21" i="4"/>
  <c r="AI25" i="4"/>
  <c r="AI29" i="4"/>
  <c r="AI33" i="4"/>
  <c r="AI37" i="4"/>
  <c r="AI41" i="4"/>
  <c r="AI45" i="4"/>
  <c r="AI49" i="4"/>
  <c r="AI3" i="3"/>
  <c r="AI7" i="3"/>
  <c r="AI11" i="3"/>
  <c r="AI15" i="3"/>
  <c r="AI19" i="3"/>
  <c r="AI23" i="3"/>
  <c r="AI27" i="3"/>
  <c r="AI31" i="3"/>
  <c r="AI35" i="3"/>
  <c r="AI39" i="3"/>
  <c r="AI43" i="3"/>
  <c r="AI47" i="3"/>
  <c r="AI51" i="3"/>
  <c r="AI6" i="4"/>
  <c r="AI10" i="4"/>
  <c r="AI14" i="4"/>
  <c r="AI18" i="4"/>
  <c r="AI22" i="4"/>
  <c r="AI26" i="4"/>
  <c r="AI30" i="4"/>
  <c r="AI34" i="4"/>
  <c r="AI38" i="4"/>
  <c r="AI42" i="4"/>
  <c r="AI46" i="4"/>
  <c r="AI50" i="4"/>
  <c r="AI4" i="3"/>
  <c r="AI8" i="3"/>
  <c r="AI12" i="3"/>
  <c r="AI16" i="3"/>
  <c r="AI20" i="3"/>
  <c r="AI24" i="3"/>
  <c r="AI28" i="3"/>
  <c r="AI32" i="3"/>
  <c r="AI36" i="3"/>
  <c r="AI40" i="3"/>
  <c r="AI44" i="3"/>
  <c r="AI48" i="3"/>
  <c r="AI52" i="3"/>
  <c r="AI3" i="4"/>
  <c r="AI19" i="4"/>
  <c r="AI35" i="4"/>
  <c r="AI51" i="4"/>
  <c r="AI13" i="3"/>
  <c r="AI29" i="3"/>
  <c r="AI45" i="3"/>
  <c r="AI6" i="2"/>
  <c r="AI10" i="2"/>
  <c r="AI14" i="2"/>
  <c r="AI18" i="2"/>
  <c r="AI22" i="2"/>
  <c r="AI26" i="2"/>
  <c r="AI30" i="2"/>
  <c r="AI34" i="2"/>
  <c r="AI38" i="2"/>
  <c r="AI42" i="2"/>
  <c r="AI46" i="2"/>
  <c r="AI50" i="2"/>
  <c r="AI7" i="4"/>
  <c r="AI23" i="4"/>
  <c r="AI39" i="4"/>
  <c r="AI17" i="3"/>
  <c r="AI33" i="3"/>
  <c r="AI49" i="3"/>
  <c r="AI3" i="2"/>
  <c r="AI7" i="2"/>
  <c r="AI11" i="2"/>
  <c r="AI15" i="2"/>
  <c r="AI19" i="2"/>
  <c r="AI23" i="2"/>
  <c r="AI27" i="2"/>
  <c r="AI31" i="2"/>
  <c r="AI35" i="2"/>
  <c r="AI39" i="2"/>
  <c r="AI43" i="2"/>
  <c r="AI47" i="2"/>
  <c r="AI51" i="2"/>
  <c r="AI11" i="4"/>
  <c r="AI27" i="4"/>
  <c r="AI43" i="4"/>
  <c r="AI5" i="3"/>
  <c r="AI21" i="3"/>
  <c r="AI37" i="3"/>
  <c r="AI4" i="2"/>
  <c r="AI8" i="2"/>
  <c r="AI12" i="2"/>
  <c r="AI16" i="2"/>
  <c r="AI20" i="2"/>
  <c r="AI24" i="2"/>
  <c r="AI28" i="2"/>
  <c r="AI32" i="2"/>
  <c r="AI15" i="4"/>
  <c r="AI9" i="2"/>
  <c r="AI25" i="2"/>
  <c r="AI37" i="2"/>
  <c r="AI45" i="2"/>
  <c r="AI5" i="2"/>
  <c r="AI52" i="2"/>
  <c r="AI31" i="4"/>
  <c r="AI9" i="3"/>
  <c r="AI13" i="2"/>
  <c r="AI29" i="2"/>
  <c r="AI40" i="2"/>
  <c r="AI48" i="2"/>
  <c r="AI41" i="3"/>
  <c r="AI36" i="2"/>
  <c r="AI47" i="4"/>
  <c r="AI25" i="3"/>
  <c r="AI17" i="2"/>
  <c r="AI33" i="2"/>
  <c r="AI41" i="2"/>
  <c r="AI49" i="2"/>
  <c r="AI21" i="2"/>
  <c r="AI44" i="2"/>
  <c r="AI6" i="1"/>
  <c r="AI10" i="1"/>
  <c r="AI14" i="1"/>
  <c r="AI18" i="1"/>
  <c r="AI3" i="1"/>
  <c r="AI7" i="1"/>
  <c r="AI11" i="1"/>
  <c r="AI15" i="1"/>
  <c r="AI19" i="1"/>
  <c r="AI23" i="1"/>
  <c r="AI27" i="1"/>
  <c r="AI31" i="1"/>
  <c r="AI35" i="1"/>
  <c r="AI39" i="1"/>
  <c r="AI43" i="1"/>
  <c r="AI47" i="1"/>
  <c r="AI51" i="1"/>
  <c r="AI5" i="1"/>
  <c r="AI13" i="1"/>
  <c r="AI21" i="1"/>
  <c r="AI26" i="1"/>
  <c r="AI32" i="1"/>
  <c r="AI37" i="1"/>
  <c r="AI42" i="1"/>
  <c r="AI48" i="1"/>
  <c r="AI9" i="1"/>
  <c r="AI17" i="1"/>
  <c r="AI24" i="1"/>
  <c r="AI29" i="1"/>
  <c r="AI34" i="1"/>
  <c r="AI40" i="1"/>
  <c r="AI45" i="1"/>
  <c r="AI50" i="1"/>
  <c r="AI36" i="1"/>
  <c r="AI52" i="1"/>
  <c r="AI8" i="1"/>
  <c r="AI16" i="1"/>
  <c r="AI22" i="1"/>
  <c r="AI28" i="1"/>
  <c r="AI33" i="1"/>
  <c r="AI38" i="1"/>
  <c r="AI44" i="1"/>
  <c r="AI49" i="1"/>
  <c r="AI4" i="1"/>
  <c r="AI12" i="1"/>
  <c r="AI20" i="1"/>
  <c r="AI25" i="1"/>
  <c r="AI30" i="1"/>
  <c r="AI41" i="1"/>
  <c r="AI46" i="1"/>
  <c r="AX6" i="4"/>
  <c r="AX10" i="4"/>
  <c r="AX14" i="4"/>
  <c r="AX18" i="4"/>
  <c r="AX22" i="4"/>
  <c r="AX26" i="4"/>
  <c r="AX30" i="4"/>
  <c r="AX34" i="4"/>
  <c r="AX38" i="4"/>
  <c r="AX42" i="4"/>
  <c r="AX46" i="4"/>
  <c r="AX50" i="4"/>
  <c r="AX4" i="3"/>
  <c r="AX8" i="3"/>
  <c r="AX12" i="3"/>
  <c r="AX16" i="3"/>
  <c r="AX20" i="3"/>
  <c r="AX24" i="3"/>
  <c r="AX28" i="3"/>
  <c r="AX32" i="3"/>
  <c r="AX36" i="3"/>
  <c r="AX40" i="3"/>
  <c r="AX44" i="3"/>
  <c r="AX48" i="3"/>
  <c r="AX52" i="3"/>
  <c r="AX6" i="2"/>
  <c r="AX10" i="2"/>
  <c r="AX14" i="2"/>
  <c r="AX18" i="2"/>
  <c r="AX22" i="2"/>
  <c r="AX26" i="2"/>
  <c r="AX30" i="2"/>
  <c r="AX34" i="2"/>
  <c r="AX38" i="2"/>
  <c r="AX3" i="4"/>
  <c r="AX7" i="4"/>
  <c r="AX11" i="4"/>
  <c r="AX15" i="4"/>
  <c r="AX19" i="4"/>
  <c r="AX23" i="4"/>
  <c r="AX27" i="4"/>
  <c r="AX31" i="4"/>
  <c r="AX35" i="4"/>
  <c r="AX39" i="4"/>
  <c r="AX43" i="4"/>
  <c r="AX47" i="4"/>
  <c r="AX51" i="4"/>
  <c r="AX5" i="3"/>
  <c r="AX9" i="3"/>
  <c r="AX13" i="3"/>
  <c r="AX17" i="3"/>
  <c r="AX21" i="3"/>
  <c r="AX25" i="3"/>
  <c r="AX29" i="3"/>
  <c r="AX33" i="3"/>
  <c r="AX37" i="3"/>
  <c r="AX41" i="3"/>
  <c r="AX45" i="3"/>
  <c r="AX49" i="3"/>
  <c r="AX3" i="2"/>
  <c r="AX7" i="2"/>
  <c r="AX11" i="2"/>
  <c r="AX15" i="2"/>
  <c r="AX19" i="2"/>
  <c r="AX23" i="2"/>
  <c r="AX27" i="2"/>
  <c r="AX31" i="2"/>
  <c r="AX35" i="2"/>
  <c r="AX39" i="2"/>
  <c r="AX4" i="4"/>
  <c r="AX8" i="4"/>
  <c r="AX12" i="4"/>
  <c r="AX16" i="4"/>
  <c r="AX20" i="4"/>
  <c r="AX24" i="4"/>
  <c r="AX28" i="4"/>
  <c r="AX32" i="4"/>
  <c r="AX36" i="4"/>
  <c r="AX40" i="4"/>
  <c r="AX44" i="4"/>
  <c r="AX48" i="4"/>
  <c r="AX52" i="4"/>
  <c r="AX6" i="3"/>
  <c r="AX10" i="3"/>
  <c r="AX14" i="3"/>
  <c r="AX18" i="3"/>
  <c r="AX22" i="3"/>
  <c r="AX26" i="3"/>
  <c r="AX30" i="3"/>
  <c r="AX34" i="3"/>
  <c r="AX38" i="3"/>
  <c r="AX42" i="3"/>
  <c r="AX46" i="3"/>
  <c r="AX50" i="3"/>
  <c r="AX4" i="2"/>
  <c r="AX5" i="4"/>
  <c r="AX21" i="4"/>
  <c r="AX37" i="4"/>
  <c r="AX15" i="3"/>
  <c r="AX31" i="3"/>
  <c r="AX47" i="3"/>
  <c r="AX8" i="2"/>
  <c r="AX16" i="2"/>
  <c r="AX24" i="2"/>
  <c r="AX32" i="2"/>
  <c r="AX40" i="2"/>
  <c r="AX44" i="2"/>
  <c r="AX48" i="2"/>
  <c r="AX52" i="2"/>
  <c r="AX9" i="4"/>
  <c r="AX25" i="4"/>
  <c r="AX41" i="4"/>
  <c r="AX3" i="3"/>
  <c r="AX19" i="3"/>
  <c r="AX35" i="3"/>
  <c r="AX51" i="3"/>
  <c r="AX9" i="2"/>
  <c r="AX17" i="2"/>
  <c r="AX25" i="2"/>
  <c r="AX33" i="2"/>
  <c r="AX41" i="2"/>
  <c r="AX45" i="2"/>
  <c r="AX49" i="2"/>
  <c r="AX13" i="4"/>
  <c r="AX29" i="4"/>
  <c r="AX45" i="4"/>
  <c r="AX7" i="3"/>
  <c r="AX23" i="3"/>
  <c r="AX39" i="3"/>
  <c r="AX12" i="2"/>
  <c r="AX20" i="2"/>
  <c r="AX28" i="2"/>
  <c r="AX36" i="2"/>
  <c r="AX42" i="2"/>
  <c r="AX46" i="2"/>
  <c r="AX50" i="2"/>
  <c r="AX43" i="3"/>
  <c r="AX13" i="2"/>
  <c r="AX43" i="2"/>
  <c r="AX37" i="2"/>
  <c r="AX17" i="4"/>
  <c r="AX21" i="2"/>
  <c r="AX47" i="2"/>
  <c r="AX33" i="4"/>
  <c r="AX11" i="3"/>
  <c r="AX29" i="2"/>
  <c r="AX51" i="2"/>
  <c r="AX49" i="4"/>
  <c r="AX27" i="3"/>
  <c r="AX5" i="2"/>
  <c r="AX5" i="1"/>
  <c r="AX9" i="1"/>
  <c r="AX13" i="1"/>
  <c r="AX17" i="1"/>
  <c r="AX21" i="1"/>
  <c r="AX25" i="1"/>
  <c r="AX29" i="1"/>
  <c r="AX33" i="1"/>
  <c r="AX37" i="1"/>
  <c r="AX41" i="1"/>
  <c r="AX45" i="1"/>
  <c r="AX49" i="1"/>
  <c r="AX3" i="1"/>
  <c r="AX8" i="1"/>
  <c r="AX14" i="1"/>
  <c r="AX19" i="1"/>
  <c r="AX24" i="1"/>
  <c r="AX30" i="1"/>
  <c r="AX35" i="1"/>
  <c r="AX40" i="1"/>
  <c r="AX46" i="1"/>
  <c r="AX51" i="1"/>
  <c r="AX6" i="1"/>
  <c r="AX11" i="1"/>
  <c r="AX16" i="1"/>
  <c r="AX22" i="1"/>
  <c r="AX27" i="1"/>
  <c r="AX32" i="1"/>
  <c r="AX38" i="1"/>
  <c r="AX43" i="1"/>
  <c r="AX48" i="1"/>
  <c r="AX12" i="1"/>
  <c r="AX28" i="1"/>
  <c r="AX39" i="1"/>
  <c r="AX50" i="1"/>
  <c r="AX4" i="1"/>
  <c r="AX10" i="1"/>
  <c r="AX15" i="1"/>
  <c r="AX20" i="1"/>
  <c r="AX26" i="1"/>
  <c r="AX31" i="1"/>
  <c r="AX36" i="1"/>
  <c r="AX42" i="1"/>
  <c r="AX47" i="1"/>
  <c r="AX52" i="1"/>
  <c r="AX7" i="1"/>
  <c r="AX18" i="1"/>
  <c r="AX23" i="1"/>
  <c r="AX34" i="1"/>
  <c r="AX44" i="1"/>
  <c r="R12" i="13"/>
  <c r="R16" i="13"/>
  <c r="Q10" i="13"/>
  <c r="Q14" i="13"/>
  <c r="Q18" i="13"/>
  <c r="P12" i="13"/>
  <c r="P16" i="13"/>
  <c r="R13" i="13"/>
  <c r="R17" i="13"/>
  <c r="Q11" i="13"/>
  <c r="Q15" i="13"/>
  <c r="Q19" i="13"/>
  <c r="P13" i="13"/>
  <c r="P17" i="13"/>
  <c r="R15" i="13"/>
  <c r="Q13" i="13"/>
  <c r="P11" i="13"/>
  <c r="P19" i="13"/>
  <c r="R11" i="13"/>
  <c r="R19" i="13"/>
  <c r="Q17" i="13"/>
  <c r="P15" i="13"/>
  <c r="Q12" i="13"/>
  <c r="P10" i="13"/>
  <c r="R10" i="13"/>
  <c r="R18" i="13"/>
  <c r="Q16" i="13"/>
  <c r="P14" i="13"/>
  <c r="R14" i="13"/>
  <c r="P18" i="13"/>
  <c r="AH22" i="1"/>
  <c r="AH4" i="1"/>
  <c r="AC15" i="20"/>
  <c r="AB14" i="20"/>
  <c r="AH26" i="1"/>
  <c r="AH12" i="1"/>
  <c r="AC17" i="20"/>
  <c r="AA13" i="20"/>
  <c r="AH23" i="1"/>
  <c r="AC10" i="20"/>
  <c r="AA18" i="20"/>
  <c r="AH48" i="2"/>
  <c r="AH22" i="4"/>
  <c r="AH7" i="3"/>
  <c r="AH23" i="4"/>
  <c r="AH8" i="4"/>
  <c r="AA11" i="20"/>
  <c r="AH31" i="2"/>
  <c r="AH20" i="3"/>
  <c r="AC12" i="20"/>
  <c r="AB13" i="20"/>
  <c r="AA19" i="20"/>
  <c r="AB18" i="20"/>
  <c r="AH6" i="1"/>
  <c r="AH38" i="1"/>
  <c r="AH40" i="1"/>
  <c r="AB11" i="20"/>
  <c r="AA17" i="20"/>
  <c r="AH3" i="1"/>
  <c r="AH39" i="1"/>
  <c r="AC14" i="20"/>
  <c r="AH44" i="2"/>
  <c r="AH25" i="2"/>
  <c r="AH26" i="4"/>
  <c r="AH49" i="3"/>
  <c r="AC18" i="20"/>
  <c r="AC11" i="20"/>
  <c r="AA15" i="20"/>
  <c r="AH19" i="1"/>
  <c r="AH10" i="3"/>
  <c r="AH14" i="2"/>
  <c r="AC16" i="20"/>
  <c r="AA12" i="20"/>
  <c r="AH10" i="1"/>
  <c r="AH42" i="1"/>
  <c r="AH48" i="1"/>
  <c r="AB15" i="20"/>
  <c r="AH7" i="1"/>
  <c r="AH51" i="1"/>
  <c r="AB12" i="20"/>
  <c r="AH24" i="2"/>
  <c r="AH47" i="2"/>
  <c r="AH30" i="2"/>
  <c r="AH33" i="4"/>
  <c r="AA14" i="20"/>
  <c r="AB17" i="20"/>
  <c r="AH12" i="2"/>
  <c r="AH29" i="2"/>
  <c r="AH27" i="3"/>
  <c r="AH15" i="2"/>
  <c r="AH35" i="4"/>
  <c r="AH38" i="3"/>
  <c r="AH33" i="3"/>
  <c r="AH17" i="4"/>
  <c r="AH4" i="3"/>
  <c r="AH35" i="1"/>
  <c r="AH24" i="1"/>
  <c r="AH18" i="3"/>
  <c r="AH51" i="3"/>
  <c r="AH43" i="4"/>
  <c r="AH39" i="3"/>
  <c r="AH46" i="2"/>
  <c r="AH6" i="3"/>
  <c r="AH17" i="3"/>
  <c r="AH52" i="3"/>
  <c r="AH40" i="4"/>
  <c r="AH49" i="4"/>
  <c r="AH36" i="3"/>
  <c r="AW4" i="4"/>
  <c r="AW8" i="4"/>
  <c r="AW12" i="4"/>
  <c r="AW16" i="4"/>
  <c r="AW20" i="4"/>
  <c r="AW24" i="4"/>
  <c r="AW28" i="4"/>
  <c r="AW32" i="4"/>
  <c r="AW36" i="4"/>
  <c r="AW40" i="4"/>
  <c r="AW44" i="4"/>
  <c r="AW48" i="4"/>
  <c r="AW52" i="4"/>
  <c r="AW4" i="3"/>
  <c r="AW8" i="3"/>
  <c r="AW12" i="3"/>
  <c r="AW16" i="3"/>
  <c r="AW20" i="3"/>
  <c r="AW24" i="3"/>
  <c r="AW28" i="3"/>
  <c r="AW32" i="3"/>
  <c r="AW36" i="3"/>
  <c r="AW40" i="3"/>
  <c r="AW44" i="3"/>
  <c r="AW48" i="3"/>
  <c r="AW52" i="3"/>
  <c r="AW5" i="4"/>
  <c r="AW9" i="4"/>
  <c r="AW13" i="4"/>
  <c r="AW17" i="4"/>
  <c r="AW21" i="4"/>
  <c r="AW25" i="4"/>
  <c r="AW29" i="4"/>
  <c r="AW33" i="4"/>
  <c r="AW37" i="4"/>
  <c r="AW41" i="4"/>
  <c r="AW45" i="4"/>
  <c r="AW49" i="4"/>
  <c r="AW5" i="3"/>
  <c r="AW9" i="3"/>
  <c r="AW13" i="3"/>
  <c r="AW17" i="3"/>
  <c r="AW21" i="3"/>
  <c r="AW25" i="3"/>
  <c r="AW29" i="3"/>
  <c r="AW33" i="3"/>
  <c r="AW37" i="3"/>
  <c r="AW41" i="3"/>
  <c r="AW45" i="3"/>
  <c r="AW49" i="3"/>
  <c r="AW5" i="2"/>
  <c r="AW9" i="2"/>
  <c r="AW13" i="2"/>
  <c r="AW17" i="2"/>
  <c r="AW21" i="2"/>
  <c r="AW25" i="2"/>
  <c r="AW29" i="2"/>
  <c r="AW33" i="2"/>
  <c r="AW37" i="2"/>
  <c r="AW41" i="2"/>
  <c r="AW45" i="2"/>
  <c r="AW49" i="2"/>
  <c r="AW6" i="4"/>
  <c r="AW14" i="4"/>
  <c r="AW22" i="4"/>
  <c r="AW30" i="4"/>
  <c r="AW38" i="4"/>
  <c r="AW46" i="4"/>
  <c r="AW3" i="3"/>
  <c r="AW11" i="3"/>
  <c r="AW19" i="3"/>
  <c r="AW27" i="3"/>
  <c r="AW35" i="3"/>
  <c r="AW43" i="3"/>
  <c r="AW51" i="3"/>
  <c r="AW6" i="2"/>
  <c r="AW11" i="2"/>
  <c r="AW16" i="2"/>
  <c r="AW22" i="2"/>
  <c r="AW27" i="2"/>
  <c r="AW32" i="2"/>
  <c r="AW38" i="2"/>
  <c r="AW43" i="2"/>
  <c r="AW48" i="2"/>
  <c r="AW18" i="4"/>
  <c r="AW26" i="4"/>
  <c r="AW42" i="4"/>
  <c r="AW7" i="3"/>
  <c r="AW23" i="3"/>
  <c r="AW7" i="4"/>
  <c r="AW15" i="4"/>
  <c r="AW23" i="4"/>
  <c r="AW31" i="4"/>
  <c r="AW39" i="4"/>
  <c r="AW47" i="4"/>
  <c r="AW6" i="3"/>
  <c r="AW14" i="3"/>
  <c r="AW22" i="3"/>
  <c r="AW30" i="3"/>
  <c r="AW38" i="3"/>
  <c r="AW46" i="3"/>
  <c r="AW7" i="2"/>
  <c r="AW12" i="2"/>
  <c r="AW18" i="2"/>
  <c r="AW23" i="2"/>
  <c r="AW28" i="2"/>
  <c r="AW34" i="2"/>
  <c r="AW39" i="2"/>
  <c r="AW44" i="2"/>
  <c r="AW50" i="2"/>
  <c r="AW10" i="4"/>
  <c r="AW34" i="4"/>
  <c r="AW50" i="4"/>
  <c r="AW15" i="3"/>
  <c r="AW31" i="3"/>
  <c r="AW11" i="4"/>
  <c r="AW43" i="4"/>
  <c r="AW10" i="3"/>
  <c r="AW39" i="3"/>
  <c r="AW4" i="2"/>
  <c r="AW15" i="2"/>
  <c r="AW26" i="2"/>
  <c r="AW36" i="2"/>
  <c r="AW47" i="2"/>
  <c r="AW27" i="4"/>
  <c r="AW26" i="3"/>
  <c r="AW47" i="3"/>
  <c r="AW10" i="2"/>
  <c r="AW20" i="2"/>
  <c r="AW31" i="2"/>
  <c r="AW42" i="2"/>
  <c r="AW52" i="2"/>
  <c r="AW3" i="4"/>
  <c r="AW35" i="4"/>
  <c r="AW34" i="3"/>
  <c r="AW50" i="3"/>
  <c r="AW3" i="2"/>
  <c r="AW24" i="2"/>
  <c r="AW35" i="2"/>
  <c r="AW19" i="4"/>
  <c r="AW51" i="4"/>
  <c r="AW18" i="3"/>
  <c r="AW42" i="3"/>
  <c r="AW8" i="2"/>
  <c r="AW19" i="2"/>
  <c r="AW30" i="2"/>
  <c r="AW40" i="2"/>
  <c r="AW51" i="2"/>
  <c r="AW14" i="2"/>
  <c r="AW46" i="2"/>
  <c r="AW4" i="1"/>
  <c r="AW8" i="1"/>
  <c r="AW12" i="1"/>
  <c r="AW16" i="1"/>
  <c r="AW20" i="1"/>
  <c r="AW24" i="1"/>
  <c r="AW28" i="1"/>
  <c r="AW32" i="1"/>
  <c r="AW36" i="1"/>
  <c r="AW40" i="1"/>
  <c r="AW44" i="1"/>
  <c r="AW48" i="1"/>
  <c r="AW52" i="1"/>
  <c r="AW10" i="1"/>
  <c r="AW14" i="1"/>
  <c r="AW22" i="1"/>
  <c r="AW30" i="1"/>
  <c r="AW38" i="1"/>
  <c r="AW46" i="1"/>
  <c r="AW7" i="1"/>
  <c r="AW11" i="1"/>
  <c r="AW5" i="1"/>
  <c r="AW9" i="1"/>
  <c r="AW13" i="1"/>
  <c r="AW17" i="1"/>
  <c r="AW21" i="1"/>
  <c r="AW25" i="1"/>
  <c r="AW29" i="1"/>
  <c r="AW33" i="1"/>
  <c r="AW37" i="1"/>
  <c r="AW41" i="1"/>
  <c r="AW45" i="1"/>
  <c r="AW49" i="1"/>
  <c r="AW6" i="1"/>
  <c r="AW18" i="1"/>
  <c r="AW26" i="1"/>
  <c r="AW34" i="1"/>
  <c r="AW42" i="1"/>
  <c r="AW50" i="1"/>
  <c r="AW3" i="1"/>
  <c r="AW23" i="1"/>
  <c r="AW39" i="1"/>
  <c r="AW15" i="1"/>
  <c r="AW19" i="1"/>
  <c r="AW51" i="1"/>
  <c r="AW27" i="1"/>
  <c r="AW43" i="1"/>
  <c r="AW31" i="1"/>
  <c r="AW47" i="1"/>
  <c r="AW35" i="1"/>
  <c r="R10" i="20"/>
  <c r="R14" i="20"/>
  <c r="R18" i="20"/>
  <c r="Q12" i="20"/>
  <c r="Q16" i="20"/>
  <c r="P10" i="20"/>
  <c r="P14" i="20"/>
  <c r="P18" i="20"/>
  <c r="R16" i="20"/>
  <c r="Q14" i="20"/>
  <c r="R17" i="20"/>
  <c r="Q15" i="20"/>
  <c r="P17" i="20"/>
  <c r="R11" i="20"/>
  <c r="R15" i="20"/>
  <c r="R19" i="20"/>
  <c r="Q13" i="20"/>
  <c r="Q17" i="20"/>
  <c r="P11" i="20"/>
  <c r="P15" i="20"/>
  <c r="P19" i="20"/>
  <c r="Q10" i="20"/>
  <c r="Q18" i="20"/>
  <c r="P16" i="20"/>
  <c r="R13" i="20"/>
  <c r="Q19" i="20"/>
  <c r="P13" i="20"/>
  <c r="R12" i="20"/>
  <c r="P12" i="20"/>
  <c r="Q11" i="20"/>
  <c r="AH5" i="1"/>
  <c r="AH21" i="1"/>
  <c r="AH37" i="1"/>
  <c r="AH13" i="1"/>
  <c r="AH45" i="1"/>
  <c r="AH33" i="1"/>
  <c r="AH9" i="1"/>
  <c r="AH25" i="1"/>
  <c r="AH41" i="1"/>
  <c r="AH29" i="1"/>
  <c r="AH17" i="1"/>
  <c r="AH49" i="1"/>
  <c r="AH36" i="1"/>
  <c r="AH32" i="2"/>
  <c r="AH36" i="2"/>
  <c r="AH3" i="2"/>
  <c r="AH46" i="4"/>
  <c r="AH8" i="2"/>
  <c r="AH30" i="4"/>
  <c r="AH21" i="2"/>
  <c r="AH35" i="3"/>
  <c r="AH49" i="2"/>
  <c r="AH17" i="2"/>
  <c r="AH11" i="3"/>
  <c r="AH27" i="4"/>
  <c r="AH43" i="2"/>
  <c r="AH27" i="2"/>
  <c r="AH11" i="2"/>
  <c r="AH31" i="3"/>
  <c r="AH50" i="4"/>
  <c r="AH18" i="4"/>
  <c r="AH19" i="4"/>
  <c r="AH42" i="2"/>
  <c r="AH26" i="2"/>
  <c r="AH10" i="2"/>
  <c r="AH30" i="3"/>
  <c r="AH47" i="4"/>
  <c r="AH15" i="4"/>
  <c r="AH45" i="3"/>
  <c r="AH29" i="3"/>
  <c r="AH13" i="3"/>
  <c r="AH45" i="4"/>
  <c r="AH29" i="4"/>
  <c r="AH13" i="4"/>
  <c r="AH48" i="3"/>
  <c r="AH32" i="3"/>
  <c r="AH16" i="3"/>
  <c r="AH52" i="4"/>
  <c r="AH36" i="4"/>
  <c r="AH20" i="4"/>
  <c r="AH4" i="4"/>
  <c r="R36" i="20"/>
  <c r="R40" i="20"/>
  <c r="R44" i="20"/>
  <c r="Q38" i="20"/>
  <c r="Q42" i="20"/>
  <c r="P36" i="20"/>
  <c r="P40" i="20"/>
  <c r="P44" i="20"/>
  <c r="R39" i="20"/>
  <c r="Q45" i="20"/>
  <c r="P43" i="20"/>
  <c r="R37" i="20"/>
  <c r="R41" i="20"/>
  <c r="R45" i="20"/>
  <c r="Q39" i="20"/>
  <c r="Q43" i="20"/>
  <c r="P37" i="20"/>
  <c r="P41" i="20"/>
  <c r="P45" i="20"/>
  <c r="R38" i="20"/>
  <c r="Q36" i="20"/>
  <c r="Q40" i="20"/>
  <c r="P38" i="20"/>
  <c r="R43" i="20"/>
  <c r="Q37" i="20"/>
  <c r="P39" i="20"/>
  <c r="R42" i="20"/>
  <c r="Q44" i="20"/>
  <c r="P42" i="20"/>
  <c r="Q41" i="20"/>
  <c r="AH14" i="1"/>
  <c r="AH30" i="1"/>
  <c r="AH46" i="1"/>
  <c r="AH20" i="1"/>
  <c r="AH11" i="1"/>
  <c r="AH27" i="1"/>
  <c r="AH43" i="1"/>
  <c r="AH8" i="1"/>
  <c r="AH44" i="1"/>
  <c r="AH16" i="2"/>
  <c r="AH28" i="2"/>
  <c r="AH50" i="3"/>
  <c r="AH14" i="4"/>
  <c r="AH42" i="3"/>
  <c r="AH45" i="2"/>
  <c r="AH13" i="2"/>
  <c r="AH19" i="3"/>
  <c r="AH41" i="2"/>
  <c r="AH9" i="2"/>
  <c r="AH38" i="4"/>
  <c r="AH11" i="4"/>
  <c r="AH39" i="2"/>
  <c r="AH23" i="2"/>
  <c r="AH7" i="2"/>
  <c r="AH23" i="3"/>
  <c r="AH42" i="4"/>
  <c r="AH10" i="4"/>
  <c r="AH3" i="4"/>
  <c r="AH38" i="2"/>
  <c r="AH22" i="2"/>
  <c r="AH6" i="2"/>
  <c r="AH22" i="3"/>
  <c r="AH39" i="4"/>
  <c r="AH7" i="4"/>
  <c r="AH41" i="3"/>
  <c r="AH25" i="3"/>
  <c r="AH9" i="3"/>
  <c r="AH41" i="4"/>
  <c r="AH25" i="4"/>
  <c r="AH9" i="4"/>
  <c r="AH44" i="3"/>
  <c r="AH28" i="3"/>
  <c r="AH12" i="3"/>
  <c r="AH48" i="4"/>
  <c r="AH32" i="4"/>
  <c r="AH16" i="4"/>
  <c r="AH18" i="1"/>
  <c r="AH34" i="1"/>
  <c r="AH50" i="1"/>
  <c r="AH28" i="1"/>
  <c r="AH15" i="1"/>
  <c r="AH31" i="1"/>
  <c r="AH47" i="1"/>
  <c r="AH16" i="1"/>
  <c r="AH52" i="1"/>
  <c r="AH52" i="2"/>
  <c r="AH20" i="2"/>
  <c r="AH34" i="3"/>
  <c r="AH40" i="2"/>
  <c r="AH26" i="3"/>
  <c r="AH37" i="2"/>
  <c r="AH4" i="2"/>
  <c r="AH3" i="3"/>
  <c r="AH33" i="2"/>
  <c r="AH43" i="3"/>
  <c r="AH6" i="4"/>
  <c r="AH51" i="2"/>
  <c r="AH35" i="2"/>
  <c r="AH19" i="2"/>
  <c r="AH47" i="3"/>
  <c r="AH15" i="3"/>
  <c r="AH34" i="4"/>
  <c r="AH51" i="4"/>
  <c r="AH50" i="2"/>
  <c r="AH34" i="2"/>
  <c r="AH18" i="2"/>
  <c r="AH46" i="3"/>
  <c r="AH14" i="3"/>
  <c r="AH31" i="4"/>
  <c r="AH5" i="2"/>
  <c r="AH37" i="3"/>
  <c r="AH21" i="3"/>
  <c r="AH5" i="3"/>
  <c r="AH37" i="4"/>
  <c r="AH21" i="4"/>
  <c r="AH5" i="4"/>
  <c r="AH40" i="3"/>
  <c r="AH24" i="3"/>
  <c r="AH8" i="3"/>
  <c r="AH44" i="4"/>
  <c r="AH28" i="4"/>
  <c r="AH12" i="4"/>
  <c r="AH32" i="1"/>
  <c r="AV28" i="1"/>
  <c r="AV49" i="2"/>
  <c r="AV26" i="3"/>
  <c r="AV23" i="4"/>
  <c r="AV44" i="1"/>
  <c r="AV4" i="3"/>
  <c r="AV52" i="3"/>
  <c r="AV24" i="3"/>
  <c r="AV25" i="2"/>
  <c r="AV24" i="2"/>
  <c r="AV10" i="3"/>
  <c r="AV35" i="2"/>
  <c r="AV21" i="3"/>
  <c r="AV7" i="4"/>
  <c r="AV17" i="1"/>
  <c r="AV44" i="2"/>
  <c r="AV18" i="2"/>
  <c r="AV40" i="2"/>
  <c r="AV37" i="3"/>
  <c r="AV10" i="4"/>
  <c r="AV12" i="3"/>
  <c r="AV35" i="3"/>
  <c r="AV21" i="4"/>
  <c r="AV39" i="3"/>
  <c r="AV8" i="2"/>
  <c r="AV44" i="4"/>
  <c r="AV19" i="2"/>
  <c r="AV5" i="3"/>
  <c r="AV42" i="4"/>
  <c r="AV33" i="1"/>
  <c r="AV48" i="2"/>
  <c r="AV12" i="4"/>
  <c r="AV12" i="1"/>
  <c r="AV37" i="2"/>
  <c r="AV29" i="2"/>
  <c r="AV3" i="3"/>
  <c r="AV42" i="2"/>
  <c r="AV7" i="3"/>
  <c r="AV42" i="3"/>
  <c r="AV28" i="4"/>
  <c r="AV3" i="2"/>
  <c r="AV39" i="4"/>
  <c r="AV26" i="4"/>
  <c r="AV49" i="1"/>
  <c r="R12" i="12"/>
  <c r="R16" i="12"/>
  <c r="Q10" i="12"/>
  <c r="Q14" i="12"/>
  <c r="Q18" i="12"/>
  <c r="P12" i="12"/>
  <c r="P16" i="12"/>
  <c r="R14" i="12"/>
  <c r="Q12" i="12"/>
  <c r="P14" i="12"/>
  <c r="R11" i="12"/>
  <c r="Q13" i="12"/>
  <c r="P11" i="12"/>
  <c r="R13" i="12"/>
  <c r="R17" i="12"/>
  <c r="Q11" i="12"/>
  <c r="Q15" i="12"/>
  <c r="Q19" i="12"/>
  <c r="P13" i="12"/>
  <c r="P17" i="12"/>
  <c r="R18" i="12"/>
  <c r="Q16" i="12"/>
  <c r="P18" i="12"/>
  <c r="R15" i="12"/>
  <c r="Q17" i="12"/>
  <c r="R10" i="12"/>
  <c r="P10" i="12"/>
  <c r="R19" i="12"/>
  <c r="P15" i="12"/>
  <c r="P19" i="12"/>
  <c r="AV16" i="1"/>
  <c r="AV32" i="1"/>
  <c r="AV48" i="1"/>
  <c r="AG4" i="4"/>
  <c r="AG8" i="4"/>
  <c r="AG12" i="4"/>
  <c r="AG16" i="4"/>
  <c r="AG20" i="4"/>
  <c r="AG24" i="4"/>
  <c r="AG28" i="4"/>
  <c r="AG32" i="4"/>
  <c r="AG36" i="4"/>
  <c r="AG5" i="4"/>
  <c r="AG9" i="4"/>
  <c r="AG13" i="4"/>
  <c r="AG17" i="4"/>
  <c r="AG21" i="4"/>
  <c r="AG25" i="4"/>
  <c r="AG29" i="4"/>
  <c r="AG33" i="4"/>
  <c r="AG37" i="4"/>
  <c r="AG41" i="4"/>
  <c r="AG45" i="4"/>
  <c r="AG49" i="4"/>
  <c r="AG3" i="3"/>
  <c r="AG7" i="3"/>
  <c r="AG11" i="3"/>
  <c r="AG15" i="3"/>
  <c r="AG19" i="3"/>
  <c r="AG23" i="3"/>
  <c r="AG27" i="3"/>
  <c r="AG31" i="3"/>
  <c r="AG35" i="3"/>
  <c r="AG39" i="3"/>
  <c r="AG43" i="3"/>
  <c r="AG47" i="3"/>
  <c r="AG51" i="3"/>
  <c r="AG6" i="4"/>
  <c r="AG10" i="4"/>
  <c r="AG14" i="4"/>
  <c r="AG18" i="4"/>
  <c r="AG22" i="4"/>
  <c r="AG26" i="4"/>
  <c r="AG30" i="4"/>
  <c r="AG34" i="4"/>
  <c r="AG38" i="4"/>
  <c r="AG42" i="4"/>
  <c r="AG46" i="4"/>
  <c r="AG50" i="4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15" i="4"/>
  <c r="AG31" i="4"/>
  <c r="AG43" i="4"/>
  <c r="AG51" i="4"/>
  <c r="AG5" i="3"/>
  <c r="AG13" i="3"/>
  <c r="AG21" i="3"/>
  <c r="AG29" i="3"/>
  <c r="AG37" i="3"/>
  <c r="AG45" i="3"/>
  <c r="AG3" i="2"/>
  <c r="AG7" i="2"/>
  <c r="AG11" i="2"/>
  <c r="AG15" i="2"/>
  <c r="AG19" i="2"/>
  <c r="AG23" i="2"/>
  <c r="AG27" i="2"/>
  <c r="AG31" i="2"/>
  <c r="AG35" i="2"/>
  <c r="AG39" i="2"/>
  <c r="AG43" i="2"/>
  <c r="AG47" i="2"/>
  <c r="AG51" i="2"/>
  <c r="AG4" i="2"/>
  <c r="AG8" i="2"/>
  <c r="AG12" i="2"/>
  <c r="AG16" i="2"/>
  <c r="AG20" i="2"/>
  <c r="AG24" i="2"/>
  <c r="AG28" i="2"/>
  <c r="AG36" i="2"/>
  <c r="AG40" i="2"/>
  <c r="AG44" i="2"/>
  <c r="AG48" i="2"/>
  <c r="AG3" i="4"/>
  <c r="AG19" i="4"/>
  <c r="AG35" i="4"/>
  <c r="AG44" i="4"/>
  <c r="AG52" i="4"/>
  <c r="AG6" i="3"/>
  <c r="AG14" i="3"/>
  <c r="AG22" i="3"/>
  <c r="AG30" i="3"/>
  <c r="AG38" i="3"/>
  <c r="AG46" i="3"/>
  <c r="AG32" i="2"/>
  <c r="AG52" i="2"/>
  <c r="AG7" i="4"/>
  <c r="AG23" i="4"/>
  <c r="AG39" i="4"/>
  <c r="AG47" i="4"/>
  <c r="AG9" i="3"/>
  <c r="AG17" i="3"/>
  <c r="AG25" i="3"/>
  <c r="AG33" i="3"/>
  <c r="AG41" i="3"/>
  <c r="AG49" i="3"/>
  <c r="AG11" i="4"/>
  <c r="AG34" i="3"/>
  <c r="AG6" i="2"/>
  <c r="AG14" i="2"/>
  <c r="AG22" i="2"/>
  <c r="AG30" i="2"/>
  <c r="AG38" i="2"/>
  <c r="AG46" i="2"/>
  <c r="AG21" i="2"/>
  <c r="AG27" i="4"/>
  <c r="AG10" i="3"/>
  <c r="AG42" i="3"/>
  <c r="AG9" i="2"/>
  <c r="AG17" i="2"/>
  <c r="AG25" i="2"/>
  <c r="AG33" i="2"/>
  <c r="AG41" i="2"/>
  <c r="AG49" i="2"/>
  <c r="AG26" i="3"/>
  <c r="AG5" i="2"/>
  <c r="AG29" i="2"/>
  <c r="AG45" i="2"/>
  <c r="AG40" i="4"/>
  <c r="AG18" i="3"/>
  <c r="AG50" i="3"/>
  <c r="AG10" i="2"/>
  <c r="AG18" i="2"/>
  <c r="AG26" i="2"/>
  <c r="AG34" i="2"/>
  <c r="AG42" i="2"/>
  <c r="AG50" i="2"/>
  <c r="AG48" i="4"/>
  <c r="AG13" i="2"/>
  <c r="AG37" i="2"/>
  <c r="AG6" i="1"/>
  <c r="AG10" i="1"/>
  <c r="AG14" i="1"/>
  <c r="AG18" i="1"/>
  <c r="AG22" i="1"/>
  <c r="AG26" i="1"/>
  <c r="AG30" i="1"/>
  <c r="AG34" i="1"/>
  <c r="AG38" i="1"/>
  <c r="AG42" i="1"/>
  <c r="AG46" i="1"/>
  <c r="AG50" i="1"/>
  <c r="AG15" i="1"/>
  <c r="AG4" i="1"/>
  <c r="AG12" i="1"/>
  <c r="AG20" i="1"/>
  <c r="AG28" i="1"/>
  <c r="AG36" i="1"/>
  <c r="AG44" i="1"/>
  <c r="AG52" i="1"/>
  <c r="AG3" i="1"/>
  <c r="AG7" i="1"/>
  <c r="AG11" i="1"/>
  <c r="AG19" i="1"/>
  <c r="AG23" i="1"/>
  <c r="AG27" i="1"/>
  <c r="AG31" i="1"/>
  <c r="AG35" i="1"/>
  <c r="AG39" i="1"/>
  <c r="AG43" i="1"/>
  <c r="AG47" i="1"/>
  <c r="AG51" i="1"/>
  <c r="AG8" i="1"/>
  <c r="AG16" i="1"/>
  <c r="AG24" i="1"/>
  <c r="AG32" i="1"/>
  <c r="AG40" i="1"/>
  <c r="AG48" i="1"/>
  <c r="AG5" i="1"/>
  <c r="AG21" i="1"/>
  <c r="AG37" i="1"/>
  <c r="AG9" i="1"/>
  <c r="AG25" i="1"/>
  <c r="AG41" i="1"/>
  <c r="AG13" i="1"/>
  <c r="AG29" i="1"/>
  <c r="AG45" i="1"/>
  <c r="AG17" i="1"/>
  <c r="AG33" i="1"/>
  <c r="AG49" i="1"/>
  <c r="AV5" i="2"/>
  <c r="AV30" i="2"/>
  <c r="AV29" i="4"/>
  <c r="AV45" i="4"/>
  <c r="AV13" i="2"/>
  <c r="AV38" i="2"/>
  <c r="AV20" i="3"/>
  <c r="AV27" i="3"/>
  <c r="AV41" i="4"/>
  <c r="AV48" i="3"/>
  <c r="AV16" i="3"/>
  <c r="AV5" i="4"/>
  <c r="AV34" i="2"/>
  <c r="AV45" i="2"/>
  <c r="AV17" i="2"/>
  <c r="AV31" i="3"/>
  <c r="AV49" i="4"/>
  <c r="AV36" i="2"/>
  <c r="AV20" i="2"/>
  <c r="AV4" i="2"/>
  <c r="AV38" i="3"/>
  <c r="AV22" i="3"/>
  <c r="AV6" i="3"/>
  <c r="AV40" i="4"/>
  <c r="AV24" i="4"/>
  <c r="AV8" i="4"/>
  <c r="AV31" i="2"/>
  <c r="AV15" i="2"/>
  <c r="AV49" i="3"/>
  <c r="AV33" i="3"/>
  <c r="AV17" i="3"/>
  <c r="AV51" i="4"/>
  <c r="AV35" i="4"/>
  <c r="AV19" i="4"/>
  <c r="AV3" i="4"/>
  <c r="AV38" i="4"/>
  <c r="AV22" i="4"/>
  <c r="AV6" i="4"/>
  <c r="AV21" i="1"/>
  <c r="AV37" i="1"/>
  <c r="AC25" i="12"/>
  <c r="AC29" i="12"/>
  <c r="AB23" i="12"/>
  <c r="AB27" i="12"/>
  <c r="AB31" i="12"/>
  <c r="AA25" i="12"/>
  <c r="AA29" i="12"/>
  <c r="AC23" i="12"/>
  <c r="AC27" i="12"/>
  <c r="AC31" i="12"/>
  <c r="AB29" i="12"/>
  <c r="AA31" i="12"/>
  <c r="AC24" i="12"/>
  <c r="AC32" i="12"/>
  <c r="AB30" i="12"/>
  <c r="AA32" i="12"/>
  <c r="AC26" i="12"/>
  <c r="AC30" i="12"/>
  <c r="AB24" i="12"/>
  <c r="AB28" i="12"/>
  <c r="AB32" i="12"/>
  <c r="AA26" i="12"/>
  <c r="AA30" i="12"/>
  <c r="AB25" i="12"/>
  <c r="AA27" i="12"/>
  <c r="AC28" i="12"/>
  <c r="AB26" i="12"/>
  <c r="AA24" i="12"/>
  <c r="AA23" i="12"/>
  <c r="AA28" i="12"/>
  <c r="AV5" i="1"/>
  <c r="AC10" i="12"/>
  <c r="AC14" i="12"/>
  <c r="AC18" i="12"/>
  <c r="AB12" i="12"/>
  <c r="AB16" i="12"/>
  <c r="AA10" i="12"/>
  <c r="AA14" i="12"/>
  <c r="AA18" i="12"/>
  <c r="AC12" i="12"/>
  <c r="AB18" i="12"/>
  <c r="AA16" i="12"/>
  <c r="AC17" i="12"/>
  <c r="AB15" i="12"/>
  <c r="AA13" i="12"/>
  <c r="AC11" i="12"/>
  <c r="AC15" i="12"/>
  <c r="AC19" i="12"/>
  <c r="AB13" i="12"/>
  <c r="AB17" i="12"/>
  <c r="AA11" i="12"/>
  <c r="AA15" i="12"/>
  <c r="AA19" i="12"/>
  <c r="AC16" i="12"/>
  <c r="AB14" i="12"/>
  <c r="AA12" i="12"/>
  <c r="AC13" i="12"/>
  <c r="AB11" i="12"/>
  <c r="AB19" i="12"/>
  <c r="AA17" i="12"/>
  <c r="AB10" i="12"/>
  <c r="R23" i="12"/>
  <c r="R27" i="12"/>
  <c r="R31" i="12"/>
  <c r="Q25" i="12"/>
  <c r="Q29" i="12"/>
  <c r="P23" i="12"/>
  <c r="P27" i="12"/>
  <c r="P31" i="12"/>
  <c r="R25" i="12"/>
  <c r="Q27" i="12"/>
  <c r="P29" i="12"/>
  <c r="R26" i="12"/>
  <c r="Q28" i="12"/>
  <c r="P30" i="12"/>
  <c r="R24" i="12"/>
  <c r="R28" i="12"/>
  <c r="R32" i="12"/>
  <c r="Q26" i="12"/>
  <c r="Q30" i="12"/>
  <c r="P24" i="12"/>
  <c r="P28" i="12"/>
  <c r="P32" i="12"/>
  <c r="R29" i="12"/>
  <c r="Q31" i="12"/>
  <c r="P25" i="12"/>
  <c r="R30" i="12"/>
  <c r="Q24" i="12"/>
  <c r="P26" i="12"/>
  <c r="Q23" i="12"/>
  <c r="Q32" i="12"/>
  <c r="AV4" i="1"/>
  <c r="AV20" i="1"/>
  <c r="AV36" i="1"/>
  <c r="AV52" i="1"/>
  <c r="AV44" i="3"/>
  <c r="AV14" i="2"/>
  <c r="AV47" i="2"/>
  <c r="AV51" i="2"/>
  <c r="AV28" i="3"/>
  <c r="AV22" i="2"/>
  <c r="AV51" i="3"/>
  <c r="AV19" i="3"/>
  <c r="AV25" i="4"/>
  <c r="AV40" i="3"/>
  <c r="AV8" i="3"/>
  <c r="AV50" i="2"/>
  <c r="AV26" i="2"/>
  <c r="AV41" i="2"/>
  <c r="AV9" i="2"/>
  <c r="AV23" i="3"/>
  <c r="AV33" i="4"/>
  <c r="AV32" i="2"/>
  <c r="AV16" i="2"/>
  <c r="AV50" i="3"/>
  <c r="AV34" i="3"/>
  <c r="AV18" i="3"/>
  <c r="AV52" i="4"/>
  <c r="AV36" i="4"/>
  <c r="AV20" i="4"/>
  <c r="AV4" i="4"/>
  <c r="AV27" i="2"/>
  <c r="AV11" i="2"/>
  <c r="AV45" i="3"/>
  <c r="AV29" i="3"/>
  <c r="AV13" i="3"/>
  <c r="AV47" i="4"/>
  <c r="AV31" i="4"/>
  <c r="AV15" i="4"/>
  <c r="AV50" i="4"/>
  <c r="AV34" i="4"/>
  <c r="AV18" i="4"/>
  <c r="AV9" i="1"/>
  <c r="AV25" i="1"/>
  <c r="AV10" i="1"/>
  <c r="AV18" i="1"/>
  <c r="AV26" i="1"/>
  <c r="AV34" i="1"/>
  <c r="AV46" i="1"/>
  <c r="AV6" i="1"/>
  <c r="AV14" i="1"/>
  <c r="AV22" i="1"/>
  <c r="AV30" i="1"/>
  <c r="AV42" i="1"/>
  <c r="AV50" i="1"/>
  <c r="AV38" i="1"/>
  <c r="AV7" i="1"/>
  <c r="AV23" i="1"/>
  <c r="AV39" i="1"/>
  <c r="AV11" i="1"/>
  <c r="AV27" i="1"/>
  <c r="AV43" i="1"/>
  <c r="AV35" i="1"/>
  <c r="AV15" i="1"/>
  <c r="AV31" i="1"/>
  <c r="AV47" i="1"/>
  <c r="AV3" i="1"/>
  <c r="AV19" i="1"/>
  <c r="AV51" i="1"/>
  <c r="AV8" i="1"/>
  <c r="AV24" i="1"/>
  <c r="AV40" i="1"/>
  <c r="AV52" i="2"/>
  <c r="AV36" i="3"/>
  <c r="AV21" i="2"/>
  <c r="AV43" i="2"/>
  <c r="AV13" i="4"/>
  <c r="AV6" i="2"/>
  <c r="AV43" i="3"/>
  <c r="AV11" i="3"/>
  <c r="AV9" i="4"/>
  <c r="AV32" i="3"/>
  <c r="AV37" i="4"/>
  <c r="AV46" i="2"/>
  <c r="AV10" i="2"/>
  <c r="AV33" i="2"/>
  <c r="AV47" i="3"/>
  <c r="AV15" i="3"/>
  <c r="AV17" i="4"/>
  <c r="AV28" i="2"/>
  <c r="AV12" i="2"/>
  <c r="AV46" i="3"/>
  <c r="AV30" i="3"/>
  <c r="AV14" i="3"/>
  <c r="AV48" i="4"/>
  <c r="AV32" i="4"/>
  <c r="AV16" i="4"/>
  <c r="AV39" i="2"/>
  <c r="AV23" i="2"/>
  <c r="AV7" i="2"/>
  <c r="AV41" i="3"/>
  <c r="AV25" i="3"/>
  <c r="AV9" i="3"/>
  <c r="AV43" i="4"/>
  <c r="AV27" i="4"/>
  <c r="AV11" i="4"/>
  <c r="AV46" i="4"/>
  <c r="AV30" i="4"/>
  <c r="AV14" i="4"/>
  <c r="AV13" i="1"/>
  <c r="AV29" i="1"/>
  <c r="AV45" i="1"/>
  <c r="AU23" i="1"/>
  <c r="AU32" i="1"/>
  <c r="AF29" i="1"/>
  <c r="AU43" i="1"/>
  <c r="AF35" i="1"/>
  <c r="AF12" i="1"/>
  <c r="AF47" i="1"/>
  <c r="AU28" i="1"/>
  <c r="AF11" i="1"/>
  <c r="AU40" i="1"/>
  <c r="AF15" i="1"/>
  <c r="AF42" i="1"/>
  <c r="AU5" i="1"/>
  <c r="AF23" i="1"/>
  <c r="AF25" i="1"/>
  <c r="AF8" i="1"/>
  <c r="AF18" i="1"/>
  <c r="AU22" i="1"/>
  <c r="AU26" i="1"/>
  <c r="AF13" i="1"/>
  <c r="AF6" i="1"/>
  <c r="AU19" i="1"/>
  <c r="AF49" i="1"/>
  <c r="AU33" i="1"/>
  <c r="AF37" i="1"/>
  <c r="AU16" i="1"/>
  <c r="AF20" i="1"/>
  <c r="AF50" i="1"/>
  <c r="AF17" i="1"/>
  <c r="AU27" i="1"/>
  <c r="AU51" i="1"/>
  <c r="AU4" i="4"/>
  <c r="AU8" i="4"/>
  <c r="AU12" i="4"/>
  <c r="AU16" i="4"/>
  <c r="AU20" i="4"/>
  <c r="AU24" i="4"/>
  <c r="AU28" i="4"/>
  <c r="AU32" i="4"/>
  <c r="AU36" i="4"/>
  <c r="AU40" i="4"/>
  <c r="AU44" i="4"/>
  <c r="AU48" i="4"/>
  <c r="AU52" i="4"/>
  <c r="AU4" i="3"/>
  <c r="AU8" i="3"/>
  <c r="AU12" i="3"/>
  <c r="AU16" i="3"/>
  <c r="AU20" i="3"/>
  <c r="AU24" i="3"/>
  <c r="AU28" i="3"/>
  <c r="AU32" i="3"/>
  <c r="AU36" i="3"/>
  <c r="AU40" i="3"/>
  <c r="AU44" i="3"/>
  <c r="AU48" i="3"/>
  <c r="AU52" i="3"/>
  <c r="AU4" i="2"/>
  <c r="AU8" i="2"/>
  <c r="AU12" i="2"/>
  <c r="AU16" i="2"/>
  <c r="AU20" i="2"/>
  <c r="AU24" i="2"/>
  <c r="AU5" i="4"/>
  <c r="AU9" i="4"/>
  <c r="AU13" i="4"/>
  <c r="AU17" i="4"/>
  <c r="AU21" i="4"/>
  <c r="AU25" i="4"/>
  <c r="AU29" i="4"/>
  <c r="AU33" i="4"/>
  <c r="AU37" i="4"/>
  <c r="AU41" i="4"/>
  <c r="AU45" i="4"/>
  <c r="AU49" i="4"/>
  <c r="AU5" i="3"/>
  <c r="AU9" i="3"/>
  <c r="AU13" i="3"/>
  <c r="AU17" i="3"/>
  <c r="AU21" i="3"/>
  <c r="AU25" i="3"/>
  <c r="AU29" i="3"/>
  <c r="AU33" i="3"/>
  <c r="AU37" i="3"/>
  <c r="AU41" i="3"/>
  <c r="AU45" i="3"/>
  <c r="AU49" i="3"/>
  <c r="AU5" i="2"/>
  <c r="AU9" i="2"/>
  <c r="AU13" i="2"/>
  <c r="AU17" i="2"/>
  <c r="AU21" i="2"/>
  <c r="AU25" i="2"/>
  <c r="AU29" i="2"/>
  <c r="AU33" i="2"/>
  <c r="AU37" i="2"/>
  <c r="AU41" i="2"/>
  <c r="AU45" i="2"/>
  <c r="AU49" i="2"/>
  <c r="AU6" i="4"/>
  <c r="AU14" i="4"/>
  <c r="AU22" i="4"/>
  <c r="AU30" i="4"/>
  <c r="AU38" i="4"/>
  <c r="AU46" i="4"/>
  <c r="AU3" i="3"/>
  <c r="AU11" i="3"/>
  <c r="AU19" i="3"/>
  <c r="AU27" i="3"/>
  <c r="AU35" i="3"/>
  <c r="AU43" i="3"/>
  <c r="AU51" i="3"/>
  <c r="AU10" i="2"/>
  <c r="AU18" i="2"/>
  <c r="AU26" i="2"/>
  <c r="AU31" i="2"/>
  <c r="AU36" i="2"/>
  <c r="AU42" i="2"/>
  <c r="AU47" i="2"/>
  <c r="AU52" i="2"/>
  <c r="AU6" i="3"/>
  <c r="AU22" i="3"/>
  <c r="AU38" i="3"/>
  <c r="AU3" i="2"/>
  <c r="AU11" i="2"/>
  <c r="AU7" i="4"/>
  <c r="AU15" i="4"/>
  <c r="AU23" i="4"/>
  <c r="AU31" i="4"/>
  <c r="AU39" i="4"/>
  <c r="AU47" i="4"/>
  <c r="AU14" i="3"/>
  <c r="AU30" i="3"/>
  <c r="AU46" i="3"/>
  <c r="AU10" i="4"/>
  <c r="AU26" i="4"/>
  <c r="AU42" i="4"/>
  <c r="AU10" i="3"/>
  <c r="AU26" i="3"/>
  <c r="AU42" i="3"/>
  <c r="AU7" i="2"/>
  <c r="AU22" i="2"/>
  <c r="AU30" i="2"/>
  <c r="AU38" i="2"/>
  <c r="AU44" i="2"/>
  <c r="AU51" i="2"/>
  <c r="AU34" i="4"/>
  <c r="AU50" i="4"/>
  <c r="AU34" i="3"/>
  <c r="AU50" i="3"/>
  <c r="AU15" i="2"/>
  <c r="AU27" i="2"/>
  <c r="AU34" i="2"/>
  <c r="AU40" i="2"/>
  <c r="AU48" i="2"/>
  <c r="AU3" i="4"/>
  <c r="AU19" i="4"/>
  <c r="AU35" i="4"/>
  <c r="AU51" i="4"/>
  <c r="AU7" i="3"/>
  <c r="AU23" i="3"/>
  <c r="AU39" i="3"/>
  <c r="AU6" i="2"/>
  <c r="AU19" i="2"/>
  <c r="AU28" i="2"/>
  <c r="AU35" i="2"/>
  <c r="AU43" i="2"/>
  <c r="AU50" i="2"/>
  <c r="AU11" i="4"/>
  <c r="AU27" i="4"/>
  <c r="AU43" i="4"/>
  <c r="AU15" i="3"/>
  <c r="AU31" i="3"/>
  <c r="AU47" i="3"/>
  <c r="AU14" i="2"/>
  <c r="AU23" i="2"/>
  <c r="AU32" i="2"/>
  <c r="AU39" i="2"/>
  <c r="AU46" i="2"/>
  <c r="AU18" i="4"/>
  <c r="AU18" i="3"/>
  <c r="AU3" i="1"/>
  <c r="AU45" i="1"/>
  <c r="AU41" i="1"/>
  <c r="AU37" i="1"/>
  <c r="AU12" i="1"/>
  <c r="AU20" i="1"/>
  <c r="AF24" i="1"/>
  <c r="AU50" i="1"/>
  <c r="AF30" i="1"/>
  <c r="AF34" i="1"/>
  <c r="AF21" i="1"/>
  <c r="AU47" i="1"/>
  <c r="AU14" i="1"/>
  <c r="AF36" i="1"/>
  <c r="AU15" i="1"/>
  <c r="AF46" i="1"/>
  <c r="AF26" i="1"/>
  <c r="AU9" i="1"/>
  <c r="AU13" i="1"/>
  <c r="AU44" i="1"/>
  <c r="AF48" i="1"/>
  <c r="AU11" i="1"/>
  <c r="AU35" i="1"/>
  <c r="AU10" i="1"/>
  <c r="R11" i="11"/>
  <c r="R15" i="11"/>
  <c r="Q9" i="11"/>
  <c r="Q13" i="11"/>
  <c r="Q17" i="11"/>
  <c r="P11" i="11"/>
  <c r="P15" i="11"/>
  <c r="R13" i="11"/>
  <c r="Q15" i="11"/>
  <c r="P17" i="11"/>
  <c r="Q8" i="11"/>
  <c r="Q12" i="11"/>
  <c r="P10" i="11"/>
  <c r="R8" i="11"/>
  <c r="R12" i="11"/>
  <c r="R16" i="11"/>
  <c r="Q10" i="11"/>
  <c r="Q14" i="11"/>
  <c r="P8" i="11"/>
  <c r="P12" i="11"/>
  <c r="P16" i="11"/>
  <c r="R17" i="11"/>
  <c r="P9" i="11"/>
  <c r="P13" i="11"/>
  <c r="R14" i="11"/>
  <c r="Q16" i="11"/>
  <c r="P14" i="11"/>
  <c r="R9" i="11"/>
  <c r="Q11" i="11"/>
  <c r="R10" i="11"/>
  <c r="AU17" i="1"/>
  <c r="AF45" i="1"/>
  <c r="AU49" i="1"/>
  <c r="AU25" i="1"/>
  <c r="AF16" i="1"/>
  <c r="AU24" i="1"/>
  <c r="AU30" i="1"/>
  <c r="AU21" i="1"/>
  <c r="AF14" i="1"/>
  <c r="AU36" i="1"/>
  <c r="AF7" i="1"/>
  <c r="AU38" i="1"/>
  <c r="AF38" i="1"/>
  <c r="AU46" i="1"/>
  <c r="AF4" i="1"/>
  <c r="AU48" i="1"/>
  <c r="AF52" i="1"/>
  <c r="AF4" i="4"/>
  <c r="AF8" i="4"/>
  <c r="AF12" i="4"/>
  <c r="AF16" i="4"/>
  <c r="AF20" i="4"/>
  <c r="AF24" i="4"/>
  <c r="AF28" i="4"/>
  <c r="AF32" i="4"/>
  <c r="AF36" i="4"/>
  <c r="AF40" i="4"/>
  <c r="AF44" i="4"/>
  <c r="AF48" i="4"/>
  <c r="AF52" i="4"/>
  <c r="AF4" i="3"/>
  <c r="AF8" i="3"/>
  <c r="AF12" i="3"/>
  <c r="AF16" i="3"/>
  <c r="AF20" i="3"/>
  <c r="AF24" i="3"/>
  <c r="AF28" i="3"/>
  <c r="AF32" i="3"/>
  <c r="AF36" i="3"/>
  <c r="AF40" i="3"/>
  <c r="AF44" i="3"/>
  <c r="AF48" i="3"/>
  <c r="AF52" i="3"/>
  <c r="AF5" i="4"/>
  <c r="AF9" i="4"/>
  <c r="AF13" i="4"/>
  <c r="AF17" i="4"/>
  <c r="AF21" i="4"/>
  <c r="AF25" i="4"/>
  <c r="AF29" i="4"/>
  <c r="AF33" i="4"/>
  <c r="AF37" i="4"/>
  <c r="AF41" i="4"/>
  <c r="AF45" i="4"/>
  <c r="AF49" i="4"/>
  <c r="AF5" i="3"/>
  <c r="AF9" i="3"/>
  <c r="AF13" i="3"/>
  <c r="AF17" i="3"/>
  <c r="AF21" i="3"/>
  <c r="AF25" i="3"/>
  <c r="AF29" i="3"/>
  <c r="AF33" i="3"/>
  <c r="AF37" i="3"/>
  <c r="AF41" i="3"/>
  <c r="AF45" i="3"/>
  <c r="AF49" i="3"/>
  <c r="AF5" i="2"/>
  <c r="AF7" i="4"/>
  <c r="AF15" i="4"/>
  <c r="AF23" i="4"/>
  <c r="AF31" i="4"/>
  <c r="AF39" i="4"/>
  <c r="AF47" i="4"/>
  <c r="AF6" i="3"/>
  <c r="AF14" i="3"/>
  <c r="AF22" i="3"/>
  <c r="AF30" i="3"/>
  <c r="AF38" i="3"/>
  <c r="AF46" i="3"/>
  <c r="AF4" i="2"/>
  <c r="AF9" i="2"/>
  <c r="AF13" i="2"/>
  <c r="AF17" i="2"/>
  <c r="AF21" i="2"/>
  <c r="AF25" i="2"/>
  <c r="AF29" i="2"/>
  <c r="AF33" i="2"/>
  <c r="AF37" i="2"/>
  <c r="AF41" i="2"/>
  <c r="AF45" i="2"/>
  <c r="AF49" i="2"/>
  <c r="AF7" i="3"/>
  <c r="AF15" i="3"/>
  <c r="AF31" i="3"/>
  <c r="AF39" i="3"/>
  <c r="AF47" i="3"/>
  <c r="AF10" i="4"/>
  <c r="AF18" i="4"/>
  <c r="AF26" i="4"/>
  <c r="AF34" i="4"/>
  <c r="AF42" i="4"/>
  <c r="AF50" i="4"/>
  <c r="AF23" i="3"/>
  <c r="AF11" i="4"/>
  <c r="AF27" i="4"/>
  <c r="AF43" i="4"/>
  <c r="AF18" i="3"/>
  <c r="AF34" i="3"/>
  <c r="AF50" i="3"/>
  <c r="AF6" i="2"/>
  <c r="AF11" i="2"/>
  <c r="AF16" i="2"/>
  <c r="AF22" i="2"/>
  <c r="AF27" i="2"/>
  <c r="AF32" i="2"/>
  <c r="AF38" i="2"/>
  <c r="AF43" i="2"/>
  <c r="AF48" i="2"/>
  <c r="AF19" i="4"/>
  <c r="AF35" i="4"/>
  <c r="AF10" i="3"/>
  <c r="AF42" i="3"/>
  <c r="AF8" i="2"/>
  <c r="AF14" i="2"/>
  <c r="AF19" i="2"/>
  <c r="AF24" i="2"/>
  <c r="AF30" i="2"/>
  <c r="AF35" i="2"/>
  <c r="AF40" i="2"/>
  <c r="AF46" i="2"/>
  <c r="AF51" i="2"/>
  <c r="AF6" i="4"/>
  <c r="AF22" i="4"/>
  <c r="AF38" i="4"/>
  <c r="AF11" i="3"/>
  <c r="AF27" i="3"/>
  <c r="AF43" i="3"/>
  <c r="AF3" i="2"/>
  <c r="AF10" i="2"/>
  <c r="AF15" i="2"/>
  <c r="AF20" i="2"/>
  <c r="AF26" i="2"/>
  <c r="AF31" i="2"/>
  <c r="AF36" i="2"/>
  <c r="AF42" i="2"/>
  <c r="AF47" i="2"/>
  <c r="AF52" i="2"/>
  <c r="AF14" i="4"/>
  <c r="AF30" i="4"/>
  <c r="AF46" i="4"/>
  <c r="AF3" i="3"/>
  <c r="AF19" i="3"/>
  <c r="AF35" i="3"/>
  <c r="AF51" i="3"/>
  <c r="AF7" i="2"/>
  <c r="AF12" i="2"/>
  <c r="AF18" i="2"/>
  <c r="AF23" i="2"/>
  <c r="AF28" i="2"/>
  <c r="AF34" i="2"/>
  <c r="AF39" i="2"/>
  <c r="AF44" i="2"/>
  <c r="AF50" i="2"/>
  <c r="AF3" i="4"/>
  <c r="AF51" i="4"/>
  <c r="AF26" i="3"/>
  <c r="AF3" i="1"/>
  <c r="AF44" i="1"/>
  <c r="AF41" i="1"/>
  <c r="AU29" i="1"/>
  <c r="AF33" i="1"/>
  <c r="AU8" i="1"/>
  <c r="AU34" i="1"/>
  <c r="AF27" i="1"/>
  <c r="AU31" i="1"/>
  <c r="AF31" i="1"/>
  <c r="AU18" i="1"/>
  <c r="AF22" i="1"/>
  <c r="AF40" i="1"/>
  <c r="AU7" i="1"/>
  <c r="AU42" i="1"/>
  <c r="AF5" i="1"/>
  <c r="AF9" i="1"/>
  <c r="AU4" i="1"/>
  <c r="AF39" i="1"/>
  <c r="AU39" i="1"/>
  <c r="AF43" i="1"/>
  <c r="AF51" i="1"/>
  <c r="AU52" i="1"/>
  <c r="AU6" i="1"/>
  <c r="AF10" i="1"/>
  <c r="AF32" i="1"/>
  <c r="AF19" i="1"/>
  <c r="AT45" i="1"/>
  <c r="Q65" i="10"/>
  <c r="R64" i="10"/>
  <c r="R71" i="10"/>
  <c r="Q72" i="10"/>
  <c r="R66" i="10"/>
  <c r="Q71" i="10"/>
  <c r="R65" i="10"/>
  <c r="R72" i="10"/>
  <c r="P71" i="10"/>
  <c r="Q66" i="10"/>
  <c r="R67" i="10"/>
  <c r="Q68" i="10"/>
  <c r="P73" i="10"/>
  <c r="Q67" i="10"/>
  <c r="Q70" i="10"/>
  <c r="AT11" i="1"/>
  <c r="P64" i="10"/>
  <c r="P70" i="10"/>
  <c r="Q64" i="10"/>
  <c r="P69" i="10"/>
  <c r="R73" i="10"/>
  <c r="Q69" i="10"/>
  <c r="AE20" i="1"/>
  <c r="AE50" i="1"/>
  <c r="AT18" i="1"/>
  <c r="AT22" i="1"/>
  <c r="AE49" i="2"/>
  <c r="AE14" i="3"/>
  <c r="AE32" i="2"/>
  <c r="AE31" i="3"/>
  <c r="AE41" i="2"/>
  <c r="AE51" i="3"/>
  <c r="AE50" i="2"/>
  <c r="AE8" i="2"/>
  <c r="AE5" i="4"/>
  <c r="AE23" i="2"/>
  <c r="AE39" i="3"/>
  <c r="AE41" i="4"/>
  <c r="AE32" i="3"/>
  <c r="AE11" i="3"/>
  <c r="AE49" i="3"/>
  <c r="AE17" i="3"/>
  <c r="AE35" i="4"/>
  <c r="AE3" i="4"/>
  <c r="AE24" i="4"/>
  <c r="AE10" i="1"/>
  <c r="AE12" i="1"/>
  <c r="AT34" i="1"/>
  <c r="AE21" i="1"/>
  <c r="AE47" i="1"/>
  <c r="AE14" i="1"/>
  <c r="AE18" i="1"/>
  <c r="AE15" i="1"/>
  <c r="AE42" i="1"/>
  <c r="AE9" i="1"/>
  <c r="AE48" i="1"/>
  <c r="AE28" i="1"/>
  <c r="AE6" i="1"/>
  <c r="AE19" i="1"/>
  <c r="AE17" i="2"/>
  <c r="AE28" i="2"/>
  <c r="AE22" i="2"/>
  <c r="AE3" i="3"/>
  <c r="AE48" i="2"/>
  <c r="AE26" i="2"/>
  <c r="AE5" i="2"/>
  <c r="AE20" i="3"/>
  <c r="AE13" i="4"/>
  <c r="AE36" i="2"/>
  <c r="AE14" i="2"/>
  <c r="AE40" i="3"/>
  <c r="AE42" i="4"/>
  <c r="AE45" i="2"/>
  <c r="AE24" i="2"/>
  <c r="AE47" i="3"/>
  <c r="AE4" i="3"/>
  <c r="AE51" i="2"/>
  <c r="AE35" i="2"/>
  <c r="AE19" i="2"/>
  <c r="AE3" i="2"/>
  <c r="AE34" i="3"/>
  <c r="AE12" i="3"/>
  <c r="AE33" i="4"/>
  <c r="AE48" i="3"/>
  <c r="AE27" i="3"/>
  <c r="AE6" i="3"/>
  <c r="AE22" i="4"/>
  <c r="AE45" i="3"/>
  <c r="AE29" i="3"/>
  <c r="AE13" i="3"/>
  <c r="AE47" i="4"/>
  <c r="AE31" i="4"/>
  <c r="AE15" i="4"/>
  <c r="AE52" i="4"/>
  <c r="AE36" i="4"/>
  <c r="AE20" i="4"/>
  <c r="AE4" i="4"/>
  <c r="AE17" i="1"/>
  <c r="AT21" i="1"/>
  <c r="AE31" i="1"/>
  <c r="AE5" i="1"/>
  <c r="AE39" i="1"/>
  <c r="AT43" i="1"/>
  <c r="AE38" i="2"/>
  <c r="AE44" i="2"/>
  <c r="AE18" i="4"/>
  <c r="AE10" i="2"/>
  <c r="AE29" i="4"/>
  <c r="AE20" i="2"/>
  <c r="AE8" i="3"/>
  <c r="AE29" i="2"/>
  <c r="AE15" i="3"/>
  <c r="AE39" i="2"/>
  <c r="AE7" i="2"/>
  <c r="AE18" i="3"/>
  <c r="AE9" i="4"/>
  <c r="AE30" i="4"/>
  <c r="AE33" i="3"/>
  <c r="AE51" i="4"/>
  <c r="AE19" i="4"/>
  <c r="AE40" i="4"/>
  <c r="AE8" i="4"/>
  <c r="AE51" i="1"/>
  <c r="AE41" i="1"/>
  <c r="AE45" i="1"/>
  <c r="AE25" i="1"/>
  <c r="AE29" i="1"/>
  <c r="AT8" i="1"/>
  <c r="AE16" i="1"/>
  <c r="AE24" i="1"/>
  <c r="AT50" i="1"/>
  <c r="AE30" i="1"/>
  <c r="AE36" i="1"/>
  <c r="AT15" i="1"/>
  <c r="AE38" i="1"/>
  <c r="AE46" i="1"/>
  <c r="AE13" i="1"/>
  <c r="AE4" i="1"/>
  <c r="AE44" i="1"/>
  <c r="AE52" i="1"/>
  <c r="AE35" i="1"/>
  <c r="AE32" i="1"/>
  <c r="AE23" i="1"/>
  <c r="AE33" i="2"/>
  <c r="AE6" i="2"/>
  <c r="AE35" i="3"/>
  <c r="AE50" i="4"/>
  <c r="AE42" i="2"/>
  <c r="AE21" i="2"/>
  <c r="AE52" i="3"/>
  <c r="AE10" i="3"/>
  <c r="AE52" i="2"/>
  <c r="AE30" i="2"/>
  <c r="AE9" i="2"/>
  <c r="AE30" i="3"/>
  <c r="AE26" i="4"/>
  <c r="AE40" i="2"/>
  <c r="AE18" i="2"/>
  <c r="AE36" i="3"/>
  <c r="AE37" i="4"/>
  <c r="AE47" i="2"/>
  <c r="AE31" i="2"/>
  <c r="AE15" i="2"/>
  <c r="AE50" i="3"/>
  <c r="AE28" i="3"/>
  <c r="AE7" i="3"/>
  <c r="AE25" i="4"/>
  <c r="AE43" i="3"/>
  <c r="AE22" i="3"/>
  <c r="AE46" i="4"/>
  <c r="AE14" i="4"/>
  <c r="AE41" i="3"/>
  <c r="AE25" i="3"/>
  <c r="AE9" i="3"/>
  <c r="AE43" i="4"/>
  <c r="AE27" i="4"/>
  <c r="AE11" i="4"/>
  <c r="AE48" i="4"/>
  <c r="AE32" i="4"/>
  <c r="AT35" i="1"/>
  <c r="P67" i="10"/>
  <c r="AT25" i="1"/>
  <c r="AT37" i="1"/>
  <c r="AT16" i="1"/>
  <c r="AT47" i="1"/>
  <c r="AT27" i="1"/>
  <c r="AT40" i="1"/>
  <c r="AT23" i="1"/>
  <c r="AT51" i="1"/>
  <c r="AT28" i="1"/>
  <c r="AT6" i="1"/>
  <c r="AT10" i="1"/>
  <c r="AT19" i="1"/>
  <c r="AT12" i="1"/>
  <c r="AT24" i="1"/>
  <c r="AT7" i="1"/>
  <c r="AT46" i="1"/>
  <c r="AT9" i="1"/>
  <c r="AT13" i="1"/>
  <c r="AT39" i="1"/>
  <c r="AT32" i="1"/>
  <c r="AT41" i="1"/>
  <c r="AT49" i="1"/>
  <c r="AT29" i="1"/>
  <c r="AT33" i="1"/>
  <c r="AT20" i="1"/>
  <c r="AT30" i="1"/>
  <c r="AT17" i="1"/>
  <c r="AT31" i="1"/>
  <c r="AT14" i="1"/>
  <c r="AT38" i="1"/>
  <c r="AT42" i="1"/>
  <c r="AT26" i="1"/>
  <c r="AT5" i="1"/>
  <c r="AT4" i="1"/>
  <c r="AC26" i="10"/>
  <c r="AC30" i="10"/>
  <c r="AC34" i="10"/>
  <c r="AB28" i="10"/>
  <c r="AB32" i="10"/>
  <c r="AA26" i="10"/>
  <c r="AA30" i="10"/>
  <c r="AA34" i="10"/>
  <c r="AC27" i="10"/>
  <c r="AC31" i="10"/>
  <c r="AB25" i="10"/>
  <c r="AB29" i="10"/>
  <c r="AB33" i="10"/>
  <c r="AA27" i="10"/>
  <c r="AA31" i="10"/>
  <c r="AC28" i="10"/>
  <c r="AC32" i="10"/>
  <c r="AB26" i="10"/>
  <c r="AB30" i="10"/>
  <c r="AB34" i="10"/>
  <c r="AA28" i="10"/>
  <c r="AA32" i="10"/>
  <c r="AC29" i="10"/>
  <c r="AA25" i="10"/>
  <c r="AC33" i="10"/>
  <c r="AB27" i="10"/>
  <c r="AC25" i="10"/>
  <c r="AB31" i="10"/>
  <c r="AA29" i="10"/>
  <c r="AA33" i="10"/>
  <c r="R28" i="10"/>
  <c r="R32" i="10"/>
  <c r="Q26" i="10"/>
  <c r="Q30" i="10"/>
  <c r="Q34" i="10"/>
  <c r="P28" i="10"/>
  <c r="P32" i="10"/>
  <c r="R25" i="10"/>
  <c r="R29" i="10"/>
  <c r="R33" i="10"/>
  <c r="Q27" i="10"/>
  <c r="Q31" i="10"/>
  <c r="P25" i="10"/>
  <c r="P29" i="10"/>
  <c r="P33" i="10"/>
  <c r="R31" i="10"/>
  <c r="Q29" i="10"/>
  <c r="P27" i="10"/>
  <c r="R26" i="10"/>
  <c r="R34" i="10"/>
  <c r="P30" i="10"/>
  <c r="Q25" i="10"/>
  <c r="Q33" i="10"/>
  <c r="P31" i="10"/>
  <c r="R30" i="10"/>
  <c r="Q28" i="10"/>
  <c r="P26" i="10"/>
  <c r="P34" i="10"/>
  <c r="Q32" i="10"/>
  <c r="R27" i="10"/>
  <c r="AC15" i="10"/>
  <c r="AC19" i="10"/>
  <c r="AB13" i="10"/>
  <c r="AB17" i="10"/>
  <c r="AB21" i="10"/>
  <c r="AA15" i="10"/>
  <c r="AA19" i="10"/>
  <c r="AC12" i="10"/>
  <c r="AC16" i="10"/>
  <c r="AC20" i="10"/>
  <c r="AB14" i="10"/>
  <c r="AB18" i="10"/>
  <c r="AA12" i="10"/>
  <c r="AA16" i="10"/>
  <c r="AA20" i="10"/>
  <c r="AC13" i="10"/>
  <c r="AC17" i="10"/>
  <c r="AC21" i="10"/>
  <c r="AB15" i="10"/>
  <c r="AB19" i="10"/>
  <c r="AA13" i="10"/>
  <c r="AA17" i="10"/>
  <c r="AA21" i="10"/>
  <c r="AC18" i="10"/>
  <c r="AA14" i="10"/>
  <c r="AB12" i="10"/>
  <c r="AA18" i="10"/>
  <c r="AB16" i="10"/>
  <c r="AC14" i="10"/>
  <c r="AB20" i="10"/>
  <c r="R39" i="10"/>
  <c r="R43" i="10"/>
  <c r="R47" i="10"/>
  <c r="Q41" i="10"/>
  <c r="Q45" i="10"/>
  <c r="P39" i="10"/>
  <c r="P43" i="10"/>
  <c r="P47" i="10"/>
  <c r="R40" i="10"/>
  <c r="R44" i="10"/>
  <c r="Q38" i="10"/>
  <c r="Q42" i="10"/>
  <c r="Q46" i="10"/>
  <c r="P40" i="10"/>
  <c r="P44" i="10"/>
  <c r="R42" i="10"/>
  <c r="Q40" i="10"/>
  <c r="P38" i="10"/>
  <c r="P46" i="10"/>
  <c r="R45" i="10"/>
  <c r="Q43" i="10"/>
  <c r="R38" i="10"/>
  <c r="R46" i="10"/>
  <c r="Q44" i="10"/>
  <c r="P42" i="10"/>
  <c r="R41" i="10"/>
  <c r="Q39" i="10"/>
  <c r="Q47" i="10"/>
  <c r="P45" i="10"/>
  <c r="P41" i="10"/>
  <c r="AC41" i="10"/>
  <c r="AC45" i="10"/>
  <c r="AB39" i="10"/>
  <c r="AB43" i="10"/>
  <c r="AB47" i="10"/>
  <c r="AA41" i="10"/>
  <c r="AA45" i="10"/>
  <c r="AC38" i="10"/>
  <c r="AC42" i="10"/>
  <c r="AC46" i="10"/>
  <c r="AB40" i="10"/>
  <c r="AB44" i="10"/>
  <c r="AA38" i="10"/>
  <c r="AA42" i="10"/>
  <c r="AA46" i="10"/>
  <c r="AC39" i="10"/>
  <c r="AC43" i="10"/>
  <c r="AC47" i="10"/>
  <c r="AB41" i="10"/>
  <c r="AB45" i="10"/>
  <c r="AA39" i="10"/>
  <c r="AA43" i="10"/>
  <c r="AA47" i="10"/>
  <c r="AC40" i="10"/>
  <c r="AB46" i="10"/>
  <c r="AB38" i="10"/>
  <c r="AA44" i="10"/>
  <c r="AB42" i="10"/>
  <c r="AC44" i="10"/>
  <c r="AA40" i="10"/>
  <c r="AC52" i="10"/>
  <c r="AC56" i="10"/>
  <c r="AC60" i="10"/>
  <c r="AB54" i="10"/>
  <c r="AB58" i="10"/>
  <c r="AA52" i="10"/>
  <c r="AA56" i="10"/>
  <c r="AA60" i="10"/>
  <c r="AC53" i="10"/>
  <c r="AC57" i="10"/>
  <c r="AB51" i="10"/>
  <c r="AB55" i="10"/>
  <c r="AB59" i="10"/>
  <c r="AA53" i="10"/>
  <c r="AA57" i="10"/>
  <c r="AC54" i="10"/>
  <c r="AC58" i="10"/>
  <c r="AB52" i="10"/>
  <c r="AB56" i="10"/>
  <c r="AB60" i="10"/>
  <c r="AA54" i="10"/>
  <c r="AA58" i="10"/>
  <c r="AC51" i="10"/>
  <c r="AB57" i="10"/>
  <c r="AC59" i="10"/>
  <c r="AA55" i="10"/>
  <c r="AB53" i="10"/>
  <c r="AA59" i="10"/>
  <c r="AC55" i="10"/>
  <c r="AA51" i="10"/>
  <c r="R13" i="10"/>
  <c r="R17" i="10"/>
  <c r="R21" i="10"/>
  <c r="Q15" i="10"/>
  <c r="Q19" i="10"/>
  <c r="P13" i="10"/>
  <c r="P17" i="10"/>
  <c r="P21" i="10"/>
  <c r="R14" i="10"/>
  <c r="R18" i="10"/>
  <c r="Q12" i="10"/>
  <c r="Q16" i="10"/>
  <c r="Q20" i="10"/>
  <c r="P14" i="10"/>
  <c r="P18" i="10"/>
  <c r="R12" i="10"/>
  <c r="R20" i="10"/>
  <c r="Q18" i="10"/>
  <c r="P16" i="10"/>
  <c r="R15" i="10"/>
  <c r="Q21" i="10"/>
  <c r="P19" i="10"/>
  <c r="R16" i="10"/>
  <c r="Q14" i="10"/>
  <c r="P12" i="10"/>
  <c r="P20" i="10"/>
  <c r="R19" i="10"/>
  <c r="Q17" i="10"/>
  <c r="P15" i="10"/>
  <c r="Q13" i="10"/>
  <c r="AT6" i="4"/>
  <c r="AT10" i="4"/>
  <c r="AT14" i="4"/>
  <c r="AT18" i="4"/>
  <c r="AT22" i="4"/>
  <c r="AT26" i="4"/>
  <c r="AT30" i="4"/>
  <c r="AT34" i="4"/>
  <c r="AT38" i="4"/>
  <c r="AT42" i="4"/>
  <c r="AT46" i="4"/>
  <c r="AT50" i="4"/>
  <c r="AT5" i="4"/>
  <c r="AT9" i="4"/>
  <c r="AT13" i="4"/>
  <c r="AT17" i="4"/>
  <c r="AT21" i="4"/>
  <c r="AT25" i="4"/>
  <c r="AT29" i="4"/>
  <c r="AT33" i="4"/>
  <c r="AT37" i="4"/>
  <c r="AT41" i="4"/>
  <c r="AT45" i="4"/>
  <c r="AT49" i="4"/>
  <c r="AT3" i="3"/>
  <c r="AT7" i="3"/>
  <c r="AT11" i="3"/>
  <c r="AT15" i="3"/>
  <c r="AT19" i="3"/>
  <c r="AT23" i="3"/>
  <c r="AT27" i="3"/>
  <c r="AT31" i="3"/>
  <c r="AT35" i="3"/>
  <c r="AT39" i="3"/>
  <c r="AT43" i="3"/>
  <c r="AT47" i="3"/>
  <c r="AT51" i="3"/>
  <c r="AT5" i="2"/>
  <c r="AT9" i="2"/>
  <c r="AT13" i="2"/>
  <c r="AT17" i="2"/>
  <c r="AT21" i="2"/>
  <c r="AT25" i="2"/>
  <c r="AT29" i="2"/>
  <c r="AT33" i="2"/>
  <c r="AT37" i="2"/>
  <c r="AT41" i="2"/>
  <c r="AT8" i="4"/>
  <c r="AT16" i="4"/>
  <c r="AT24" i="4"/>
  <c r="AT32" i="4"/>
  <c r="AT40" i="4"/>
  <c r="AT48" i="4"/>
  <c r="AT8" i="3"/>
  <c r="AT13" i="3"/>
  <c r="AT18" i="3"/>
  <c r="AT24" i="3"/>
  <c r="AT29" i="3"/>
  <c r="AT34" i="3"/>
  <c r="AT40" i="3"/>
  <c r="AT45" i="3"/>
  <c r="AT50" i="3"/>
  <c r="AT3" i="4"/>
  <c r="AT11" i="4"/>
  <c r="AT19" i="4"/>
  <c r="AT27" i="4"/>
  <c r="AT35" i="4"/>
  <c r="AT43" i="4"/>
  <c r="AT51" i="4"/>
  <c r="AT4" i="3"/>
  <c r="AT9" i="3"/>
  <c r="AT14" i="3"/>
  <c r="AT20" i="3"/>
  <c r="AT25" i="3"/>
  <c r="AT30" i="3"/>
  <c r="AT36" i="3"/>
  <c r="AT41" i="3"/>
  <c r="AT46" i="3"/>
  <c r="AT52" i="3"/>
  <c r="AT3" i="2"/>
  <c r="AT8" i="2"/>
  <c r="AT14" i="2"/>
  <c r="AT19" i="2"/>
  <c r="AT24" i="2"/>
  <c r="AT30" i="2"/>
  <c r="AT35" i="2"/>
  <c r="AT40" i="2"/>
  <c r="AT45" i="2"/>
  <c r="AT49" i="2"/>
  <c r="AT4" i="4"/>
  <c r="AT12" i="4"/>
  <c r="AT20" i="4"/>
  <c r="AT23" i="4"/>
  <c r="AT39" i="4"/>
  <c r="AT12" i="3"/>
  <c r="AT22" i="3"/>
  <c r="AT33" i="3"/>
  <c r="AT44" i="3"/>
  <c r="AT6" i="2"/>
  <c r="AT12" i="2"/>
  <c r="AT20" i="2"/>
  <c r="AT27" i="2"/>
  <c r="AT34" i="2"/>
  <c r="AT42" i="2"/>
  <c r="AT47" i="2"/>
  <c r="AT52" i="2"/>
  <c r="AT28" i="4"/>
  <c r="AT44" i="4"/>
  <c r="AT5" i="3"/>
  <c r="AT16" i="3"/>
  <c r="AT26" i="3"/>
  <c r="AT37" i="3"/>
  <c r="AT48" i="3"/>
  <c r="AT7" i="2"/>
  <c r="AT15" i="2"/>
  <c r="AT22" i="2"/>
  <c r="AT28" i="2"/>
  <c r="AT36" i="2"/>
  <c r="AT43" i="2"/>
  <c r="AT48" i="2"/>
  <c r="AT7" i="4"/>
  <c r="AT31" i="4"/>
  <c r="AT47" i="4"/>
  <c r="AT6" i="3"/>
  <c r="AT17" i="3"/>
  <c r="AT28" i="3"/>
  <c r="AT38" i="3"/>
  <c r="AT49" i="3"/>
  <c r="AT10" i="2"/>
  <c r="AT16" i="2"/>
  <c r="AT23" i="2"/>
  <c r="AT31" i="2"/>
  <c r="AT38" i="2"/>
  <c r="AT44" i="2"/>
  <c r="AT50" i="2"/>
  <c r="AT15" i="4"/>
  <c r="AT36" i="4"/>
  <c r="AT52" i="4"/>
  <c r="AT10" i="3"/>
  <c r="AT21" i="3"/>
  <c r="AT32" i="3"/>
  <c r="AT42" i="3"/>
  <c r="AT26" i="2"/>
  <c r="AT51" i="2"/>
  <c r="AT4" i="2"/>
  <c r="AT32" i="2"/>
  <c r="AT11" i="2"/>
  <c r="AT39" i="2"/>
  <c r="AT18" i="2"/>
  <c r="AT46" i="2"/>
  <c r="AT44" i="1"/>
  <c r="AT3" i="1"/>
  <c r="AC67" i="10"/>
  <c r="AC71" i="10"/>
  <c r="AB65" i="10"/>
  <c r="AB69" i="10"/>
  <c r="AB73" i="10"/>
  <c r="AA67" i="10"/>
  <c r="AA71" i="10"/>
  <c r="AC64" i="10"/>
  <c r="AC68" i="10"/>
  <c r="AC72" i="10"/>
  <c r="AB66" i="10"/>
  <c r="AB70" i="10"/>
  <c r="AA64" i="10"/>
  <c r="AA68" i="10"/>
  <c r="AA72" i="10"/>
  <c r="AC65" i="10"/>
  <c r="AC69" i="10"/>
  <c r="AC73" i="10"/>
  <c r="AB67" i="10"/>
  <c r="AB71" i="10"/>
  <c r="AA65" i="10"/>
  <c r="AA69" i="10"/>
  <c r="AA73" i="10"/>
  <c r="AB68" i="10"/>
  <c r="AC70" i="10"/>
  <c r="AA66" i="10"/>
  <c r="AB64" i="10"/>
  <c r="AA70" i="10"/>
  <c r="AC66" i="10"/>
  <c r="AB72" i="10"/>
  <c r="AE27" i="1"/>
  <c r="AE3" i="1"/>
  <c r="AD25" i="1"/>
  <c r="AD51" i="1"/>
  <c r="AD45" i="1"/>
  <c r="AS8" i="1"/>
  <c r="AS31" i="1"/>
  <c r="AS28" i="1"/>
  <c r="AD10" i="1"/>
  <c r="AS4" i="1"/>
  <c r="AD39" i="1"/>
  <c r="AS44" i="1"/>
  <c r="AD50" i="1"/>
  <c r="AD47" i="1"/>
  <c r="AD14" i="1"/>
  <c r="AD36" i="1"/>
  <c r="AD15" i="1"/>
  <c r="AD48" i="1"/>
  <c r="AD52" i="1"/>
  <c r="AD29" i="1"/>
  <c r="AD49" i="1"/>
  <c r="AS45" i="1"/>
  <c r="AS29" i="1"/>
  <c r="AD8" i="1"/>
  <c r="AD12" i="1"/>
  <c r="AD24" i="1"/>
  <c r="AS27" i="1"/>
  <c r="AD18" i="1"/>
  <c r="AD40" i="1"/>
  <c r="AD5" i="1"/>
  <c r="AD4" i="1"/>
  <c r="AD44" i="1"/>
  <c r="AD28" i="1"/>
  <c r="AD11" i="1"/>
  <c r="AD6" i="1"/>
  <c r="AD32" i="1"/>
  <c r="AD23" i="1"/>
  <c r="AD41" i="1"/>
  <c r="AD33" i="1"/>
  <c r="AD20" i="1"/>
  <c r="AD30" i="1"/>
  <c r="AD31" i="1"/>
  <c r="AD26" i="1"/>
  <c r="AD43" i="1"/>
  <c r="AS30" i="1"/>
  <c r="AS49" i="1"/>
  <c r="AD16" i="1"/>
  <c r="AS20" i="1"/>
  <c r="AD34" i="1"/>
  <c r="AS21" i="1"/>
  <c r="AD27" i="1"/>
  <c r="AD22" i="1"/>
  <c r="AD7" i="1"/>
  <c r="AS15" i="1"/>
  <c r="AD38" i="1"/>
  <c r="AD42" i="1"/>
  <c r="AD46" i="1"/>
  <c r="AS39" i="1"/>
  <c r="AS51" i="1"/>
  <c r="AS48" i="1"/>
  <c r="AS52" i="1"/>
  <c r="AD35" i="1"/>
  <c r="AD19" i="1"/>
  <c r="AS4" i="4"/>
  <c r="AS35" i="2"/>
  <c r="AS38" i="2"/>
  <c r="AS29" i="2"/>
  <c r="AS41" i="4"/>
  <c r="AS44" i="4"/>
  <c r="AS39" i="2"/>
  <c r="AS46" i="3"/>
  <c r="AS27" i="3"/>
  <c r="AS9" i="4"/>
  <c r="AS12" i="4"/>
  <c r="AS18" i="1"/>
  <c r="AS40" i="2"/>
  <c r="AS31" i="4"/>
  <c r="AS14" i="4"/>
  <c r="AS4" i="2"/>
  <c r="AS34" i="3"/>
  <c r="AS47" i="3"/>
  <c r="AS34" i="4"/>
  <c r="AS25" i="3"/>
  <c r="AS24" i="3"/>
  <c r="AS42" i="1"/>
  <c r="AS27" i="2"/>
  <c r="AS5" i="2"/>
  <c r="AS52" i="2"/>
  <c r="AS11" i="2"/>
  <c r="AS42" i="4"/>
  <c r="AS25" i="2"/>
  <c r="AS22" i="3"/>
  <c r="AS7" i="4"/>
  <c r="AS49" i="2"/>
  <c r="AS13" i="2"/>
  <c r="AS3" i="3"/>
  <c r="AS45" i="3"/>
  <c r="AS13" i="3"/>
  <c r="AS29" i="4"/>
  <c r="AS24" i="2"/>
  <c r="AS44" i="3"/>
  <c r="AS12" i="3"/>
  <c r="AS32" i="4"/>
  <c r="P55" i="9"/>
  <c r="P50" i="9"/>
  <c r="P53" i="9"/>
  <c r="R57" i="9"/>
  <c r="Q57" i="9"/>
  <c r="Q56" i="9"/>
  <c r="P52" i="9"/>
  <c r="R56" i="9"/>
  <c r="AS41" i="1"/>
  <c r="AS16" i="1"/>
  <c r="AS47" i="1"/>
  <c r="AS7" i="1"/>
  <c r="AS50" i="1"/>
  <c r="AS9" i="1"/>
  <c r="AS35" i="1"/>
  <c r="AS38" i="1"/>
  <c r="AS3" i="1"/>
  <c r="AS6" i="2"/>
  <c r="AS50" i="3"/>
  <c r="AS36" i="2"/>
  <c r="AS42" i="3"/>
  <c r="AS18" i="4"/>
  <c r="AS19" i="2"/>
  <c r="AS14" i="3"/>
  <c r="AS39" i="3"/>
  <c r="AS45" i="2"/>
  <c r="AS7" i="2"/>
  <c r="AS46" i="4"/>
  <c r="AS41" i="3"/>
  <c r="AS9" i="3"/>
  <c r="AS25" i="4"/>
  <c r="AS20" i="2"/>
  <c r="AS40" i="3"/>
  <c r="AS8" i="3"/>
  <c r="AS28" i="4"/>
  <c r="Q53" i="9"/>
  <c r="Q52" i="9"/>
  <c r="Q59" i="9"/>
  <c r="R53" i="9"/>
  <c r="R59" i="9"/>
  <c r="R58" i="9"/>
  <c r="Q58" i="9"/>
  <c r="R52" i="9"/>
  <c r="AS14" i="1"/>
  <c r="AS25" i="1"/>
  <c r="AS33" i="1"/>
  <c r="AS17" i="1"/>
  <c r="AS40" i="1"/>
  <c r="AS36" i="1"/>
  <c r="AS5" i="1"/>
  <c r="AS32" i="1"/>
  <c r="AS23" i="1"/>
  <c r="AS10" i="1"/>
  <c r="AS10" i="2"/>
  <c r="AS43" i="2"/>
  <c r="AS19" i="4"/>
  <c r="AS48" i="2"/>
  <c r="AS11" i="4"/>
  <c r="AS42" i="2"/>
  <c r="AS3" i="2"/>
  <c r="AS39" i="4"/>
  <c r="AS50" i="4"/>
  <c r="AS33" i="2"/>
  <c r="AS35" i="3"/>
  <c r="AS22" i="4"/>
  <c r="AS29" i="3"/>
  <c r="AS45" i="4"/>
  <c r="AS13" i="4"/>
  <c r="AS8" i="2"/>
  <c r="AS28" i="3"/>
  <c r="AS48" i="4"/>
  <c r="AS16" i="4"/>
  <c r="R55" i="9"/>
  <c r="R50" i="9"/>
  <c r="Q55" i="9"/>
  <c r="P59" i="9"/>
  <c r="R51" i="9"/>
  <c r="R54" i="9"/>
  <c r="R12" i="9"/>
  <c r="R16" i="9"/>
  <c r="R20" i="9"/>
  <c r="Q14" i="9"/>
  <c r="Q18" i="9"/>
  <c r="P12" i="9"/>
  <c r="P16" i="9"/>
  <c r="P20" i="9"/>
  <c r="R18" i="9"/>
  <c r="Q16" i="9"/>
  <c r="Q20" i="9"/>
  <c r="P18" i="9"/>
  <c r="R11" i="9"/>
  <c r="R19" i="9"/>
  <c r="Q13" i="9"/>
  <c r="P11" i="9"/>
  <c r="P15" i="9"/>
  <c r="R13" i="9"/>
  <c r="R17" i="9"/>
  <c r="Q11" i="9"/>
  <c r="Q15" i="9"/>
  <c r="Q19" i="9"/>
  <c r="P13" i="9"/>
  <c r="P17" i="9"/>
  <c r="R14" i="9"/>
  <c r="Q12" i="9"/>
  <c r="P14" i="9"/>
  <c r="R15" i="9"/>
  <c r="Q17" i="9"/>
  <c r="P19" i="9"/>
  <c r="R39" i="9"/>
  <c r="R43" i="9"/>
  <c r="Q37" i="9"/>
  <c r="Q41" i="9"/>
  <c r="Q45" i="9"/>
  <c r="P39" i="9"/>
  <c r="P43" i="9"/>
  <c r="R37" i="9"/>
  <c r="R41" i="9"/>
  <c r="Q39" i="9"/>
  <c r="Q43" i="9"/>
  <c r="P41" i="9"/>
  <c r="P45" i="9"/>
  <c r="R42" i="9"/>
  <c r="R46" i="9"/>
  <c r="Q44" i="9"/>
  <c r="P42" i="9"/>
  <c r="P46" i="9"/>
  <c r="R40" i="9"/>
  <c r="R44" i="9"/>
  <c r="Q38" i="9"/>
  <c r="Q42" i="9"/>
  <c r="Q46" i="9"/>
  <c r="P40" i="9"/>
  <c r="P44" i="9"/>
  <c r="R45" i="9"/>
  <c r="P37" i="9"/>
  <c r="R38" i="9"/>
  <c r="Q40" i="9"/>
  <c r="P38" i="9"/>
  <c r="AS34" i="1"/>
  <c r="AS47" i="2"/>
  <c r="AS3" i="4"/>
  <c r="AS27" i="4"/>
  <c r="AS26" i="2"/>
  <c r="AS18" i="3"/>
  <c r="AS21" i="2"/>
  <c r="AS17" i="2"/>
  <c r="AS32" i="2"/>
  <c r="AS10" i="3"/>
  <c r="AS31" i="3"/>
  <c r="AS50" i="2"/>
  <c r="AS34" i="2"/>
  <c r="AS14" i="2"/>
  <c r="AS38" i="3"/>
  <c r="AS6" i="3"/>
  <c r="AS23" i="4"/>
  <c r="AS23" i="3"/>
  <c r="AS26" i="4"/>
  <c r="AS41" i="2"/>
  <c r="AS23" i="2"/>
  <c r="AS51" i="3"/>
  <c r="AS19" i="3"/>
  <c r="AS38" i="4"/>
  <c r="AS6" i="4"/>
  <c r="AS37" i="3"/>
  <c r="AS21" i="3"/>
  <c r="AS5" i="3"/>
  <c r="AS37" i="4"/>
  <c r="AS21" i="4"/>
  <c r="AS5" i="4"/>
  <c r="AS16" i="2"/>
  <c r="AS52" i="3"/>
  <c r="AS36" i="3"/>
  <c r="AS20" i="3"/>
  <c r="AS4" i="3"/>
  <c r="AS40" i="4"/>
  <c r="AS24" i="4"/>
  <c r="AS8" i="4"/>
  <c r="AC37" i="9"/>
  <c r="AC41" i="9"/>
  <c r="AC45" i="9"/>
  <c r="AB39" i="9"/>
  <c r="AB43" i="9"/>
  <c r="AA37" i="9"/>
  <c r="AA41" i="9"/>
  <c r="AA45" i="9"/>
  <c r="AC39" i="9"/>
  <c r="AC43" i="9"/>
  <c r="AB41" i="9"/>
  <c r="AA39" i="9"/>
  <c r="AC44" i="9"/>
  <c r="AB42" i="9"/>
  <c r="AB46" i="9"/>
  <c r="AA44" i="9"/>
  <c r="AC38" i="9"/>
  <c r="AC42" i="9"/>
  <c r="AC46" i="9"/>
  <c r="AB40" i="9"/>
  <c r="AB44" i="9"/>
  <c r="AA38" i="9"/>
  <c r="AA42" i="9"/>
  <c r="AA46" i="9"/>
  <c r="AB37" i="9"/>
  <c r="AB45" i="9"/>
  <c r="AA43" i="9"/>
  <c r="AC40" i="9"/>
  <c r="AB38" i="9"/>
  <c r="AA40" i="9"/>
  <c r="AC13" i="9"/>
  <c r="AC17" i="9"/>
  <c r="AB11" i="9"/>
  <c r="AB15" i="9"/>
  <c r="AB19" i="9"/>
  <c r="AA13" i="9"/>
  <c r="AA17" i="9"/>
  <c r="AC15" i="9"/>
  <c r="AC19" i="9"/>
  <c r="AB17" i="9"/>
  <c r="AA11" i="9"/>
  <c r="AA19" i="9"/>
  <c r="AC12" i="9"/>
  <c r="AC20" i="9"/>
  <c r="AB14" i="9"/>
  <c r="AB18" i="9"/>
  <c r="AA16" i="9"/>
  <c r="AA20" i="9"/>
  <c r="AC14" i="9"/>
  <c r="AC18" i="9"/>
  <c r="AB12" i="9"/>
  <c r="AB16" i="9"/>
  <c r="AB20" i="9"/>
  <c r="AA14" i="9"/>
  <c r="AA18" i="9"/>
  <c r="AC11" i="9"/>
  <c r="AB13" i="9"/>
  <c r="AA15" i="9"/>
  <c r="AC16" i="9"/>
  <c r="AA12" i="9"/>
  <c r="AC50" i="9"/>
  <c r="AC54" i="9"/>
  <c r="AC58" i="9"/>
  <c r="AB52" i="9"/>
  <c r="AB56" i="9"/>
  <c r="AA50" i="9"/>
  <c r="AA54" i="9"/>
  <c r="AA58" i="9"/>
  <c r="AC52" i="9"/>
  <c r="AB50" i="9"/>
  <c r="AB58" i="9"/>
  <c r="AA56" i="9"/>
  <c r="AC57" i="9"/>
  <c r="AB51" i="9"/>
  <c r="AB59" i="9"/>
  <c r="AA57" i="9"/>
  <c r="AC51" i="9"/>
  <c r="AC55" i="9"/>
  <c r="AC59" i="9"/>
  <c r="AB53" i="9"/>
  <c r="AB57" i="9"/>
  <c r="AA51" i="9"/>
  <c r="AA55" i="9"/>
  <c r="AA59" i="9"/>
  <c r="AC56" i="9"/>
  <c r="AB54" i="9"/>
  <c r="AA52" i="9"/>
  <c r="AC53" i="9"/>
  <c r="AB55" i="9"/>
  <c r="AA53" i="9"/>
  <c r="AD4" i="4"/>
  <c r="AD8" i="4"/>
  <c r="AD12" i="4"/>
  <c r="AD16" i="4"/>
  <c r="AD20" i="4"/>
  <c r="AD24" i="4"/>
  <c r="AD28" i="4"/>
  <c r="AD32" i="4"/>
  <c r="AD36" i="4"/>
  <c r="AD40" i="4"/>
  <c r="AD44" i="4"/>
  <c r="AD48" i="4"/>
  <c r="AD52" i="4"/>
  <c r="AD4" i="3"/>
  <c r="AD8" i="3"/>
  <c r="AD12" i="3"/>
  <c r="AD16" i="3"/>
  <c r="AD20" i="3"/>
  <c r="AD24" i="3"/>
  <c r="AD28" i="3"/>
  <c r="AD32" i="3"/>
  <c r="AD36" i="3"/>
  <c r="AD40" i="3"/>
  <c r="AD44" i="3"/>
  <c r="AD48" i="3"/>
  <c r="AD52" i="3"/>
  <c r="AD5" i="4"/>
  <c r="AD9" i="4"/>
  <c r="AD13" i="4"/>
  <c r="AD17" i="4"/>
  <c r="AD21" i="4"/>
  <c r="AD25" i="4"/>
  <c r="AD29" i="4"/>
  <c r="AD33" i="4"/>
  <c r="AD37" i="4"/>
  <c r="AD41" i="4"/>
  <c r="AD45" i="4"/>
  <c r="AD49" i="4"/>
  <c r="AD5" i="3"/>
  <c r="AD9" i="3"/>
  <c r="AD13" i="3"/>
  <c r="AD17" i="3"/>
  <c r="AD21" i="3"/>
  <c r="AD25" i="3"/>
  <c r="AD29" i="3"/>
  <c r="AD33" i="3"/>
  <c r="AD37" i="3"/>
  <c r="AD41" i="3"/>
  <c r="AD45" i="3"/>
  <c r="AD49" i="3"/>
  <c r="AD7" i="4"/>
  <c r="AD15" i="4"/>
  <c r="AD23" i="4"/>
  <c r="AD31" i="4"/>
  <c r="AD39" i="4"/>
  <c r="AD47" i="4"/>
  <c r="AD6" i="3"/>
  <c r="AD14" i="3"/>
  <c r="AD22" i="3"/>
  <c r="AD30" i="3"/>
  <c r="AD38" i="3"/>
  <c r="AD46" i="3"/>
  <c r="AD5" i="2"/>
  <c r="AD9" i="2"/>
  <c r="AD13" i="2"/>
  <c r="AD17" i="2"/>
  <c r="AD21" i="2"/>
  <c r="AD25" i="2"/>
  <c r="AD29" i="2"/>
  <c r="AD33" i="2"/>
  <c r="AD37" i="2"/>
  <c r="AD41" i="2"/>
  <c r="AD45" i="2"/>
  <c r="AD49" i="2"/>
  <c r="AD11" i="4"/>
  <c r="AD19" i="4"/>
  <c r="AD35" i="4"/>
  <c r="AD51" i="4"/>
  <c r="AD18" i="3"/>
  <c r="AD34" i="3"/>
  <c r="AD42" i="3"/>
  <c r="AD10" i="4"/>
  <c r="AD18" i="4"/>
  <c r="AD26" i="4"/>
  <c r="AD34" i="4"/>
  <c r="AD42" i="4"/>
  <c r="AD50" i="4"/>
  <c r="AD7" i="3"/>
  <c r="AD15" i="3"/>
  <c r="AD23" i="3"/>
  <c r="AD31" i="3"/>
  <c r="AD39" i="3"/>
  <c r="AD47" i="3"/>
  <c r="AD6" i="2"/>
  <c r="AD10" i="2"/>
  <c r="AD14" i="2"/>
  <c r="AD18" i="2"/>
  <c r="AD22" i="2"/>
  <c r="AD26" i="2"/>
  <c r="AD30" i="2"/>
  <c r="AD34" i="2"/>
  <c r="AD38" i="2"/>
  <c r="AD42" i="2"/>
  <c r="AD46" i="2"/>
  <c r="AD50" i="2"/>
  <c r="AD3" i="4"/>
  <c r="AD27" i="4"/>
  <c r="AD43" i="4"/>
  <c r="AD10" i="3"/>
  <c r="AD26" i="3"/>
  <c r="AD6" i="4"/>
  <c r="AD38" i="4"/>
  <c r="AD3" i="3"/>
  <c r="AD35" i="3"/>
  <c r="AD8" i="2"/>
  <c r="AD16" i="2"/>
  <c r="AD24" i="2"/>
  <c r="AD32" i="2"/>
  <c r="AD40" i="2"/>
  <c r="AD48" i="2"/>
  <c r="AD50" i="3"/>
  <c r="AD4" i="2"/>
  <c r="AD28" i="2"/>
  <c r="AD52" i="2"/>
  <c r="AD27" i="3"/>
  <c r="AD7" i="2"/>
  <c r="AD31" i="2"/>
  <c r="AD47" i="2"/>
  <c r="AD14" i="4"/>
  <c r="AD46" i="4"/>
  <c r="AD11" i="3"/>
  <c r="AD43" i="3"/>
  <c r="AD3" i="2"/>
  <c r="AD11" i="2"/>
  <c r="AD19" i="2"/>
  <c r="AD27" i="2"/>
  <c r="AD35" i="2"/>
  <c r="AD43" i="2"/>
  <c r="AD51" i="2"/>
  <c r="AD22" i="4"/>
  <c r="AD19" i="3"/>
  <c r="AD12" i="2"/>
  <c r="AD20" i="2"/>
  <c r="AD36" i="2"/>
  <c r="AD44" i="2"/>
  <c r="AD30" i="4"/>
  <c r="AD51" i="3"/>
  <c r="AD15" i="2"/>
  <c r="AD23" i="2"/>
  <c r="AD39" i="2"/>
  <c r="AD13" i="1"/>
  <c r="AD9" i="1"/>
  <c r="AD37" i="1"/>
  <c r="AD3" i="1"/>
  <c r="AD21" i="1"/>
  <c r="AS26" i="1"/>
  <c r="AS31" i="2"/>
  <c r="AS44" i="2"/>
  <c r="AS51" i="2"/>
  <c r="AS15" i="2"/>
  <c r="AS51" i="4"/>
  <c r="AS35" i="4"/>
  <c r="AS26" i="3"/>
  <c r="AS22" i="2"/>
  <c r="AS43" i="4"/>
  <c r="AS7" i="3"/>
  <c r="AS46" i="2"/>
  <c r="AS30" i="2"/>
  <c r="AS9" i="2"/>
  <c r="AS30" i="3"/>
  <c r="AS47" i="4"/>
  <c r="AS15" i="4"/>
  <c r="AS15" i="3"/>
  <c r="AS10" i="4"/>
  <c r="AS37" i="2"/>
  <c r="AS18" i="2"/>
  <c r="AS43" i="3"/>
  <c r="AS11" i="3"/>
  <c r="AS30" i="4"/>
  <c r="AS49" i="3"/>
  <c r="AS33" i="3"/>
  <c r="AS17" i="3"/>
  <c r="AS49" i="4"/>
  <c r="AS33" i="4"/>
  <c r="AS17" i="4"/>
  <c r="AS28" i="2"/>
  <c r="AS12" i="2"/>
  <c r="AS48" i="3"/>
  <c r="AS32" i="3"/>
  <c r="AS16" i="3"/>
  <c r="AS52" i="4"/>
  <c r="AS36" i="4"/>
  <c r="AS20" i="4"/>
  <c r="AC35" i="1"/>
  <c r="AC10" i="1"/>
  <c r="AC29" i="1"/>
  <c r="AC34" i="1"/>
  <c r="AC12" i="1"/>
  <c r="AC42" i="1"/>
  <c r="AC41" i="1"/>
  <c r="AC24" i="1"/>
  <c r="AC9" i="1"/>
  <c r="AC19" i="1"/>
  <c r="AC23" i="1"/>
  <c r="R10" i="8"/>
  <c r="R14" i="8"/>
  <c r="R18" i="8"/>
  <c r="Q12" i="8"/>
  <c r="Q16" i="8"/>
  <c r="P10" i="8"/>
  <c r="P14" i="8"/>
  <c r="P18" i="8"/>
  <c r="R16" i="8"/>
  <c r="Q10" i="8"/>
  <c r="P16" i="8"/>
  <c r="R9" i="8"/>
  <c r="R13" i="8"/>
  <c r="Q15" i="8"/>
  <c r="P13" i="8"/>
  <c r="P17" i="8"/>
  <c r="R11" i="8"/>
  <c r="R15" i="8"/>
  <c r="Q9" i="8"/>
  <c r="Q13" i="8"/>
  <c r="Q17" i="8"/>
  <c r="P11" i="8"/>
  <c r="P15" i="8"/>
  <c r="R12" i="8"/>
  <c r="Q14" i="8"/>
  <c r="P12" i="8"/>
  <c r="R17" i="8"/>
  <c r="Q11" i="8"/>
  <c r="P9" i="8"/>
  <c r="Q18" i="8"/>
  <c r="O13" i="8"/>
  <c r="O9" i="8"/>
  <c r="AC4" i="4"/>
  <c r="AC8" i="4"/>
  <c r="AC12" i="4"/>
  <c r="AC16" i="4"/>
  <c r="AC20" i="4"/>
  <c r="AC24" i="4"/>
  <c r="AC28" i="4"/>
  <c r="AC32" i="4"/>
  <c r="AC36" i="4"/>
  <c r="AC40" i="4"/>
  <c r="AC44" i="4"/>
  <c r="AC48" i="4"/>
  <c r="AC52" i="4"/>
  <c r="AC6" i="3"/>
  <c r="AC10" i="3"/>
  <c r="AC14" i="3"/>
  <c r="AC18" i="3"/>
  <c r="AC22" i="3"/>
  <c r="AC26" i="3"/>
  <c r="AC30" i="3"/>
  <c r="AC34" i="3"/>
  <c r="AC38" i="3"/>
  <c r="AC42" i="3"/>
  <c r="AC46" i="3"/>
  <c r="AC50" i="3"/>
  <c r="AC5" i="4"/>
  <c r="AC9" i="4"/>
  <c r="AC13" i="4"/>
  <c r="AC17" i="4"/>
  <c r="AC21" i="4"/>
  <c r="AC25" i="4"/>
  <c r="AC29" i="4"/>
  <c r="AC33" i="4"/>
  <c r="AC37" i="4"/>
  <c r="AC41" i="4"/>
  <c r="AC45" i="4"/>
  <c r="AC49" i="4"/>
  <c r="AC3" i="3"/>
  <c r="AC7" i="3"/>
  <c r="AC11" i="3"/>
  <c r="AC15" i="3"/>
  <c r="AC19" i="3"/>
  <c r="AC23" i="3"/>
  <c r="AC27" i="3"/>
  <c r="AC31" i="3"/>
  <c r="AC35" i="3"/>
  <c r="AC39" i="3"/>
  <c r="AC43" i="3"/>
  <c r="AC47" i="3"/>
  <c r="AC51" i="3"/>
  <c r="AC6" i="4"/>
  <c r="AC10" i="4"/>
  <c r="AC14" i="4"/>
  <c r="AC18" i="4"/>
  <c r="AC22" i="4"/>
  <c r="AC26" i="4"/>
  <c r="AC30" i="4"/>
  <c r="AC34" i="4"/>
  <c r="AC38" i="4"/>
  <c r="AC42" i="4"/>
  <c r="AC46" i="4"/>
  <c r="AC50" i="4"/>
  <c r="AC4" i="3"/>
  <c r="AC8" i="3"/>
  <c r="AC12" i="3"/>
  <c r="AC16" i="3"/>
  <c r="AC20" i="3"/>
  <c r="AC24" i="3"/>
  <c r="AC28" i="3"/>
  <c r="AC32" i="3"/>
  <c r="AC36" i="3"/>
  <c r="AC40" i="3"/>
  <c r="AC44" i="3"/>
  <c r="AC48" i="3"/>
  <c r="AC52" i="3"/>
  <c r="AC15" i="4"/>
  <c r="AC31" i="4"/>
  <c r="AC47" i="4"/>
  <c r="AC9" i="3"/>
  <c r="AC25" i="3"/>
  <c r="AC41" i="3"/>
  <c r="AC6" i="2"/>
  <c r="AC10" i="2"/>
  <c r="AC14" i="2"/>
  <c r="AC18" i="2"/>
  <c r="AC22" i="2"/>
  <c r="AC26" i="2"/>
  <c r="AC30" i="2"/>
  <c r="AC34" i="2"/>
  <c r="AC38" i="2"/>
  <c r="AC42" i="2"/>
  <c r="AC46" i="2"/>
  <c r="AC50" i="2"/>
  <c r="AC15" i="2"/>
  <c r="AC35" i="2"/>
  <c r="AC47" i="2"/>
  <c r="AC49" i="3"/>
  <c r="AC8" i="2"/>
  <c r="AC16" i="2"/>
  <c r="AC24" i="2"/>
  <c r="AC32" i="2"/>
  <c r="AC40" i="2"/>
  <c r="AC48" i="2"/>
  <c r="AC27" i="4"/>
  <c r="AC5" i="3"/>
  <c r="AC37" i="3"/>
  <c r="AC3" i="4"/>
  <c r="AC19" i="4"/>
  <c r="AC35" i="4"/>
  <c r="AC51" i="4"/>
  <c r="AC13" i="3"/>
  <c r="AC29" i="3"/>
  <c r="AC45" i="3"/>
  <c r="AC3" i="2"/>
  <c r="AC7" i="2"/>
  <c r="AC11" i="2"/>
  <c r="AC19" i="2"/>
  <c r="AC23" i="2"/>
  <c r="AC27" i="2"/>
  <c r="AC31" i="2"/>
  <c r="AC39" i="2"/>
  <c r="AC43" i="2"/>
  <c r="AC51" i="2"/>
  <c r="AC33" i="3"/>
  <c r="AC4" i="2"/>
  <c r="AC12" i="2"/>
  <c r="AC20" i="2"/>
  <c r="AC28" i="2"/>
  <c r="AC36" i="2"/>
  <c r="AC44" i="2"/>
  <c r="AC52" i="2"/>
  <c r="AC11" i="4"/>
  <c r="AC43" i="4"/>
  <c r="AC21" i="3"/>
  <c r="AC7" i="4"/>
  <c r="AC23" i="4"/>
  <c r="AC39" i="4"/>
  <c r="AC17" i="3"/>
  <c r="AC5" i="2"/>
  <c r="AC21" i="2"/>
  <c r="AC37" i="2"/>
  <c r="AC9" i="2"/>
  <c r="AC25" i="2"/>
  <c r="AC41" i="2"/>
  <c r="AC13" i="2"/>
  <c r="AC29" i="2"/>
  <c r="AC45" i="2"/>
  <c r="AC17" i="2"/>
  <c r="AC49" i="2"/>
  <c r="AC33" i="2"/>
  <c r="AC3" i="1"/>
  <c r="AC17" i="1"/>
  <c r="AC49" i="1"/>
  <c r="AC18" i="1"/>
  <c r="AC50" i="1"/>
  <c r="AC28" i="1"/>
  <c r="AC14" i="1"/>
  <c r="AC45" i="1"/>
  <c r="AC6" i="1"/>
  <c r="AC25" i="8"/>
  <c r="AC29" i="8"/>
  <c r="AB23" i="8"/>
  <c r="AB27" i="8"/>
  <c r="AB31" i="8"/>
  <c r="AA25" i="8"/>
  <c r="AA29" i="8"/>
  <c r="AC27" i="8"/>
  <c r="AB25" i="8"/>
  <c r="AA23" i="8"/>
  <c r="AC24" i="8"/>
  <c r="AB26" i="8"/>
  <c r="AB30" i="8"/>
  <c r="AA28" i="8"/>
  <c r="AC22" i="8"/>
  <c r="AC26" i="8"/>
  <c r="AC30" i="8"/>
  <c r="AB24" i="8"/>
  <c r="AB28" i="8"/>
  <c r="AA22" i="8"/>
  <c r="AA26" i="8"/>
  <c r="AA30" i="8"/>
  <c r="AC23" i="8"/>
  <c r="AB29" i="8"/>
  <c r="AA27" i="8"/>
  <c r="AA31" i="8"/>
  <c r="AC28" i="8"/>
  <c r="AB22" i="8"/>
  <c r="AA24" i="8"/>
  <c r="AC31" i="8"/>
  <c r="AC25" i="1"/>
  <c r="AC20" i="1"/>
  <c r="AC47" i="1"/>
  <c r="AC27" i="1"/>
  <c r="AC31" i="1"/>
  <c r="AC40" i="1"/>
  <c r="AC26" i="1"/>
  <c r="AC4" i="1"/>
  <c r="AC39" i="1"/>
  <c r="AC44" i="1"/>
  <c r="AC48" i="1"/>
  <c r="AC11" i="1"/>
  <c r="AC32" i="1"/>
  <c r="AC22" i="1"/>
  <c r="AC30" i="1"/>
  <c r="AC5" i="1"/>
  <c r="AC33" i="1"/>
  <c r="AC8" i="1"/>
  <c r="AC16" i="1"/>
  <c r="AC36" i="1"/>
  <c r="AC7" i="1"/>
  <c r="AC15" i="1"/>
  <c r="AC43" i="1"/>
  <c r="AC51" i="1"/>
  <c r="AC52" i="1"/>
  <c r="AC38" i="1"/>
  <c r="AC46" i="1"/>
  <c r="AC13" i="1"/>
  <c r="AC21" i="1"/>
  <c r="AQ12" i="4"/>
  <c r="AQ29" i="4"/>
  <c r="AQ14" i="1"/>
  <c r="AQ25" i="4"/>
  <c r="AQ27" i="3"/>
  <c r="AQ10" i="1"/>
  <c r="AQ16" i="2"/>
  <c r="AQ26" i="4"/>
  <c r="AQ3" i="3"/>
  <c r="AQ47" i="1"/>
  <c r="AQ34" i="4"/>
  <c r="AQ18" i="3"/>
  <c r="AQ44" i="3"/>
  <c r="AQ47" i="2"/>
  <c r="AQ34" i="2"/>
  <c r="AQ22" i="4"/>
  <c r="AQ24" i="3"/>
  <c r="AQ5" i="1"/>
  <c r="AQ4" i="1"/>
  <c r="AQ37" i="4"/>
  <c r="AQ48" i="2"/>
  <c r="AQ9" i="2"/>
  <c r="AQ37" i="2"/>
  <c r="AQ15" i="2"/>
  <c r="AQ35" i="4"/>
  <c r="AQ4" i="3"/>
  <c r="AC40" i="7"/>
  <c r="AC43" i="7"/>
  <c r="AQ17" i="2"/>
  <c r="AQ49" i="3"/>
  <c r="AQ21" i="3"/>
  <c r="AQ8" i="2"/>
  <c r="AQ47" i="3"/>
  <c r="AQ15" i="4"/>
  <c r="AQ32" i="4"/>
  <c r="AQ34" i="1"/>
  <c r="AB49" i="1"/>
  <c r="AB33" i="1"/>
  <c r="AQ12" i="1"/>
  <c r="AB12" i="1"/>
  <c r="AB20" i="1"/>
  <c r="AQ31" i="1"/>
  <c r="AB18" i="1"/>
  <c r="AQ7" i="1"/>
  <c r="AB51" i="1"/>
  <c r="AB38" i="1"/>
  <c r="AB26" i="1"/>
  <c r="AQ9" i="1"/>
  <c r="AQ13" i="1"/>
  <c r="AB52" i="1"/>
  <c r="AB28" i="1"/>
  <c r="AQ11" i="1"/>
  <c r="AQ35" i="1"/>
  <c r="AQ32" i="1"/>
  <c r="AQ19" i="1"/>
  <c r="AQ10" i="2"/>
  <c r="AQ52" i="2"/>
  <c r="AQ6" i="2"/>
  <c r="AQ51" i="2"/>
  <c r="AQ38" i="3"/>
  <c r="AQ40" i="2"/>
  <c r="AQ33" i="3"/>
  <c r="AQ50" i="2"/>
  <c r="AQ30" i="2"/>
  <c r="AQ4" i="2"/>
  <c r="AQ5" i="3"/>
  <c r="AQ17" i="4"/>
  <c r="AQ18" i="4"/>
  <c r="AQ29" i="2"/>
  <c r="AQ50" i="3"/>
  <c r="AQ10" i="3"/>
  <c r="AQ6" i="4"/>
  <c r="AQ11" i="2"/>
  <c r="AQ43" i="3"/>
  <c r="AQ19" i="3"/>
  <c r="AQ51" i="4"/>
  <c r="AQ31" i="4"/>
  <c r="AQ7" i="4"/>
  <c r="AQ40" i="3"/>
  <c r="AQ20" i="3"/>
  <c r="AQ48" i="4"/>
  <c r="AQ28" i="4"/>
  <c r="AQ8" i="4"/>
  <c r="AB25" i="1"/>
  <c r="AB24" i="1"/>
  <c r="AB6" i="1"/>
  <c r="AQ50" i="1"/>
  <c r="AB15" i="1"/>
  <c r="AQ45" i="1"/>
  <c r="AQ16" i="1"/>
  <c r="AQ20" i="1"/>
  <c r="AQ24" i="1"/>
  <c r="AB17" i="1"/>
  <c r="AB21" i="1"/>
  <c r="AB23" i="1"/>
  <c r="AQ15" i="1"/>
  <c r="AB42" i="1"/>
  <c r="AQ39" i="1"/>
  <c r="AB44" i="1"/>
  <c r="AQ52" i="1"/>
  <c r="AQ28" i="1"/>
  <c r="AB27" i="1"/>
  <c r="AC45" i="7"/>
  <c r="AQ31" i="2"/>
  <c r="AQ30" i="3"/>
  <c r="AQ44" i="2"/>
  <c r="AQ41" i="3"/>
  <c r="AQ35" i="2"/>
  <c r="AQ22" i="3"/>
  <c r="AQ32" i="2"/>
  <c r="AQ45" i="4"/>
  <c r="AQ46" i="2"/>
  <c r="AQ25" i="2"/>
  <c r="AQ37" i="3"/>
  <c r="AQ49" i="4"/>
  <c r="AQ9" i="4"/>
  <c r="AQ45" i="2"/>
  <c r="AQ24" i="2"/>
  <c r="AQ42" i="3"/>
  <c r="AQ38" i="4"/>
  <c r="AQ27" i="2"/>
  <c r="AQ7" i="2"/>
  <c r="AQ35" i="3"/>
  <c r="AQ15" i="3"/>
  <c r="AQ47" i="4"/>
  <c r="AQ23" i="4"/>
  <c r="AQ3" i="4"/>
  <c r="AQ36" i="3"/>
  <c r="AQ12" i="3"/>
  <c r="AQ44" i="4"/>
  <c r="AQ24" i="4"/>
  <c r="AB5" i="1"/>
  <c r="AB13" i="1"/>
  <c r="AQ41" i="1"/>
  <c r="AQ8" i="1"/>
  <c r="AB30" i="1"/>
  <c r="AQ17" i="1"/>
  <c r="AQ21" i="1"/>
  <c r="AQ40" i="1"/>
  <c r="AQ38" i="1"/>
  <c r="AB4" i="1"/>
  <c r="AQ44" i="1"/>
  <c r="AQ30" i="1"/>
  <c r="AQ26" i="1"/>
  <c r="AQ39" i="2"/>
  <c r="AQ14" i="3"/>
  <c r="AQ36" i="2"/>
  <c r="AQ9" i="3"/>
  <c r="AQ26" i="2"/>
  <c r="AQ6" i="3"/>
  <c r="AQ12" i="2"/>
  <c r="AQ13" i="4"/>
  <c r="AQ42" i="2"/>
  <c r="AQ14" i="2"/>
  <c r="AQ29" i="3"/>
  <c r="AQ41" i="4"/>
  <c r="AQ42" i="4"/>
  <c r="AQ41" i="2"/>
  <c r="AQ18" i="2"/>
  <c r="AQ26" i="3"/>
  <c r="AQ30" i="4"/>
  <c r="AQ23" i="2"/>
  <c r="AQ51" i="3"/>
  <c r="AQ31" i="3"/>
  <c r="AQ11" i="3"/>
  <c r="AQ39" i="4"/>
  <c r="AQ19" i="4"/>
  <c r="AQ52" i="3"/>
  <c r="AQ28" i="3"/>
  <c r="AQ8" i="3"/>
  <c r="AQ40" i="4"/>
  <c r="R24" i="7"/>
  <c r="R28" i="7"/>
  <c r="R32" i="7"/>
  <c r="Q26" i="7"/>
  <c r="Q30" i="7"/>
  <c r="P24" i="7"/>
  <c r="P28" i="7"/>
  <c r="P32" i="7"/>
  <c r="R30" i="7"/>
  <c r="Q28" i="7"/>
  <c r="P26" i="7"/>
  <c r="R23" i="7"/>
  <c r="R31" i="7"/>
  <c r="Q29" i="7"/>
  <c r="P27" i="7"/>
  <c r="P31" i="7"/>
  <c r="R25" i="7"/>
  <c r="R29" i="7"/>
  <c r="Q23" i="7"/>
  <c r="Q27" i="7"/>
  <c r="Q31" i="7"/>
  <c r="P25" i="7"/>
  <c r="P29" i="7"/>
  <c r="R26" i="7"/>
  <c r="Q24" i="7"/>
  <c r="Q32" i="7"/>
  <c r="P30" i="7"/>
  <c r="R27" i="7"/>
  <c r="Q25" i="7"/>
  <c r="P23" i="7"/>
  <c r="AA39" i="7"/>
  <c r="AA43" i="7"/>
  <c r="AC37" i="7"/>
  <c r="AA37" i="7"/>
  <c r="AA38" i="7"/>
  <c r="AA36" i="7"/>
  <c r="AA40" i="7"/>
  <c r="AA44" i="7"/>
  <c r="Z36" i="7"/>
  <c r="AA41" i="7"/>
  <c r="AA45" i="7"/>
  <c r="AA42" i="7"/>
  <c r="AC41" i="7"/>
  <c r="AC42" i="7"/>
  <c r="R11" i="7"/>
  <c r="R15" i="7"/>
  <c r="R19" i="7"/>
  <c r="Q13" i="7"/>
  <c r="Q17" i="7"/>
  <c r="P11" i="7"/>
  <c r="P15" i="7"/>
  <c r="P19" i="7"/>
  <c r="R13" i="7"/>
  <c r="Q11" i="7"/>
  <c r="P13" i="7"/>
  <c r="P17" i="7"/>
  <c r="R10" i="7"/>
  <c r="R12" i="7"/>
  <c r="R16" i="7"/>
  <c r="Q10" i="7"/>
  <c r="Q14" i="7"/>
  <c r="Q18" i="7"/>
  <c r="P12" i="7"/>
  <c r="P16" i="7"/>
  <c r="O10" i="7"/>
  <c r="R17" i="7"/>
  <c r="Q15" i="7"/>
  <c r="Q19" i="7"/>
  <c r="R14" i="7"/>
  <c r="R18" i="7"/>
  <c r="Q12" i="7"/>
  <c r="Q16" i="7"/>
  <c r="P10" i="7"/>
  <c r="P14" i="7"/>
  <c r="P18" i="7"/>
  <c r="AB4" i="4"/>
  <c r="AB8" i="4"/>
  <c r="AB12" i="4"/>
  <c r="AB16" i="4"/>
  <c r="AB20" i="4"/>
  <c r="AB24" i="4"/>
  <c r="AB28" i="4"/>
  <c r="AB32" i="4"/>
  <c r="AB36" i="4"/>
  <c r="AB40" i="4"/>
  <c r="AB44" i="4"/>
  <c r="AB48" i="4"/>
  <c r="AB52" i="4"/>
  <c r="AB3" i="4"/>
  <c r="AB7" i="4"/>
  <c r="AB11" i="4"/>
  <c r="AB15" i="4"/>
  <c r="AB19" i="4"/>
  <c r="AB23" i="4"/>
  <c r="AB27" i="4"/>
  <c r="AB31" i="4"/>
  <c r="AB35" i="4"/>
  <c r="AB39" i="4"/>
  <c r="AB43" i="4"/>
  <c r="AB47" i="4"/>
  <c r="AB51" i="4"/>
  <c r="AB3" i="3"/>
  <c r="AB7" i="3"/>
  <c r="AB11" i="3"/>
  <c r="AB15" i="3"/>
  <c r="AB19" i="3"/>
  <c r="AB23" i="3"/>
  <c r="AB27" i="3"/>
  <c r="AB31" i="3"/>
  <c r="AB35" i="3"/>
  <c r="AB39" i="3"/>
  <c r="AB43" i="3"/>
  <c r="AB47" i="3"/>
  <c r="AB51" i="3"/>
  <c r="AB10" i="4"/>
  <c r="AB18" i="4"/>
  <c r="AB26" i="4"/>
  <c r="AB34" i="4"/>
  <c r="AB42" i="4"/>
  <c r="AB50" i="4"/>
  <c r="AB5" i="3"/>
  <c r="AB10" i="3"/>
  <c r="AB16" i="3"/>
  <c r="AB21" i="3"/>
  <c r="AB26" i="3"/>
  <c r="AB32" i="3"/>
  <c r="AB37" i="3"/>
  <c r="AB42" i="3"/>
  <c r="AB48" i="3"/>
  <c r="AB5" i="2"/>
  <c r="AB9" i="2"/>
  <c r="AB13" i="2"/>
  <c r="AB17" i="2"/>
  <c r="AB21" i="2"/>
  <c r="AB25" i="2"/>
  <c r="AB29" i="2"/>
  <c r="AB33" i="2"/>
  <c r="AB37" i="2"/>
  <c r="AB41" i="2"/>
  <c r="AB45" i="2"/>
  <c r="AB49" i="2"/>
  <c r="AB6" i="4"/>
  <c r="AB22" i="4"/>
  <c r="AB46" i="4"/>
  <c r="AB5" i="4"/>
  <c r="AB13" i="4"/>
  <c r="AB21" i="4"/>
  <c r="AB29" i="4"/>
  <c r="AB37" i="4"/>
  <c r="AB45" i="4"/>
  <c r="AB6" i="3"/>
  <c r="AB12" i="3"/>
  <c r="AB17" i="3"/>
  <c r="AB22" i="3"/>
  <c r="AB28" i="3"/>
  <c r="AB33" i="3"/>
  <c r="AB38" i="3"/>
  <c r="AB44" i="3"/>
  <c r="AB49" i="3"/>
  <c r="AB6" i="2"/>
  <c r="AB10" i="2"/>
  <c r="AB14" i="2"/>
  <c r="AB18" i="2"/>
  <c r="AB22" i="2"/>
  <c r="AB26" i="2"/>
  <c r="AB30" i="2"/>
  <c r="AB34" i="2"/>
  <c r="AB38" i="2"/>
  <c r="AB42" i="2"/>
  <c r="AB46" i="2"/>
  <c r="AB50" i="2"/>
  <c r="AB14" i="4"/>
  <c r="AB30" i="4"/>
  <c r="AB38" i="4"/>
  <c r="AB17" i="4"/>
  <c r="AB49" i="4"/>
  <c r="AB8" i="3"/>
  <c r="AB18" i="3"/>
  <c r="AB29" i="3"/>
  <c r="AB40" i="3"/>
  <c r="AB50" i="3"/>
  <c r="AB8" i="2"/>
  <c r="AB16" i="2"/>
  <c r="AB24" i="2"/>
  <c r="AB32" i="2"/>
  <c r="AB40" i="2"/>
  <c r="AB48" i="2"/>
  <c r="AB25" i="4"/>
  <c r="AB9" i="3"/>
  <c r="AB20" i="3"/>
  <c r="AB30" i="3"/>
  <c r="AB41" i="3"/>
  <c r="AB52" i="3"/>
  <c r="AB3" i="2"/>
  <c r="AB11" i="2"/>
  <c r="AB19" i="2"/>
  <c r="AB27" i="2"/>
  <c r="AB35" i="2"/>
  <c r="AB43" i="2"/>
  <c r="AB51" i="2"/>
  <c r="AB33" i="4"/>
  <c r="AB13" i="3"/>
  <c r="AB24" i="3"/>
  <c r="AB34" i="3"/>
  <c r="AB45" i="3"/>
  <c r="AB4" i="2"/>
  <c r="AB12" i="2"/>
  <c r="AB20" i="2"/>
  <c r="AB28" i="2"/>
  <c r="AB36" i="2"/>
  <c r="AB44" i="2"/>
  <c r="AB52" i="2"/>
  <c r="AB9" i="4"/>
  <c r="AB41" i="4"/>
  <c r="AB4" i="3"/>
  <c r="AB14" i="3"/>
  <c r="AB25" i="3"/>
  <c r="AB36" i="3"/>
  <c r="AB46" i="3"/>
  <c r="AB15" i="2"/>
  <c r="AB47" i="2"/>
  <c r="AB7" i="2"/>
  <c r="AB39" i="2"/>
  <c r="AB23" i="2"/>
  <c r="AB31" i="2"/>
  <c r="AB3" i="1"/>
  <c r="AB7" i="1"/>
  <c r="AB11" i="1"/>
  <c r="AB31" i="1"/>
  <c r="AB41" i="1"/>
  <c r="AB29" i="1"/>
  <c r="AB37" i="1"/>
  <c r="AB50" i="1"/>
  <c r="AB34" i="1"/>
  <c r="AB14" i="1"/>
  <c r="AB40" i="1"/>
  <c r="AB36" i="1"/>
  <c r="AB19" i="1"/>
  <c r="AB48" i="1"/>
  <c r="AC44" i="7"/>
  <c r="AC36" i="7"/>
  <c r="R37" i="7"/>
  <c r="R41" i="7"/>
  <c r="R45" i="7"/>
  <c r="Q39" i="7"/>
  <c r="Q43" i="7"/>
  <c r="P37" i="7"/>
  <c r="P41" i="7"/>
  <c r="P45" i="7"/>
  <c r="R39" i="7"/>
  <c r="Q37" i="7"/>
  <c r="Q41" i="7"/>
  <c r="P39" i="7"/>
  <c r="R36" i="7"/>
  <c r="Q38" i="7"/>
  <c r="P36" i="7"/>
  <c r="P44" i="7"/>
  <c r="R38" i="7"/>
  <c r="R42" i="7"/>
  <c r="Q36" i="7"/>
  <c r="Q40" i="7"/>
  <c r="Q44" i="7"/>
  <c r="P38" i="7"/>
  <c r="P42" i="7"/>
  <c r="R43" i="7"/>
  <c r="Q45" i="7"/>
  <c r="P43" i="7"/>
  <c r="R40" i="7"/>
  <c r="R44" i="7"/>
  <c r="Q42" i="7"/>
  <c r="P40" i="7"/>
  <c r="AC24" i="7"/>
  <c r="AC28" i="7"/>
  <c r="AC32" i="7"/>
  <c r="AB26" i="7"/>
  <c r="AB30" i="7"/>
  <c r="AA24" i="7"/>
  <c r="AA28" i="7"/>
  <c r="AA32" i="7"/>
  <c r="AC30" i="7"/>
  <c r="AB28" i="7"/>
  <c r="AA26" i="7"/>
  <c r="Z23" i="7"/>
  <c r="AC27" i="7"/>
  <c r="AB25" i="7"/>
  <c r="AA23" i="7"/>
  <c r="AC25" i="7"/>
  <c r="AC29" i="7"/>
  <c r="AB23" i="7"/>
  <c r="AB27" i="7"/>
  <c r="AB31" i="7"/>
  <c r="AA25" i="7"/>
  <c r="AA29" i="7"/>
  <c r="AC26" i="7"/>
  <c r="AB24" i="7"/>
  <c r="AB32" i="7"/>
  <c r="AA30" i="7"/>
  <c r="AC23" i="7"/>
  <c r="AC31" i="7"/>
  <c r="AB29" i="7"/>
  <c r="AA27" i="7"/>
  <c r="AA31" i="7"/>
  <c r="AQ3" i="1"/>
  <c r="AQ42" i="1"/>
  <c r="AQ46" i="1"/>
  <c r="AQ22" i="1"/>
  <c r="AQ18" i="1"/>
  <c r="AB47" i="1"/>
  <c r="AB45" i="1"/>
  <c r="AQ49" i="1"/>
  <c r="AQ25" i="1"/>
  <c r="AQ29" i="1"/>
  <c r="AQ33" i="1"/>
  <c r="AQ37" i="1"/>
  <c r="AB8" i="1"/>
  <c r="AB16" i="1"/>
  <c r="AQ27" i="1"/>
  <c r="AB22" i="1"/>
  <c r="AQ36" i="1"/>
  <c r="AQ6" i="1"/>
  <c r="AB35" i="1"/>
  <c r="AB46" i="1"/>
  <c r="AB9" i="1"/>
  <c r="AB39" i="1"/>
  <c r="AQ48" i="1"/>
  <c r="AB10" i="1"/>
  <c r="AQ23" i="1"/>
  <c r="AB43" i="1"/>
  <c r="AC39" i="7"/>
  <c r="AQ21" i="2"/>
  <c r="AQ46" i="3"/>
  <c r="AQ5" i="4"/>
  <c r="AQ28" i="2"/>
  <c r="AQ25" i="3"/>
  <c r="AQ43" i="2"/>
  <c r="AQ5" i="2"/>
  <c r="AQ21" i="4"/>
  <c r="AQ22" i="2"/>
  <c r="AQ17" i="3"/>
  <c r="AQ10" i="4"/>
  <c r="AQ38" i="2"/>
  <c r="AQ20" i="2"/>
  <c r="AQ45" i="3"/>
  <c r="AQ13" i="3"/>
  <c r="AQ33" i="4"/>
  <c r="AQ50" i="4"/>
  <c r="AQ49" i="2"/>
  <c r="AQ33" i="2"/>
  <c r="AQ13" i="2"/>
  <c r="AQ34" i="3"/>
  <c r="AQ46" i="4"/>
  <c r="AQ14" i="4"/>
  <c r="AQ19" i="2"/>
  <c r="AQ3" i="2"/>
  <c r="AQ39" i="3"/>
  <c r="AQ23" i="3"/>
  <c r="AQ7" i="3"/>
  <c r="AQ43" i="4"/>
  <c r="AQ27" i="4"/>
  <c r="AQ11" i="4"/>
  <c r="AQ48" i="3"/>
  <c r="AQ32" i="3"/>
  <c r="AQ16" i="3"/>
  <c r="AQ52" i="4"/>
  <c r="AQ36" i="4"/>
  <c r="AQ20" i="4"/>
  <c r="AQ4" i="4"/>
  <c r="AP7" i="1"/>
  <c r="AP22" i="1"/>
  <c r="AP21" i="1"/>
  <c r="AP45" i="1"/>
  <c r="AP48" i="1"/>
  <c r="AP4" i="1"/>
  <c r="AP41" i="1"/>
  <c r="AP50" i="1"/>
  <c r="AP51" i="1"/>
  <c r="AP28" i="1"/>
  <c r="AP23" i="1"/>
  <c r="AP49" i="1"/>
  <c r="AP13" i="1"/>
  <c r="AP47" i="1"/>
  <c r="AP32" i="1"/>
  <c r="AP42" i="1"/>
  <c r="AP52" i="1"/>
  <c r="AC22" i="6"/>
  <c r="AC26" i="6"/>
  <c r="AC30" i="6"/>
  <c r="AB24" i="6"/>
  <c r="AB28" i="6"/>
  <c r="AA22" i="6"/>
  <c r="AA26" i="6"/>
  <c r="AA30" i="6"/>
  <c r="AC28" i="6"/>
  <c r="AB22" i="6"/>
  <c r="AA24" i="6"/>
  <c r="AC25" i="6"/>
  <c r="AB27" i="6"/>
  <c r="AA25" i="6"/>
  <c r="AC23" i="6"/>
  <c r="AC27" i="6"/>
  <c r="AC31" i="6"/>
  <c r="AB25" i="6"/>
  <c r="AB29" i="6"/>
  <c r="AA23" i="6"/>
  <c r="AA27" i="6"/>
  <c r="AA31" i="6"/>
  <c r="AC24" i="6"/>
  <c r="AB26" i="6"/>
  <c r="AB30" i="6"/>
  <c r="AA28" i="6"/>
  <c r="AC29" i="6"/>
  <c r="AB23" i="6"/>
  <c r="AB31" i="6"/>
  <c r="AA29" i="6"/>
  <c r="AP29" i="1"/>
  <c r="AP27" i="1"/>
  <c r="AP18" i="1"/>
  <c r="AP36" i="1"/>
  <c r="AP15" i="1"/>
  <c r="AP11" i="1"/>
  <c r="AP9" i="1"/>
  <c r="R22" i="6"/>
  <c r="R26" i="6"/>
  <c r="R30" i="6"/>
  <c r="Q24" i="6"/>
  <c r="Q28" i="6"/>
  <c r="P22" i="6"/>
  <c r="P26" i="6"/>
  <c r="P30" i="6"/>
  <c r="R28" i="6"/>
  <c r="Q26" i="6"/>
  <c r="P24" i="6"/>
  <c r="O22" i="6"/>
  <c r="R25" i="6"/>
  <c r="Q23" i="6"/>
  <c r="Q27" i="6"/>
  <c r="P25" i="6"/>
  <c r="R23" i="6"/>
  <c r="R27" i="6"/>
  <c r="R31" i="6"/>
  <c r="Q25" i="6"/>
  <c r="Q29" i="6"/>
  <c r="P23" i="6"/>
  <c r="P27" i="6"/>
  <c r="P31" i="6"/>
  <c r="R24" i="6"/>
  <c r="Q22" i="6"/>
  <c r="Q30" i="6"/>
  <c r="P28" i="6"/>
  <c r="R29" i="6"/>
  <c r="Q31" i="6"/>
  <c r="P29" i="6"/>
  <c r="AP6" i="4"/>
  <c r="AP10" i="4"/>
  <c r="AP14" i="4"/>
  <c r="AP18" i="4"/>
  <c r="AP22" i="4"/>
  <c r="AP26" i="4"/>
  <c r="AP30" i="4"/>
  <c r="AP34" i="4"/>
  <c r="AP38" i="4"/>
  <c r="AP42" i="4"/>
  <c r="AP46" i="4"/>
  <c r="AP50" i="4"/>
  <c r="AP4" i="3"/>
  <c r="AP8" i="3"/>
  <c r="AP12" i="3"/>
  <c r="AP16" i="3"/>
  <c r="AP20" i="3"/>
  <c r="AP24" i="3"/>
  <c r="AP28" i="3"/>
  <c r="AP32" i="3"/>
  <c r="AP36" i="3"/>
  <c r="AP40" i="3"/>
  <c r="AP44" i="3"/>
  <c r="AP48" i="3"/>
  <c r="AP52" i="3"/>
  <c r="AP6" i="2"/>
  <c r="AP10" i="2"/>
  <c r="AP14" i="2"/>
  <c r="AP18" i="2"/>
  <c r="AP22" i="2"/>
  <c r="AP26" i="2"/>
  <c r="AP30" i="2"/>
  <c r="AP34" i="2"/>
  <c r="AP38" i="2"/>
  <c r="AP42" i="2"/>
  <c r="AP3" i="4"/>
  <c r="AP7" i="4"/>
  <c r="AP11" i="4"/>
  <c r="AP15" i="4"/>
  <c r="AP19" i="4"/>
  <c r="AP23" i="4"/>
  <c r="AP27" i="4"/>
  <c r="AP31" i="4"/>
  <c r="AP35" i="4"/>
  <c r="AP39" i="4"/>
  <c r="AP43" i="4"/>
  <c r="AP47" i="4"/>
  <c r="AP51" i="4"/>
  <c r="AP5" i="3"/>
  <c r="AP9" i="3"/>
  <c r="AP13" i="3"/>
  <c r="AP17" i="3"/>
  <c r="AP21" i="3"/>
  <c r="AP25" i="3"/>
  <c r="AP29" i="3"/>
  <c r="AP33" i="3"/>
  <c r="AP37" i="3"/>
  <c r="AP41" i="3"/>
  <c r="AP45" i="3"/>
  <c r="AP49" i="3"/>
  <c r="AP3" i="2"/>
  <c r="AP7" i="2"/>
  <c r="AP11" i="2"/>
  <c r="AP15" i="2"/>
  <c r="AP19" i="2"/>
  <c r="AP23" i="2"/>
  <c r="AP27" i="2"/>
  <c r="AP31" i="2"/>
  <c r="AP35" i="2"/>
  <c r="AP39" i="2"/>
  <c r="AP9" i="4"/>
  <c r="AP17" i="4"/>
  <c r="AP25" i="4"/>
  <c r="AP33" i="4"/>
  <c r="AP41" i="4"/>
  <c r="AP49" i="4"/>
  <c r="AP3" i="3"/>
  <c r="AP11" i="3"/>
  <c r="AP19" i="3"/>
  <c r="AP27" i="3"/>
  <c r="AP35" i="3"/>
  <c r="AP43" i="3"/>
  <c r="AP51" i="3"/>
  <c r="AP5" i="2"/>
  <c r="AP13" i="2"/>
  <c r="AP21" i="2"/>
  <c r="AP29" i="2"/>
  <c r="AP37" i="2"/>
  <c r="AP44" i="2"/>
  <c r="AP48" i="2"/>
  <c r="AP52" i="2"/>
  <c r="AP13" i="4"/>
  <c r="AP29" i="4"/>
  <c r="AP45" i="4"/>
  <c r="AP15" i="3"/>
  <c r="AP23" i="3"/>
  <c r="AP39" i="3"/>
  <c r="AP4" i="4"/>
  <c r="AP12" i="4"/>
  <c r="AP20" i="4"/>
  <c r="AP28" i="4"/>
  <c r="AP36" i="4"/>
  <c r="AP44" i="4"/>
  <c r="AP52" i="4"/>
  <c r="AP6" i="3"/>
  <c r="AP14" i="3"/>
  <c r="AP22" i="3"/>
  <c r="AP30" i="3"/>
  <c r="AP38" i="3"/>
  <c r="AP46" i="3"/>
  <c r="AP8" i="2"/>
  <c r="AP16" i="2"/>
  <c r="AP24" i="2"/>
  <c r="AP32" i="2"/>
  <c r="AP40" i="2"/>
  <c r="AP45" i="2"/>
  <c r="AP49" i="2"/>
  <c r="AP5" i="4"/>
  <c r="AP21" i="4"/>
  <c r="AP37" i="4"/>
  <c r="AP7" i="3"/>
  <c r="AP31" i="3"/>
  <c r="AP47" i="3"/>
  <c r="AP32" i="4"/>
  <c r="AP10" i="3"/>
  <c r="AP42" i="3"/>
  <c r="AP17" i="2"/>
  <c r="AP33" i="2"/>
  <c r="AP46" i="2"/>
  <c r="AP25" i="2"/>
  <c r="AP41" i="2"/>
  <c r="AP24" i="4"/>
  <c r="AP34" i="3"/>
  <c r="AP28" i="2"/>
  <c r="AP51" i="2"/>
  <c r="AP8" i="4"/>
  <c r="AP40" i="4"/>
  <c r="AP18" i="3"/>
  <c r="AP50" i="3"/>
  <c r="AP4" i="2"/>
  <c r="AP20" i="2"/>
  <c r="AP36" i="2"/>
  <c r="AP47" i="2"/>
  <c r="AP9" i="2"/>
  <c r="AP50" i="2"/>
  <c r="AP12" i="2"/>
  <c r="AP43" i="2"/>
  <c r="AP16" i="4"/>
  <c r="AP48" i="4"/>
  <c r="AP26" i="3"/>
  <c r="AP24" i="1"/>
  <c r="AP17" i="1"/>
  <c r="AP40" i="1"/>
  <c r="AP20" i="1"/>
  <c r="AP3" i="1"/>
  <c r="AP8" i="1"/>
  <c r="AP5" i="1"/>
  <c r="AP37" i="1"/>
  <c r="AP30" i="1"/>
  <c r="AP34" i="1"/>
  <c r="AP31" i="1"/>
  <c r="AP14" i="1"/>
  <c r="AP44" i="1"/>
  <c r="AP16" i="1"/>
  <c r="AP38" i="1"/>
  <c r="AP46" i="1"/>
  <c r="AP26" i="1"/>
  <c r="AP39" i="1"/>
  <c r="AP43" i="1"/>
  <c r="AP35" i="1"/>
  <c r="AP6" i="1"/>
  <c r="AP10" i="1"/>
  <c r="AP19" i="1"/>
  <c r="AP25" i="1"/>
  <c r="AP33" i="1"/>
  <c r="R10" i="6"/>
  <c r="R14" i="6"/>
  <c r="R18" i="6"/>
  <c r="Q12" i="6"/>
  <c r="Q16" i="6"/>
  <c r="P10" i="6"/>
  <c r="P14" i="6"/>
  <c r="P18" i="6"/>
  <c r="R16" i="6"/>
  <c r="Q18" i="6"/>
  <c r="P16" i="6"/>
  <c r="R9" i="6"/>
  <c r="R17" i="6"/>
  <c r="Q15" i="6"/>
  <c r="P13" i="6"/>
  <c r="R11" i="6"/>
  <c r="R15" i="6"/>
  <c r="Q9" i="6"/>
  <c r="Q13" i="6"/>
  <c r="Q17" i="6"/>
  <c r="P11" i="6"/>
  <c r="P15" i="6"/>
  <c r="R12" i="6"/>
  <c r="Q10" i="6"/>
  <c r="Q14" i="6"/>
  <c r="P12" i="6"/>
  <c r="R13" i="6"/>
  <c r="Q11" i="6"/>
  <c r="P9" i="6"/>
  <c r="P17" i="6"/>
  <c r="AC11" i="6"/>
  <c r="AC15" i="6"/>
  <c r="AB9" i="6"/>
  <c r="AB13" i="6"/>
  <c r="AB17" i="6"/>
  <c r="AA11" i="6"/>
  <c r="AA15" i="6"/>
  <c r="AC9" i="6"/>
  <c r="AC17" i="6"/>
  <c r="AB11" i="6"/>
  <c r="AA13" i="6"/>
  <c r="AA17" i="6"/>
  <c r="AC10" i="6"/>
  <c r="AC18" i="6"/>
  <c r="AB16" i="6"/>
  <c r="AA14" i="6"/>
  <c r="AC12" i="6"/>
  <c r="AC16" i="6"/>
  <c r="AB10" i="6"/>
  <c r="AB14" i="6"/>
  <c r="AB18" i="6"/>
  <c r="AA12" i="6"/>
  <c r="AA16" i="6"/>
  <c r="AC13" i="6"/>
  <c r="AB15" i="6"/>
  <c r="AA9" i="6"/>
  <c r="AC14" i="6"/>
  <c r="AB12" i="6"/>
  <c r="AA10" i="6"/>
  <c r="AA18" i="6"/>
  <c r="AC37" i="5"/>
  <c r="AC41" i="5"/>
  <c r="AB35" i="5"/>
  <c r="AB39" i="5"/>
  <c r="AB43" i="5"/>
  <c r="AA37" i="5"/>
  <c r="AA41" i="5"/>
  <c r="Z35" i="5"/>
  <c r="AC38" i="5"/>
  <c r="AC42" i="5"/>
  <c r="AB36" i="5"/>
  <c r="AB40" i="5"/>
  <c r="AB44" i="5"/>
  <c r="AA38" i="5"/>
  <c r="AC35" i="5"/>
  <c r="AC39" i="5"/>
  <c r="AC43" i="5"/>
  <c r="AB37" i="5"/>
  <c r="AB41" i="5"/>
  <c r="AA35" i="5"/>
  <c r="AA39" i="5"/>
  <c r="AA43" i="5"/>
  <c r="AC36" i="5"/>
  <c r="AC40" i="5"/>
  <c r="AC44" i="5"/>
  <c r="AB38" i="5"/>
  <c r="AB42" i="5"/>
  <c r="AA36" i="5"/>
  <c r="AA40" i="5"/>
  <c r="AA44" i="5"/>
  <c r="AA42" i="5"/>
  <c r="Z4" i="4"/>
  <c r="Z8" i="4"/>
  <c r="Z12" i="4"/>
  <c r="Z16" i="4"/>
  <c r="Z20" i="4"/>
  <c r="Z24" i="4"/>
  <c r="Z28" i="4"/>
  <c r="Z32" i="4"/>
  <c r="Z36" i="4"/>
  <c r="Z40" i="4"/>
  <c r="Z44" i="4"/>
  <c r="Z48" i="4"/>
  <c r="Z52" i="4"/>
  <c r="Z4" i="3"/>
  <c r="Z8" i="3"/>
  <c r="Z12" i="3"/>
  <c r="Z16" i="3"/>
  <c r="Z20" i="3"/>
  <c r="Z24" i="3"/>
  <c r="Z28" i="3"/>
  <c r="Z32" i="3"/>
  <c r="Z36" i="3"/>
  <c r="Z40" i="3"/>
  <c r="Z44" i="3"/>
  <c r="Z48" i="3"/>
  <c r="Z52" i="3"/>
  <c r="Z6" i="4"/>
  <c r="Z11" i="4"/>
  <c r="Z17" i="4"/>
  <c r="Z22" i="4"/>
  <c r="Z27" i="4"/>
  <c r="Z33" i="4"/>
  <c r="Z38" i="4"/>
  <c r="Z43" i="4"/>
  <c r="Z49" i="4"/>
  <c r="Z5" i="3"/>
  <c r="Z10" i="3"/>
  <c r="Z15" i="3"/>
  <c r="Z21" i="3"/>
  <c r="Z26" i="3"/>
  <c r="Z31" i="3"/>
  <c r="Z37" i="3"/>
  <c r="Z42" i="3"/>
  <c r="Z47" i="3"/>
  <c r="Z5" i="2"/>
  <c r="Z9" i="2"/>
  <c r="Z13" i="2"/>
  <c r="Z17" i="2"/>
  <c r="Z21" i="2"/>
  <c r="Z25" i="2"/>
  <c r="Z29" i="2"/>
  <c r="Z33" i="2"/>
  <c r="Z37" i="2"/>
  <c r="Z41" i="2"/>
  <c r="Z45" i="2"/>
  <c r="Z49" i="2"/>
  <c r="Z7" i="4"/>
  <c r="Z13" i="4"/>
  <c r="Z18" i="4"/>
  <c r="Z23" i="4"/>
  <c r="Z29" i="4"/>
  <c r="Z34" i="4"/>
  <c r="Z39" i="4"/>
  <c r="Z45" i="4"/>
  <c r="Z50" i="4"/>
  <c r="Z6" i="3"/>
  <c r="Z11" i="3"/>
  <c r="Z17" i="3"/>
  <c r="Z22" i="3"/>
  <c r="Z27" i="3"/>
  <c r="Z33" i="3"/>
  <c r="Z38" i="3"/>
  <c r="Z43" i="3"/>
  <c r="Z49" i="3"/>
  <c r="Z6" i="2"/>
  <c r="Z10" i="2"/>
  <c r="Z14" i="2"/>
  <c r="Z18" i="2"/>
  <c r="Z22" i="2"/>
  <c r="Z26" i="2"/>
  <c r="Z30" i="2"/>
  <c r="Z34" i="2"/>
  <c r="Z38" i="2"/>
  <c r="Z42" i="2"/>
  <c r="Z46" i="2"/>
  <c r="Z50" i="2"/>
  <c r="Z3" i="4"/>
  <c r="Z14" i="4"/>
  <c r="Z25" i="4"/>
  <c r="Z35" i="4"/>
  <c r="Z46" i="4"/>
  <c r="Z13" i="3"/>
  <c r="Z23" i="3"/>
  <c r="Z34" i="3"/>
  <c r="Z45" i="3"/>
  <c r="Z4" i="2"/>
  <c r="Z12" i="2"/>
  <c r="Z20" i="2"/>
  <c r="Z28" i="2"/>
  <c r="Z36" i="2"/>
  <c r="Z44" i="2"/>
  <c r="Z52" i="2"/>
  <c r="Z3" i="3"/>
  <c r="Z14" i="3"/>
  <c r="Z25" i="3"/>
  <c r="Z35" i="3"/>
  <c r="Z46" i="3"/>
  <c r="Z7" i="2"/>
  <c r="Z15" i="2"/>
  <c r="Z23" i="2"/>
  <c r="Z31" i="2"/>
  <c r="Z39" i="2"/>
  <c r="Z47" i="2"/>
  <c r="Z9" i="4"/>
  <c r="Z19" i="4"/>
  <c r="Z30" i="4"/>
  <c r="Z41" i="4"/>
  <c r="Z51" i="4"/>
  <c r="Z7" i="3"/>
  <c r="Z18" i="3"/>
  <c r="Z29" i="3"/>
  <c r="Z39" i="3"/>
  <c r="Z50" i="3"/>
  <c r="Z8" i="2"/>
  <c r="Z16" i="2"/>
  <c r="Z24" i="2"/>
  <c r="Z32" i="2"/>
  <c r="Z40" i="2"/>
  <c r="Z48" i="2"/>
  <c r="Z10" i="4"/>
  <c r="Z21" i="4"/>
  <c r="Z31" i="4"/>
  <c r="Z42" i="4"/>
  <c r="Z9" i="3"/>
  <c r="Z19" i="3"/>
  <c r="Z30" i="3"/>
  <c r="Z41" i="3"/>
  <c r="Z51" i="3"/>
  <c r="Z3" i="2"/>
  <c r="Z11" i="2"/>
  <c r="Z19" i="2"/>
  <c r="Z27" i="2"/>
  <c r="Z35" i="2"/>
  <c r="Z43" i="2"/>
  <c r="Z51" i="2"/>
  <c r="Z5" i="4"/>
  <c r="Z15" i="4"/>
  <c r="Z26" i="4"/>
  <c r="Z37" i="4"/>
  <c r="Z47" i="4"/>
  <c r="Z3" i="1"/>
  <c r="R22" i="5"/>
  <c r="R26" i="5"/>
  <c r="R30" i="5"/>
  <c r="Q24" i="5"/>
  <c r="Q28" i="5"/>
  <c r="P22" i="5"/>
  <c r="P26" i="5"/>
  <c r="P30" i="5"/>
  <c r="R23" i="5"/>
  <c r="R27" i="5"/>
  <c r="R31" i="5"/>
  <c r="Q25" i="5"/>
  <c r="Q29" i="5"/>
  <c r="P23" i="5"/>
  <c r="P27" i="5"/>
  <c r="P31" i="5"/>
  <c r="R24" i="5"/>
  <c r="R28" i="5"/>
  <c r="Q22" i="5"/>
  <c r="Q26" i="5"/>
  <c r="Q30" i="5"/>
  <c r="P24" i="5"/>
  <c r="P28" i="5"/>
  <c r="R25" i="5"/>
  <c r="Q23" i="5"/>
  <c r="Q27" i="5"/>
  <c r="P25" i="5"/>
  <c r="R29" i="5"/>
  <c r="Q31" i="5"/>
  <c r="P29" i="5"/>
  <c r="O22" i="5"/>
  <c r="AC22" i="5"/>
  <c r="AC26" i="5"/>
  <c r="AC30" i="5"/>
  <c r="AB24" i="5"/>
  <c r="AB28" i="5"/>
  <c r="AA22" i="5"/>
  <c r="AA26" i="5"/>
  <c r="AA30" i="5"/>
  <c r="AA27" i="5"/>
  <c r="AA31" i="5"/>
  <c r="AC24" i="5"/>
  <c r="AC28" i="5"/>
  <c r="AB22" i="5"/>
  <c r="AB26" i="5"/>
  <c r="AB30" i="5"/>
  <c r="AA24" i="5"/>
  <c r="AA28" i="5"/>
  <c r="AC25" i="5"/>
  <c r="AB23" i="5"/>
  <c r="AB27" i="5"/>
  <c r="AB31" i="5"/>
  <c r="AA25" i="5"/>
  <c r="AC23" i="5"/>
  <c r="AC27" i="5"/>
  <c r="AC31" i="5"/>
  <c r="AB25" i="5"/>
  <c r="AB29" i="5"/>
  <c r="AA23" i="5"/>
  <c r="Z22" i="5"/>
  <c r="AC29" i="5"/>
  <c r="AA29" i="5"/>
  <c r="R37" i="5"/>
  <c r="R41" i="5"/>
  <c r="Q35" i="5"/>
  <c r="Q39" i="5"/>
  <c r="Q43" i="5"/>
  <c r="P37" i="5"/>
  <c r="P41" i="5"/>
  <c r="R38" i="5"/>
  <c r="R42" i="5"/>
  <c r="Q36" i="5"/>
  <c r="Q40" i="5"/>
  <c r="Q44" i="5"/>
  <c r="P38" i="5"/>
  <c r="P42" i="5"/>
  <c r="O35" i="5"/>
  <c r="R35" i="5"/>
  <c r="R39" i="5"/>
  <c r="R43" i="5"/>
  <c r="Q37" i="5"/>
  <c r="Q41" i="5"/>
  <c r="P35" i="5"/>
  <c r="P39" i="5"/>
  <c r="P43" i="5"/>
  <c r="R36" i="5"/>
  <c r="R44" i="5"/>
  <c r="Q38" i="5"/>
  <c r="P36" i="5"/>
  <c r="P44" i="5"/>
  <c r="R40" i="5"/>
  <c r="Q42" i="5"/>
  <c r="P40" i="5"/>
  <c r="P25" i="17"/>
  <c r="P17" i="17"/>
  <c r="P9" i="17"/>
  <c r="P27" i="17"/>
  <c r="P11" i="17"/>
  <c r="P23" i="17"/>
  <c r="P15" i="17"/>
  <c r="P19" i="17"/>
  <c r="P21" i="17"/>
  <c r="P13" i="17"/>
  <c r="Q77" i="16"/>
  <c r="Q76" i="16"/>
  <c r="Q75" i="16"/>
  <c r="Q74" i="16"/>
  <c r="P77" i="16"/>
  <c r="P76" i="16"/>
  <c r="P75" i="16"/>
  <c r="P74" i="16"/>
  <c r="P73" i="16"/>
  <c r="P72" i="16"/>
  <c r="P71" i="16"/>
  <c r="O77" i="16"/>
  <c r="O76" i="16"/>
  <c r="O75" i="16"/>
  <c r="O74" i="16"/>
  <c r="O73" i="16"/>
  <c r="O72" i="16"/>
  <c r="O71" i="16"/>
  <c r="R77" i="16"/>
  <c r="R73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74" i="16"/>
  <c r="Q73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R75" i="16"/>
  <c r="R72" i="16"/>
  <c r="P70" i="16"/>
  <c r="P69" i="16"/>
  <c r="P68" i="16"/>
  <c r="P67" i="16"/>
  <c r="P66" i="16"/>
  <c r="P65" i="16"/>
  <c r="P64" i="16"/>
  <c r="P63" i="16"/>
  <c r="P62" i="16"/>
  <c r="P61" i="16"/>
  <c r="P60" i="16"/>
  <c r="R76" i="16"/>
  <c r="Q72" i="16"/>
  <c r="O70" i="16"/>
  <c r="O66" i="16"/>
  <c r="O62" i="16"/>
  <c r="O58" i="16"/>
  <c r="O67" i="16"/>
  <c r="O63" i="16"/>
  <c r="P59" i="16"/>
  <c r="O68" i="16"/>
  <c r="O64" i="16"/>
  <c r="O60" i="16"/>
  <c r="O59" i="16"/>
  <c r="O61" i="16"/>
  <c r="O65" i="16"/>
  <c r="O69" i="16"/>
  <c r="P58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A31" i="16"/>
  <c r="AB30" i="16"/>
  <c r="Z28" i="16"/>
  <c r="AA27" i="16"/>
  <c r="AB26" i="16"/>
  <c r="Z24" i="16"/>
  <c r="AA23" i="16"/>
  <c r="AB22" i="16"/>
  <c r="Z20" i="16"/>
  <c r="AA19" i="16"/>
  <c r="AB18" i="16"/>
  <c r="Z16" i="16"/>
  <c r="AB15" i="16"/>
  <c r="AB14" i="16"/>
  <c r="AB13" i="16"/>
  <c r="AB12" i="16"/>
  <c r="Z31" i="16"/>
  <c r="AA30" i="16"/>
  <c r="AB29" i="16"/>
  <c r="Z27" i="16"/>
  <c r="AA26" i="16"/>
  <c r="AB25" i="16"/>
  <c r="Z23" i="16"/>
  <c r="AA22" i="16"/>
  <c r="AB21" i="16"/>
  <c r="Z19" i="16"/>
  <c r="AA18" i="16"/>
  <c r="AB17" i="16"/>
  <c r="AA15" i="16"/>
  <c r="AA14" i="16"/>
  <c r="AA13" i="16"/>
  <c r="AA12" i="16"/>
  <c r="Z30" i="16"/>
  <c r="AA29" i="16"/>
  <c r="AB28" i="16"/>
  <c r="Z26" i="16"/>
  <c r="AA25" i="16"/>
  <c r="AB24" i="16"/>
  <c r="Z22" i="16"/>
  <c r="AA21" i="16"/>
  <c r="AB20" i="16"/>
  <c r="Z18" i="16"/>
  <c r="AA17" i="16"/>
  <c r="AB16" i="16"/>
  <c r="Z15" i="16"/>
  <c r="Z29" i="16"/>
  <c r="AB27" i="16"/>
  <c r="AA20" i="16"/>
  <c r="AC14" i="16"/>
  <c r="AC12" i="16"/>
  <c r="AB31" i="16"/>
  <c r="AA24" i="16"/>
  <c r="Z17" i="16"/>
  <c r="AC15" i="16"/>
  <c r="Z13" i="16"/>
  <c r="Z25" i="16"/>
  <c r="AB23" i="16"/>
  <c r="AA16" i="16"/>
  <c r="Z14" i="16"/>
  <c r="Z12" i="16"/>
  <c r="AA28" i="16"/>
  <c r="Z21" i="16"/>
  <c r="AB19" i="16"/>
  <c r="AC13" i="16"/>
  <c r="R100" i="16"/>
  <c r="R99" i="16"/>
  <c r="R98" i="16"/>
  <c r="R97" i="16"/>
  <c r="R96" i="16"/>
  <c r="R95" i="16"/>
  <c r="R94" i="16"/>
  <c r="R93" i="16"/>
  <c r="Q100" i="16"/>
  <c r="Q99" i="16"/>
  <c r="Q98" i="16"/>
  <c r="Q97" i="16"/>
  <c r="Q96" i="16"/>
  <c r="Q95" i="16"/>
  <c r="Q94" i="16"/>
  <c r="O100" i="16"/>
  <c r="O98" i="16"/>
  <c r="O96" i="16"/>
  <c r="O94" i="16"/>
  <c r="O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P99" i="16"/>
  <c r="P97" i="16"/>
  <c r="P95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O99" i="16"/>
  <c r="O97" i="16"/>
  <c r="O95" i="16"/>
  <c r="Q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P94" i="16"/>
  <c r="R92" i="16"/>
  <c r="R88" i="16"/>
  <c r="R84" i="16"/>
  <c r="P96" i="16"/>
  <c r="R89" i="16"/>
  <c r="R85" i="16"/>
  <c r="R81" i="16"/>
  <c r="P98" i="16"/>
  <c r="P93" i="16"/>
  <c r="R90" i="16"/>
  <c r="R86" i="16"/>
  <c r="R82" i="16"/>
  <c r="R83" i="16"/>
  <c r="R87" i="16"/>
  <c r="P100" i="16"/>
  <c r="R91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B123" i="16"/>
  <c r="AB122" i="16"/>
  <c r="AB121" i="16"/>
  <c r="AB120" i="16"/>
  <c r="AB119" i="16"/>
  <c r="AB118" i="16"/>
  <c r="AB117" i="16"/>
  <c r="AB116" i="16"/>
  <c r="AB115" i="16"/>
  <c r="AB114" i="16"/>
  <c r="AB113" i="16"/>
  <c r="AB112" i="16"/>
  <c r="AB111" i="16"/>
  <c r="AB110" i="16"/>
  <c r="AB109" i="16"/>
  <c r="AB108" i="16"/>
  <c r="AB107" i="16"/>
  <c r="AB106" i="16"/>
  <c r="AB105" i="16"/>
  <c r="AB104" i="16"/>
  <c r="AA123" i="16"/>
  <c r="AA122" i="16"/>
  <c r="AA121" i="16"/>
  <c r="AA120" i="16"/>
  <c r="AA119" i="16"/>
  <c r="AA118" i="16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Z123" i="16"/>
  <c r="Z119" i="16"/>
  <c r="Z115" i="16"/>
  <c r="Z111" i="16"/>
  <c r="Z107" i="16"/>
  <c r="Z120" i="16"/>
  <c r="Z116" i="16"/>
  <c r="Z112" i="16"/>
  <c r="Z108" i="16"/>
  <c r="Z104" i="16"/>
  <c r="Z121" i="16"/>
  <c r="Z117" i="16"/>
  <c r="Z113" i="16"/>
  <c r="Z109" i="16"/>
  <c r="Z105" i="16"/>
  <c r="Z122" i="16"/>
  <c r="Z106" i="16"/>
  <c r="Z110" i="16"/>
  <c r="Z114" i="16"/>
  <c r="Z118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O31" i="16"/>
  <c r="P30" i="16"/>
  <c r="Q29" i="16"/>
  <c r="O27" i="16"/>
  <c r="P26" i="16"/>
  <c r="Q25" i="16"/>
  <c r="O23" i="16"/>
  <c r="P22" i="16"/>
  <c r="Q21" i="16"/>
  <c r="O19" i="16"/>
  <c r="P18" i="16"/>
  <c r="Q17" i="16"/>
  <c r="Q15" i="16"/>
  <c r="Q14" i="16"/>
  <c r="Q13" i="16"/>
  <c r="Q12" i="16"/>
  <c r="O30" i="16"/>
  <c r="P29" i="16"/>
  <c r="Q28" i="16"/>
  <c r="O26" i="16"/>
  <c r="P25" i="16"/>
  <c r="Q24" i="16"/>
  <c r="O22" i="16"/>
  <c r="P21" i="16"/>
  <c r="Q20" i="16"/>
  <c r="O18" i="16"/>
  <c r="P17" i="16"/>
  <c r="Q16" i="16"/>
  <c r="P15" i="16"/>
  <c r="P14" i="16"/>
  <c r="P13" i="16"/>
  <c r="P12" i="16"/>
  <c r="Q31" i="16"/>
  <c r="O29" i="16"/>
  <c r="P28" i="16"/>
  <c r="Q27" i="16"/>
  <c r="O25" i="16"/>
  <c r="P24" i="16"/>
  <c r="Q23" i="16"/>
  <c r="O21" i="16"/>
  <c r="P20" i="16"/>
  <c r="Q19" i="16"/>
  <c r="O17" i="16"/>
  <c r="P16" i="16"/>
  <c r="P31" i="16"/>
  <c r="O24" i="16"/>
  <c r="Q22" i="16"/>
  <c r="R15" i="16"/>
  <c r="R13" i="16"/>
  <c r="O28" i="16"/>
  <c r="O12" i="16"/>
  <c r="P27" i="16"/>
  <c r="O20" i="16"/>
  <c r="Q18" i="16"/>
  <c r="O15" i="16"/>
  <c r="O13" i="16"/>
  <c r="O14" i="16"/>
  <c r="Q30" i="16"/>
  <c r="P23" i="16"/>
  <c r="O16" i="16"/>
  <c r="R14" i="16"/>
  <c r="R12" i="16"/>
  <c r="Q26" i="16"/>
  <c r="P19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O53" i="16"/>
  <c r="O51" i="16"/>
  <c r="O49" i="16"/>
  <c r="O47" i="16"/>
  <c r="O45" i="16"/>
  <c r="O43" i="16"/>
  <c r="O41" i="16"/>
  <c r="O39" i="16"/>
  <c r="O37" i="16"/>
  <c r="P54" i="16"/>
  <c r="P52" i="16"/>
  <c r="P50" i="16"/>
  <c r="P48" i="16"/>
  <c r="P46" i="16"/>
  <c r="P44" i="16"/>
  <c r="P42" i="16"/>
  <c r="P40" i="16"/>
  <c r="P38" i="16"/>
  <c r="P36" i="16"/>
  <c r="Q35" i="16"/>
  <c r="O54" i="16"/>
  <c r="O52" i="16"/>
  <c r="O50" i="16"/>
  <c r="O48" i="16"/>
  <c r="O46" i="16"/>
  <c r="O44" i="16"/>
  <c r="O42" i="16"/>
  <c r="O40" i="16"/>
  <c r="O38" i="16"/>
  <c r="O36" i="16"/>
  <c r="P35" i="16"/>
  <c r="P49" i="16"/>
  <c r="P41" i="16"/>
  <c r="P51" i="16"/>
  <c r="P43" i="16"/>
  <c r="P53" i="16"/>
  <c r="P45" i="16"/>
  <c r="P37" i="16"/>
  <c r="O35" i="16"/>
  <c r="P47" i="16"/>
  <c r="P39" i="16"/>
  <c r="AB77" i="16"/>
  <c r="AB76" i="16"/>
  <c r="AB75" i="16"/>
  <c r="AB74" i="16"/>
  <c r="AB73" i="16"/>
  <c r="AA77" i="16"/>
  <c r="AA76" i="16"/>
  <c r="AA75" i="16"/>
  <c r="AA74" i="16"/>
  <c r="AA73" i="16"/>
  <c r="AA72" i="16"/>
  <c r="AA71" i="16"/>
  <c r="Z77" i="16"/>
  <c r="Z76" i="16"/>
  <c r="Z75" i="16"/>
  <c r="Z74" i="16"/>
  <c r="Z73" i="16"/>
  <c r="Z72" i="16"/>
  <c r="Z71" i="16"/>
  <c r="AC74" i="16"/>
  <c r="AC72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75" i="16"/>
  <c r="AB72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C76" i="16"/>
  <c r="AC71" i="16"/>
  <c r="AA70" i="16"/>
  <c r="AA69" i="16"/>
  <c r="AA68" i="16"/>
  <c r="AA67" i="16"/>
  <c r="AA66" i="16"/>
  <c r="AA65" i="16"/>
  <c r="AA64" i="16"/>
  <c r="AA63" i="16"/>
  <c r="AA62" i="16"/>
  <c r="AA61" i="16"/>
  <c r="AA60" i="16"/>
  <c r="AA59" i="16"/>
  <c r="Z67" i="16"/>
  <c r="Z63" i="16"/>
  <c r="Z59" i="16"/>
  <c r="AB71" i="16"/>
  <c r="Z68" i="16"/>
  <c r="Z64" i="16"/>
  <c r="Z60" i="16"/>
  <c r="AA58" i="16"/>
  <c r="AC73" i="16"/>
  <c r="Z69" i="16"/>
  <c r="Z65" i="16"/>
  <c r="Z61" i="16"/>
  <c r="Z58" i="16"/>
  <c r="Z66" i="16"/>
  <c r="Z62" i="16"/>
  <c r="Z70" i="16"/>
  <c r="AC77" i="16"/>
  <c r="O23" i="15"/>
  <c r="O27" i="15"/>
  <c r="O31" i="15"/>
  <c r="P25" i="15"/>
  <c r="P29" i="15"/>
  <c r="Q23" i="15"/>
  <c r="Q27" i="15"/>
  <c r="Q31" i="15"/>
  <c r="R25" i="15"/>
  <c r="R29" i="15"/>
  <c r="R13" i="15"/>
  <c r="R17" i="15"/>
  <c r="R21" i="15"/>
  <c r="Q15" i="15"/>
  <c r="Q19" i="15"/>
  <c r="P13" i="15"/>
  <c r="P17" i="15"/>
  <c r="P21" i="15"/>
  <c r="O15" i="15"/>
  <c r="O19" i="15"/>
  <c r="O29" i="15"/>
  <c r="P27" i="15"/>
  <c r="Q29" i="15"/>
  <c r="R31" i="15"/>
  <c r="R19" i="15"/>
  <c r="Q17" i="15"/>
  <c r="P19" i="15"/>
  <c r="O17" i="15"/>
  <c r="O22" i="15"/>
  <c r="O26" i="15"/>
  <c r="P24" i="15"/>
  <c r="Q26" i="15"/>
  <c r="R24" i="15"/>
  <c r="R12" i="15"/>
  <c r="R20" i="15"/>
  <c r="Q18" i="15"/>
  <c r="P16" i="15"/>
  <c r="O14" i="15"/>
  <c r="O24" i="15"/>
  <c r="O28" i="15"/>
  <c r="P22" i="15"/>
  <c r="P26" i="15"/>
  <c r="P30" i="15"/>
  <c r="Q24" i="15"/>
  <c r="Q28" i="15"/>
  <c r="R22" i="15"/>
  <c r="R26" i="15"/>
  <c r="R30" i="15"/>
  <c r="R14" i="15"/>
  <c r="R18" i="15"/>
  <c r="Q12" i="15"/>
  <c r="Q16" i="15"/>
  <c r="Q20" i="15"/>
  <c r="P14" i="15"/>
  <c r="P18" i="15"/>
  <c r="O12" i="15"/>
  <c r="O16" i="15"/>
  <c r="O20" i="15"/>
  <c r="O25" i="15"/>
  <c r="P23" i="15"/>
  <c r="P31" i="15"/>
  <c r="Q25" i="15"/>
  <c r="R23" i="15"/>
  <c r="R27" i="15"/>
  <c r="R15" i="15"/>
  <c r="Q13" i="15"/>
  <c r="Q21" i="15"/>
  <c r="P15" i="15"/>
  <c r="O13" i="15"/>
  <c r="O21" i="15"/>
  <c r="O30" i="15"/>
  <c r="P28" i="15"/>
  <c r="Q22" i="15"/>
  <c r="Q30" i="15"/>
  <c r="R28" i="15"/>
  <c r="R16" i="15"/>
  <c r="Q14" i="15"/>
  <c r="P12" i="15"/>
  <c r="P20" i="15"/>
  <c r="O18" i="15"/>
  <c r="AC58" i="15"/>
  <c r="AC62" i="15"/>
  <c r="AC66" i="15"/>
  <c r="AC70" i="15"/>
  <c r="AC74" i="15"/>
  <c r="AB58" i="15"/>
  <c r="AB62" i="15"/>
  <c r="AB66" i="15"/>
  <c r="AB70" i="15"/>
  <c r="AB74" i="15"/>
  <c r="AA58" i="15"/>
  <c r="AA62" i="15"/>
  <c r="AA66" i="15"/>
  <c r="AA70" i="15"/>
  <c r="AA74" i="15"/>
  <c r="Z58" i="15"/>
  <c r="Z62" i="15"/>
  <c r="Z66" i="15"/>
  <c r="Z70" i="15"/>
  <c r="Z74" i="15"/>
  <c r="AC59" i="15"/>
  <c r="AC63" i="15"/>
  <c r="AC67" i="15"/>
  <c r="AC71" i="15"/>
  <c r="AC75" i="15"/>
  <c r="AB59" i="15"/>
  <c r="AB63" i="15"/>
  <c r="AB67" i="15"/>
  <c r="AB71" i="15"/>
  <c r="AB75" i="15"/>
  <c r="AA59" i="15"/>
  <c r="AA63" i="15"/>
  <c r="AA67" i="15"/>
  <c r="AA71" i="15"/>
  <c r="AA75" i="15"/>
  <c r="Z59" i="15"/>
  <c r="Z63" i="15"/>
  <c r="Z67" i="15"/>
  <c r="Z71" i="15"/>
  <c r="Z75" i="15"/>
  <c r="AC60" i="15"/>
  <c r="AC64" i="15"/>
  <c r="AC68" i="15"/>
  <c r="AC72" i="15"/>
  <c r="AC76" i="15"/>
  <c r="AB60" i="15"/>
  <c r="AB64" i="15"/>
  <c r="AB68" i="15"/>
  <c r="AB72" i="15"/>
  <c r="AB76" i="15"/>
  <c r="AA60" i="15"/>
  <c r="AA64" i="15"/>
  <c r="AA68" i="15"/>
  <c r="AA72" i="15"/>
  <c r="AA76" i="15"/>
  <c r="Z60" i="15"/>
  <c r="Z64" i="15"/>
  <c r="Z68" i="15"/>
  <c r="Z72" i="15"/>
  <c r="Z76" i="15"/>
  <c r="AC61" i="15"/>
  <c r="AC77" i="15"/>
  <c r="AB73" i="15"/>
  <c r="AA69" i="15"/>
  <c r="Z65" i="15"/>
  <c r="AC65" i="15"/>
  <c r="AB61" i="15"/>
  <c r="AB77" i="15"/>
  <c r="AA73" i="15"/>
  <c r="Z69" i="15"/>
  <c r="AB65" i="15"/>
  <c r="AA77" i="15"/>
  <c r="AB69" i="15"/>
  <c r="Z61" i="15"/>
  <c r="AC69" i="15"/>
  <c r="AA61" i="15"/>
  <c r="Z73" i="15"/>
  <c r="AC73" i="15"/>
  <c r="AA65" i="15"/>
  <c r="Z77" i="15"/>
  <c r="Z81" i="15"/>
  <c r="AC84" i="15"/>
  <c r="AC88" i="15"/>
  <c r="AC92" i="15"/>
  <c r="AC96" i="15"/>
  <c r="AC100" i="15"/>
  <c r="AB84" i="15"/>
  <c r="AB88" i="15"/>
  <c r="AB92" i="15"/>
  <c r="AB96" i="15"/>
  <c r="AB100" i="15"/>
  <c r="AA84" i="15"/>
  <c r="AA88" i="15"/>
  <c r="AA92" i="15"/>
  <c r="AA96" i="15"/>
  <c r="AA100" i="15"/>
  <c r="Z85" i="15"/>
  <c r="Z89" i="15"/>
  <c r="Z93" i="15"/>
  <c r="Z97" i="15"/>
  <c r="AC81" i="15"/>
  <c r="AC85" i="15"/>
  <c r="AC89" i="15"/>
  <c r="AC93" i="15"/>
  <c r="AC97" i="15"/>
  <c r="AB81" i="15"/>
  <c r="AB85" i="15"/>
  <c r="AB89" i="15"/>
  <c r="AB93" i="15"/>
  <c r="AB97" i="15"/>
  <c r="AA81" i="15"/>
  <c r="AA85" i="15"/>
  <c r="AA89" i="15"/>
  <c r="AA93" i="15"/>
  <c r="AA97" i="15"/>
  <c r="Z82" i="15"/>
  <c r="Z86" i="15"/>
  <c r="Z90" i="15"/>
  <c r="Z94" i="15"/>
  <c r="Z98" i="15"/>
  <c r="AC82" i="15"/>
  <c r="AC86" i="15"/>
  <c r="AC90" i="15"/>
  <c r="AC94" i="15"/>
  <c r="AC98" i="15"/>
  <c r="AB82" i="15"/>
  <c r="AB86" i="15"/>
  <c r="AB90" i="15"/>
  <c r="AB94" i="15"/>
  <c r="AB98" i="15"/>
  <c r="AA82" i="15"/>
  <c r="AA86" i="15"/>
  <c r="AA90" i="15"/>
  <c r="AA94" i="15"/>
  <c r="AA98" i="15"/>
  <c r="Z83" i="15"/>
  <c r="Z87" i="15"/>
  <c r="Z91" i="15"/>
  <c r="Z95" i="15"/>
  <c r="Z99" i="15"/>
  <c r="AC83" i="15"/>
  <c r="AC99" i="15"/>
  <c r="AB95" i="15"/>
  <c r="AA91" i="15"/>
  <c r="Z88" i="15"/>
  <c r="AC87" i="15"/>
  <c r="AB83" i="15"/>
  <c r="AB99" i="15"/>
  <c r="AA95" i="15"/>
  <c r="Z92" i="15"/>
  <c r="AC91" i="15"/>
  <c r="AA83" i="15"/>
  <c r="Z96" i="15"/>
  <c r="AC95" i="15"/>
  <c r="AA87" i="15"/>
  <c r="Z100" i="15"/>
  <c r="AB87" i="15"/>
  <c r="AA99" i="15"/>
  <c r="AB91" i="15"/>
  <c r="Z84" i="15"/>
  <c r="O68" i="15"/>
  <c r="O72" i="15"/>
  <c r="O76" i="15"/>
  <c r="P70" i="15"/>
  <c r="P74" i="15"/>
  <c r="Q68" i="15"/>
  <c r="Q72" i="15"/>
  <c r="Q76" i="15"/>
  <c r="R70" i="15"/>
  <c r="R74" i="15"/>
  <c r="R58" i="15"/>
  <c r="R62" i="15"/>
  <c r="R66" i="15"/>
  <c r="Q60" i="15"/>
  <c r="Q64" i="15"/>
  <c r="P58" i="15"/>
  <c r="P62" i="15"/>
  <c r="P66" i="15"/>
  <c r="O60" i="15"/>
  <c r="O64" i="15"/>
  <c r="O69" i="15"/>
  <c r="O73" i="15"/>
  <c r="O77" i="15"/>
  <c r="P71" i="15"/>
  <c r="P75" i="15"/>
  <c r="Q69" i="15"/>
  <c r="Q73" i="15"/>
  <c r="Q77" i="15"/>
  <c r="R71" i="15"/>
  <c r="R75" i="15"/>
  <c r="R59" i="15"/>
  <c r="R63" i="15"/>
  <c r="R67" i="15"/>
  <c r="Q61" i="15"/>
  <c r="Q65" i="15"/>
  <c r="P59" i="15"/>
  <c r="P63" i="15"/>
  <c r="P67" i="15"/>
  <c r="O61" i="15"/>
  <c r="O65" i="15"/>
  <c r="O74" i="15"/>
  <c r="P72" i="15"/>
  <c r="Q70" i="15"/>
  <c r="R68" i="15"/>
  <c r="R76" i="15"/>
  <c r="R64" i="15"/>
  <c r="Q62" i="15"/>
  <c r="P60" i="15"/>
  <c r="O58" i="15"/>
  <c r="O66" i="15"/>
  <c r="O70" i="15"/>
  <c r="Q74" i="15"/>
  <c r="Q58" i="15"/>
  <c r="P64" i="15"/>
  <c r="O71" i="15"/>
  <c r="P77" i="15"/>
  <c r="R61" i="15"/>
  <c r="P65" i="15"/>
  <c r="O75" i="15"/>
  <c r="P73" i="15"/>
  <c r="Q71" i="15"/>
  <c r="R69" i="15"/>
  <c r="R77" i="15"/>
  <c r="R65" i="15"/>
  <c r="Q63" i="15"/>
  <c r="P61" i="15"/>
  <c r="O59" i="15"/>
  <c r="O67" i="15"/>
  <c r="P68" i="15"/>
  <c r="P76" i="15"/>
  <c r="R72" i="15"/>
  <c r="R60" i="15"/>
  <c r="Q66" i="15"/>
  <c r="O62" i="15"/>
  <c r="P69" i="15"/>
  <c r="Q75" i="15"/>
  <c r="R73" i="15"/>
  <c r="Q59" i="15"/>
  <c r="Q67" i="15"/>
  <c r="O63" i="15"/>
  <c r="AC12" i="15"/>
  <c r="AC16" i="15"/>
  <c r="AC20" i="15"/>
  <c r="AC24" i="15"/>
  <c r="AC28" i="15"/>
  <c r="AB12" i="15"/>
  <c r="AB16" i="15"/>
  <c r="AB20" i="15"/>
  <c r="AB24" i="15"/>
  <c r="AB28" i="15"/>
  <c r="AA12" i="15"/>
  <c r="AA16" i="15"/>
  <c r="AA20" i="15"/>
  <c r="AA24" i="15"/>
  <c r="AA28" i="15"/>
  <c r="Z12" i="15"/>
  <c r="Z16" i="15"/>
  <c r="Z20" i="15"/>
  <c r="Z24" i="15"/>
  <c r="Z28" i="15"/>
  <c r="AC13" i="15"/>
  <c r="AC17" i="15"/>
  <c r="AC21" i="15"/>
  <c r="AC25" i="15"/>
  <c r="AC29" i="15"/>
  <c r="AB13" i="15"/>
  <c r="AB17" i="15"/>
  <c r="AB21" i="15"/>
  <c r="AB25" i="15"/>
  <c r="AB29" i="15"/>
  <c r="AA13" i="15"/>
  <c r="AA17" i="15"/>
  <c r="AA21" i="15"/>
  <c r="AA25" i="15"/>
  <c r="AA29" i="15"/>
  <c r="Z13" i="15"/>
  <c r="Z17" i="15"/>
  <c r="Z21" i="15"/>
  <c r="Z25" i="15"/>
  <c r="Z29" i="15"/>
  <c r="AC14" i="15"/>
  <c r="AC18" i="15"/>
  <c r="AC22" i="15"/>
  <c r="AC26" i="15"/>
  <c r="AC30" i="15"/>
  <c r="AB14" i="15"/>
  <c r="AB18" i="15"/>
  <c r="AB22" i="15"/>
  <c r="AB26" i="15"/>
  <c r="AB30" i="15"/>
  <c r="AA14" i="15"/>
  <c r="AA18" i="15"/>
  <c r="AA22" i="15"/>
  <c r="AA26" i="15"/>
  <c r="AA30" i="15"/>
  <c r="Z14" i="15"/>
  <c r="Z18" i="15"/>
  <c r="Z22" i="15"/>
  <c r="Z26" i="15"/>
  <c r="Z30" i="15"/>
  <c r="AC15" i="15"/>
  <c r="AC31" i="15"/>
  <c r="AB27" i="15"/>
  <c r="AA23" i="15"/>
  <c r="Z19" i="15"/>
  <c r="AC19" i="15"/>
  <c r="AB15" i="15"/>
  <c r="AB31" i="15"/>
  <c r="AA27" i="15"/>
  <c r="Z23" i="15"/>
  <c r="AB19" i="15"/>
  <c r="AA31" i="15"/>
  <c r="AC23" i="15"/>
  <c r="Z27" i="15"/>
  <c r="Z31" i="15"/>
  <c r="AB23" i="15"/>
  <c r="Z15" i="15"/>
  <c r="AA15" i="15"/>
  <c r="AC27" i="15"/>
  <c r="AA19" i="15"/>
  <c r="R81" i="15"/>
  <c r="R85" i="15"/>
  <c r="R89" i="15"/>
  <c r="R93" i="15"/>
  <c r="R97" i="15"/>
  <c r="R82" i="15"/>
  <c r="R86" i="15"/>
  <c r="R90" i="15"/>
  <c r="R94" i="15"/>
  <c r="R98" i="15"/>
  <c r="R83" i="15"/>
  <c r="R87" i="15"/>
  <c r="R84" i="15"/>
  <c r="R95" i="15"/>
  <c r="Q81" i="15"/>
  <c r="Q85" i="15"/>
  <c r="Q89" i="15"/>
  <c r="Q93" i="15"/>
  <c r="Q97" i="15"/>
  <c r="P81" i="15"/>
  <c r="P85" i="15"/>
  <c r="P89" i="15"/>
  <c r="P93" i="15"/>
  <c r="P97" i="15"/>
  <c r="O81" i="15"/>
  <c r="O85" i="15"/>
  <c r="O89" i="15"/>
  <c r="O93" i="15"/>
  <c r="O97" i="15"/>
  <c r="R88" i="15"/>
  <c r="R96" i="15"/>
  <c r="Q82" i="15"/>
  <c r="Q86" i="15"/>
  <c r="Q90" i="15"/>
  <c r="Q94" i="15"/>
  <c r="Q98" i="15"/>
  <c r="P82" i="15"/>
  <c r="P86" i="15"/>
  <c r="P90" i="15"/>
  <c r="P94" i="15"/>
  <c r="P98" i="15"/>
  <c r="O82" i="15"/>
  <c r="O86" i="15"/>
  <c r="O90" i="15"/>
  <c r="O94" i="15"/>
  <c r="O98" i="15"/>
  <c r="R91" i="15"/>
  <c r="Q83" i="15"/>
  <c r="Q91" i="15"/>
  <c r="Q99" i="15"/>
  <c r="P87" i="15"/>
  <c r="P95" i="15"/>
  <c r="O83" i="15"/>
  <c r="O91" i="15"/>
  <c r="O99" i="15"/>
  <c r="Q87" i="15"/>
  <c r="P83" i="15"/>
  <c r="O87" i="15"/>
  <c r="Q96" i="15"/>
  <c r="P92" i="15"/>
  <c r="O96" i="15"/>
  <c r="R92" i="15"/>
  <c r="Q84" i="15"/>
  <c r="Q92" i="15"/>
  <c r="Q100" i="15"/>
  <c r="P88" i="15"/>
  <c r="P96" i="15"/>
  <c r="O84" i="15"/>
  <c r="O92" i="15"/>
  <c r="O100" i="15"/>
  <c r="R99" i="15"/>
  <c r="Q95" i="15"/>
  <c r="P91" i="15"/>
  <c r="P99" i="15"/>
  <c r="O95" i="15"/>
  <c r="R100" i="15"/>
  <c r="Q88" i="15"/>
  <c r="P84" i="15"/>
  <c r="P100" i="15"/>
  <c r="O88" i="15"/>
  <c r="AB40" i="7"/>
  <c r="F14" i="5"/>
  <c r="Q18" i="5"/>
  <c r="AB43" i="7"/>
  <c r="F17" i="5"/>
  <c r="AB39" i="7"/>
  <c r="F13" i="5"/>
  <c r="Q14" i="5"/>
  <c r="AB12" i="5"/>
  <c r="AB16" i="5"/>
  <c r="AB10" i="5"/>
  <c r="AB14" i="5"/>
  <c r="Q10" i="5"/>
  <c r="AB44" i="7"/>
  <c r="F18" i="5"/>
  <c r="AB42" i="7"/>
  <c r="F16" i="5"/>
  <c r="AB38" i="7"/>
  <c r="F12" i="5"/>
  <c r="AB36" i="7"/>
  <c r="F10" i="5"/>
  <c r="AB45" i="7"/>
  <c r="AB41" i="7"/>
  <c r="F15" i="5"/>
  <c r="AB37" i="7"/>
  <c r="F11" i="5"/>
  <c r="Q12" i="5"/>
  <c r="Q17" i="5"/>
  <c r="Q16" i="5"/>
  <c r="Q15" i="5"/>
  <c r="AB17" i="5"/>
  <c r="AB15" i="5"/>
  <c r="AB18" i="5"/>
  <c r="E10" i="5"/>
  <c r="E17" i="5"/>
  <c r="E12" i="5"/>
  <c r="P13" i="5"/>
  <c r="E15" i="5"/>
  <c r="E11" i="5"/>
  <c r="P11" i="5"/>
  <c r="AA14" i="5"/>
  <c r="E13" i="5"/>
  <c r="P10" i="5"/>
  <c r="P17" i="5"/>
  <c r="AA13" i="5"/>
  <c r="E16" i="5"/>
  <c r="AA10" i="5"/>
  <c r="AA12" i="5"/>
  <c r="E18" i="5"/>
  <c r="E14" i="5"/>
  <c r="P16" i="5"/>
  <c r="AA18" i="5"/>
  <c r="AA17" i="5"/>
  <c r="D25" i="6"/>
  <c r="Z16" i="7"/>
  <c r="Z12" i="8"/>
  <c r="Z26" i="10"/>
  <c r="D40" i="20"/>
  <c r="O30" i="20"/>
  <c r="D11" i="6"/>
  <c r="Z15" i="8"/>
  <c r="D20" i="10"/>
  <c r="O27" i="13"/>
  <c r="D16" i="6"/>
  <c r="D44" i="10"/>
  <c r="Z10" i="11"/>
  <c r="Z19" i="20"/>
  <c r="D37" i="20"/>
  <c r="O28" i="13"/>
  <c r="D37" i="13"/>
  <c r="Z17" i="7"/>
  <c r="D14" i="7"/>
  <c r="D25" i="7"/>
  <c r="O26" i="8"/>
  <c r="D12" i="8"/>
  <c r="D42" i="10"/>
  <c r="D16" i="10"/>
  <c r="O47" i="10"/>
  <c r="D26" i="10"/>
  <c r="O55" i="10"/>
  <c r="Z14" i="11"/>
  <c r="Z45" i="20"/>
  <c r="D17" i="20"/>
  <c r="D13" i="20"/>
  <c r="D30" i="20"/>
  <c r="Z14" i="20"/>
  <c r="Z26" i="20"/>
  <c r="Z43" i="13"/>
  <c r="Z37" i="13"/>
  <c r="D10" i="13"/>
  <c r="Z18" i="13"/>
  <c r="O26" i="13"/>
  <c r="D44" i="13"/>
  <c r="O44" i="10"/>
  <c r="Z23" i="13"/>
  <c r="O12" i="5"/>
  <c r="Z12" i="5"/>
  <c r="Z11" i="5"/>
  <c r="D17" i="6"/>
  <c r="D13" i="7"/>
  <c r="D44" i="7"/>
  <c r="D25" i="8"/>
  <c r="D12" i="10"/>
  <c r="O38" i="10"/>
  <c r="D33" i="10"/>
  <c r="O59" i="10"/>
  <c r="Z9" i="11"/>
  <c r="D12" i="11"/>
  <c r="D43" i="20"/>
  <c r="D10" i="20"/>
  <c r="D45" i="20"/>
  <c r="Z17" i="20"/>
  <c r="Z44" i="20"/>
  <c r="O23" i="20"/>
  <c r="D41" i="13"/>
  <c r="Z32" i="13"/>
  <c r="D16" i="14"/>
  <c r="Z45" i="13"/>
  <c r="D26" i="8"/>
  <c r="Z17" i="5"/>
  <c r="Z16" i="5"/>
  <c r="O15" i="5"/>
  <c r="Z11" i="8"/>
  <c r="D30" i="8"/>
  <c r="O28" i="8"/>
  <c r="Z30" i="10"/>
  <c r="Z29" i="10"/>
  <c r="O46" i="10"/>
  <c r="O39" i="10"/>
  <c r="O52" i="10"/>
  <c r="D16" i="11"/>
  <c r="Z37" i="20"/>
  <c r="Z43" i="20"/>
  <c r="Z36" i="20"/>
  <c r="D18" i="13"/>
  <c r="Z39" i="13"/>
  <c r="D17" i="13"/>
  <c r="D11" i="14"/>
  <c r="D46" i="10"/>
  <c r="Z37" i="7"/>
  <c r="O36" i="5"/>
  <c r="O23" i="5"/>
  <c r="D23" i="5"/>
  <c r="Z36" i="5"/>
  <c r="Z23" i="5"/>
  <c r="D36" i="5"/>
  <c r="D10" i="5"/>
  <c r="Z24" i="7"/>
  <c r="Z67" i="10"/>
  <c r="O67" i="10"/>
  <c r="D53" i="9"/>
  <c r="Z40" i="9"/>
  <c r="O40" i="9"/>
  <c r="Z27" i="9"/>
  <c r="O27" i="9"/>
  <c r="Z14" i="9"/>
  <c r="O14" i="9"/>
  <c r="D40" i="9"/>
  <c r="D27" i="9"/>
  <c r="D14" i="9"/>
  <c r="D67" i="10"/>
  <c r="Z53" i="9"/>
  <c r="O53" i="9"/>
  <c r="O27" i="8"/>
  <c r="Z41" i="7"/>
  <c r="Z40" i="5"/>
  <c r="O40" i="5"/>
  <c r="D14" i="5"/>
  <c r="Z28" i="7"/>
  <c r="D27" i="8"/>
  <c r="O27" i="5"/>
  <c r="D27" i="5"/>
  <c r="Z27" i="5"/>
  <c r="D40" i="5"/>
  <c r="Z29" i="12"/>
  <c r="O16" i="12"/>
  <c r="D42" i="12"/>
  <c r="D29" i="12"/>
  <c r="Z42" i="12"/>
  <c r="O29" i="12"/>
  <c r="O42" i="12"/>
  <c r="D16" i="12"/>
  <c r="Z16" i="12"/>
  <c r="D10" i="6"/>
  <c r="D23" i="6"/>
  <c r="D28" i="7"/>
  <c r="D14" i="8"/>
  <c r="O14" i="8"/>
  <c r="Z10" i="8"/>
  <c r="O45" i="10"/>
  <c r="D28" i="10"/>
  <c r="D11" i="11"/>
  <c r="D15" i="11"/>
  <c r="D16" i="20"/>
  <c r="D29" i="13"/>
  <c r="Z12" i="13"/>
  <c r="D16" i="13"/>
  <c r="O25" i="13"/>
  <c r="O66" i="10"/>
  <c r="D52" i="9"/>
  <c r="Z39" i="9"/>
  <c r="O39" i="9"/>
  <c r="Z26" i="9"/>
  <c r="O26" i="9"/>
  <c r="Z13" i="9"/>
  <c r="O13" i="9"/>
  <c r="D39" i="9"/>
  <c r="D26" i="9"/>
  <c r="D13" i="9"/>
  <c r="Z66" i="10"/>
  <c r="D66" i="10"/>
  <c r="Z52" i="9"/>
  <c r="O52" i="9"/>
  <c r="D13" i="8"/>
  <c r="O10" i="8"/>
  <c r="D53" i="10"/>
  <c r="Z18" i="8"/>
  <c r="D16" i="7"/>
  <c r="D38" i="13"/>
  <c r="D56" i="9"/>
  <c r="Z43" i="9"/>
  <c r="O43" i="9"/>
  <c r="Z30" i="9"/>
  <c r="O30" i="9"/>
  <c r="Z17" i="9"/>
  <c r="O17" i="9"/>
  <c r="D43" i="9"/>
  <c r="D30" i="9"/>
  <c r="D17" i="9"/>
  <c r="D70" i="10"/>
  <c r="Z56" i="9"/>
  <c r="O56" i="9"/>
  <c r="O70" i="10"/>
  <c r="Z70" i="10"/>
  <c r="O17" i="8"/>
  <c r="Z43" i="5"/>
  <c r="O43" i="5"/>
  <c r="Z30" i="5"/>
  <c r="O30" i="5"/>
  <c r="D43" i="5"/>
  <c r="D30" i="5"/>
  <c r="D17" i="5"/>
  <c r="Z44" i="7"/>
  <c r="Z31" i="7"/>
  <c r="Z41" i="12"/>
  <c r="Z28" i="12"/>
  <c r="Z15" i="12"/>
  <c r="O41" i="12"/>
  <c r="O28" i="12"/>
  <c r="O15" i="12"/>
  <c r="D41" i="12"/>
  <c r="D28" i="12"/>
  <c r="D15" i="12"/>
  <c r="D15" i="7"/>
  <c r="Z11" i="7"/>
  <c r="D24" i="7"/>
  <c r="Z19" i="7"/>
  <c r="Z13" i="8"/>
  <c r="D19" i="10"/>
  <c r="Z31" i="10"/>
  <c r="O15" i="10"/>
  <c r="Z11" i="11"/>
  <c r="D32" i="20"/>
  <c r="Z38" i="20"/>
  <c r="Z11" i="20"/>
  <c r="D42" i="20"/>
  <c r="O24" i="20"/>
  <c r="Z38" i="13"/>
  <c r="Z28" i="13"/>
  <c r="O24" i="13"/>
  <c r="Z73" i="10"/>
  <c r="O73" i="10"/>
  <c r="D73" i="10"/>
  <c r="Z59" i="9"/>
  <c r="O59" i="9"/>
  <c r="D59" i="9"/>
  <c r="O46" i="9"/>
  <c r="Z33" i="9"/>
  <c r="O33" i="9"/>
  <c r="Z20" i="9"/>
  <c r="O20" i="9"/>
  <c r="D46" i="9"/>
  <c r="D33" i="9"/>
  <c r="D20" i="9"/>
  <c r="Z46" i="9"/>
  <c r="D69" i="10"/>
  <c r="Z55" i="9"/>
  <c r="O55" i="9"/>
  <c r="O69" i="10"/>
  <c r="Z69" i="10"/>
  <c r="Z42" i="9"/>
  <c r="O42" i="9"/>
  <c r="O29" i="9"/>
  <c r="D42" i="9"/>
  <c r="Z29" i="9"/>
  <c r="Z16" i="9"/>
  <c r="O16" i="9"/>
  <c r="D29" i="9"/>
  <c r="D16" i="9"/>
  <c r="D55" i="9"/>
  <c r="Z65" i="10"/>
  <c r="D65" i="10"/>
  <c r="Z51" i="9"/>
  <c r="O51" i="9"/>
  <c r="O38" i="9"/>
  <c r="Z25" i="9"/>
  <c r="O25" i="9"/>
  <c r="Z12" i="9"/>
  <c r="O12" i="9"/>
  <c r="D38" i="9"/>
  <c r="D25" i="9"/>
  <c r="D12" i="9"/>
  <c r="Z38" i="9"/>
  <c r="O65" i="10"/>
  <c r="D51" i="9"/>
  <c r="D43" i="7"/>
  <c r="Z42" i="5"/>
  <c r="O42" i="5"/>
  <c r="Z29" i="5"/>
  <c r="O29" i="5"/>
  <c r="D42" i="5"/>
  <c r="D29" i="5"/>
  <c r="D16" i="5"/>
  <c r="Z43" i="7"/>
  <c r="Z30" i="7"/>
  <c r="Z38" i="5"/>
  <c r="O38" i="5"/>
  <c r="Z25" i="5"/>
  <c r="O25" i="5"/>
  <c r="D38" i="5"/>
  <c r="D25" i="5"/>
  <c r="D12" i="5"/>
  <c r="D39" i="7"/>
  <c r="Z26" i="7"/>
  <c r="O12" i="8"/>
  <c r="Z39" i="7"/>
  <c r="O44" i="12"/>
  <c r="D31" i="12"/>
  <c r="D18" i="12"/>
  <c r="Z31" i="12"/>
  <c r="Z18" i="12"/>
  <c r="Z44" i="12"/>
  <c r="O18" i="12"/>
  <c r="D44" i="12"/>
  <c r="O31" i="12"/>
  <c r="Z14" i="12"/>
  <c r="D40" i="12"/>
  <c r="Z40" i="12"/>
  <c r="O14" i="12"/>
  <c r="O27" i="12"/>
  <c r="O40" i="12"/>
  <c r="D14" i="12"/>
  <c r="Z27" i="12"/>
  <c r="D27" i="12"/>
  <c r="O11" i="5"/>
  <c r="O18" i="5"/>
  <c r="Z13" i="5"/>
  <c r="O16" i="5"/>
  <c r="D18" i="6"/>
  <c r="D31" i="6"/>
  <c r="D30" i="6"/>
  <c r="D28" i="6"/>
  <c r="Z13" i="7"/>
  <c r="Z18" i="7"/>
  <c r="D17" i="7"/>
  <c r="D31" i="7"/>
  <c r="D26" i="7"/>
  <c r="D45" i="7"/>
  <c r="O30" i="8"/>
  <c r="Z17" i="8"/>
  <c r="D18" i="8"/>
  <c r="D28" i="8"/>
  <c r="O23" i="8"/>
  <c r="Z14" i="8"/>
  <c r="D58" i="10"/>
  <c r="D40" i="10"/>
  <c r="D55" i="10"/>
  <c r="D18" i="10"/>
  <c r="D14" i="10"/>
  <c r="D56" i="10"/>
  <c r="D41" i="10"/>
  <c r="Z34" i="10"/>
  <c r="Z33" i="10"/>
  <c r="O40" i="10"/>
  <c r="O41" i="10"/>
  <c r="D32" i="10"/>
  <c r="D29" i="10"/>
  <c r="O54" i="10"/>
  <c r="O60" i="10"/>
  <c r="D13" i="11"/>
  <c r="D17" i="11"/>
  <c r="Z41" i="20"/>
  <c r="D28" i="20"/>
  <c r="D36" i="20"/>
  <c r="D15" i="20"/>
  <c r="D11" i="20"/>
  <c r="D41" i="20"/>
  <c r="D26" i="20"/>
  <c r="Z40" i="20"/>
  <c r="D23" i="20"/>
  <c r="D14" i="20"/>
  <c r="O28" i="20"/>
  <c r="O31" i="20"/>
  <c r="O29" i="20"/>
  <c r="Z29" i="20"/>
  <c r="Z23" i="20"/>
  <c r="Z30" i="20"/>
  <c r="Z16" i="13"/>
  <c r="D14" i="13"/>
  <c r="D43" i="13"/>
  <c r="D39" i="13"/>
  <c r="D28" i="13"/>
  <c r="Z36" i="13"/>
  <c r="D23" i="13"/>
  <c r="Z14" i="13"/>
  <c r="O23" i="13"/>
  <c r="Z29" i="13"/>
  <c r="Z30" i="13"/>
  <c r="Z31" i="13"/>
  <c r="D19" i="13"/>
  <c r="D15" i="13"/>
  <c r="D40" i="13"/>
  <c r="Z44" i="13"/>
  <c r="D12" i="14"/>
  <c r="Z42" i="20"/>
  <c r="D44" i="20"/>
  <c r="D21" i="10"/>
  <c r="Z71" i="10"/>
  <c r="O71" i="10"/>
  <c r="D57" i="9"/>
  <c r="Z44" i="9"/>
  <c r="O44" i="9"/>
  <c r="Z31" i="9"/>
  <c r="O31" i="9"/>
  <c r="Z18" i="9"/>
  <c r="O18" i="9"/>
  <c r="D44" i="9"/>
  <c r="D31" i="9"/>
  <c r="D18" i="9"/>
  <c r="D71" i="10"/>
  <c r="Z57" i="9"/>
  <c r="O57" i="9"/>
  <c r="Z45" i="7"/>
  <c r="O44" i="5"/>
  <c r="O31" i="5"/>
  <c r="Z44" i="5"/>
  <c r="Z31" i="5"/>
  <c r="D44" i="5"/>
  <c r="D31" i="5"/>
  <c r="D18" i="5"/>
  <c r="Z32" i="7"/>
  <c r="Z38" i="12"/>
  <c r="O25" i="12"/>
  <c r="D12" i="12"/>
  <c r="Z25" i="12"/>
  <c r="Z12" i="12"/>
  <c r="O38" i="12"/>
  <c r="O12" i="12"/>
  <c r="D38" i="12"/>
  <c r="D25" i="12"/>
  <c r="O10" i="5"/>
  <c r="Z14" i="5"/>
  <c r="D37" i="7"/>
  <c r="D45" i="10"/>
  <c r="D25" i="20"/>
  <c r="D12" i="20"/>
  <c r="D42" i="13"/>
  <c r="Z42" i="13"/>
  <c r="Z16" i="20"/>
  <c r="Z23" i="12"/>
  <c r="O10" i="12"/>
  <c r="Z10" i="12"/>
  <c r="O36" i="12"/>
  <c r="D10" i="12"/>
  <c r="D36" i="12"/>
  <c r="D23" i="12"/>
  <c r="Z36" i="12"/>
  <c r="O23" i="12"/>
  <c r="Z40" i="7"/>
  <c r="Z39" i="5"/>
  <c r="O39" i="5"/>
  <c r="Z26" i="5"/>
  <c r="O26" i="5"/>
  <c r="D39" i="5"/>
  <c r="D26" i="5"/>
  <c r="D13" i="5"/>
  <c r="Z27" i="7"/>
  <c r="Z45" i="12"/>
  <c r="Z32" i="12"/>
  <c r="Z19" i="12"/>
  <c r="O45" i="12"/>
  <c r="O32" i="12"/>
  <c r="O19" i="12"/>
  <c r="D45" i="12"/>
  <c r="D32" i="12"/>
  <c r="D19" i="12"/>
  <c r="Z37" i="12"/>
  <c r="Z24" i="12"/>
  <c r="Z11" i="12"/>
  <c r="O37" i="12"/>
  <c r="O24" i="12"/>
  <c r="O11" i="12"/>
  <c r="D37" i="12"/>
  <c r="D24" i="12"/>
  <c r="D11" i="12"/>
  <c r="Z10" i="5"/>
  <c r="D41" i="7"/>
  <c r="D31" i="8"/>
  <c r="D15" i="10"/>
  <c r="Z32" i="10"/>
  <c r="O57" i="10"/>
  <c r="Z15" i="11"/>
  <c r="Z15" i="20"/>
  <c r="O25" i="20"/>
  <c r="Z25" i="20"/>
  <c r="Z32" i="20"/>
  <c r="D36" i="13"/>
  <c r="D24" i="13"/>
  <c r="Z11" i="13"/>
  <c r="D9" i="14"/>
  <c r="D14" i="14"/>
  <c r="D45" i="13"/>
  <c r="Z19" i="13"/>
  <c r="O18" i="8"/>
  <c r="Z72" i="10"/>
  <c r="D58" i="9"/>
  <c r="Z45" i="9"/>
  <c r="Z58" i="9"/>
  <c r="Z32" i="9"/>
  <c r="O58" i="9"/>
  <c r="D72" i="10"/>
  <c r="O32" i="9"/>
  <c r="Z19" i="9"/>
  <c r="O19" i="9"/>
  <c r="D32" i="9"/>
  <c r="D19" i="9"/>
  <c r="O72" i="10"/>
  <c r="O45" i="9"/>
  <c r="D45" i="9"/>
  <c r="Z68" i="10"/>
  <c r="O68" i="10"/>
  <c r="D54" i="9"/>
  <c r="Z41" i="9"/>
  <c r="O54" i="9"/>
  <c r="O41" i="9"/>
  <c r="Z28" i="9"/>
  <c r="O28" i="9"/>
  <c r="Z15" i="9"/>
  <c r="O15" i="9"/>
  <c r="D41" i="9"/>
  <c r="D28" i="9"/>
  <c r="D15" i="9"/>
  <c r="Z54" i="9"/>
  <c r="D68" i="10"/>
  <c r="Z64" i="10"/>
  <c r="O64" i="10"/>
  <c r="D50" i="9"/>
  <c r="Z37" i="9"/>
  <c r="O37" i="9"/>
  <c r="O50" i="9"/>
  <c r="O11" i="9"/>
  <c r="D37" i="9"/>
  <c r="D24" i="9"/>
  <c r="D11" i="9"/>
  <c r="D64" i="10"/>
  <c r="Z24" i="9"/>
  <c r="Z50" i="9"/>
  <c r="Z11" i="9"/>
  <c r="Z29" i="7"/>
  <c r="O41" i="5"/>
  <c r="O28" i="5"/>
  <c r="D15" i="5"/>
  <c r="Z42" i="7"/>
  <c r="D42" i="7"/>
  <c r="Z41" i="5"/>
  <c r="Z28" i="5"/>
  <c r="D28" i="5"/>
  <c r="D41" i="5"/>
  <c r="O11" i="8"/>
  <c r="Z25" i="7"/>
  <c r="D24" i="8"/>
  <c r="Z37" i="5"/>
  <c r="D24" i="5"/>
  <c r="Z38" i="7"/>
  <c r="D38" i="7"/>
  <c r="O37" i="5"/>
  <c r="Z24" i="5"/>
  <c r="O24" i="5"/>
  <c r="D11" i="5"/>
  <c r="D37" i="5"/>
  <c r="Z43" i="12"/>
  <c r="O30" i="12"/>
  <c r="D17" i="12"/>
  <c r="Z30" i="12"/>
  <c r="Z17" i="12"/>
  <c r="O43" i="12"/>
  <c r="O17" i="12"/>
  <c r="D43" i="12"/>
  <c r="D30" i="12"/>
  <c r="O39" i="12"/>
  <c r="D26" i="12"/>
  <c r="O26" i="12"/>
  <c r="D13" i="12"/>
  <c r="Z13" i="13"/>
  <c r="Z26" i="12"/>
  <c r="Z13" i="12"/>
  <c r="D39" i="12"/>
  <c r="Z39" i="12"/>
  <c r="O13" i="12"/>
  <c r="O13" i="5"/>
  <c r="O14" i="5"/>
  <c r="Z18" i="5"/>
  <c r="O17" i="5"/>
  <c r="D14" i="6"/>
  <c r="D15" i="6"/>
  <c r="D13" i="6"/>
  <c r="D12" i="6"/>
  <c r="D27" i="6"/>
  <c r="D26" i="6"/>
  <c r="D29" i="6"/>
  <c r="D24" i="6"/>
  <c r="D19" i="7"/>
  <c r="D11" i="7"/>
  <c r="Z14" i="7"/>
  <c r="Z15" i="7"/>
  <c r="D32" i="7"/>
  <c r="D27" i="7"/>
  <c r="D29" i="7"/>
  <c r="Z12" i="7"/>
  <c r="D40" i="7"/>
  <c r="D29" i="8"/>
  <c r="O16" i="8"/>
  <c r="D17" i="8"/>
  <c r="D15" i="8"/>
  <c r="D11" i="8"/>
  <c r="D10" i="8"/>
  <c r="D23" i="8"/>
  <c r="O29" i="8"/>
  <c r="Z16" i="8"/>
  <c r="D54" i="10"/>
  <c r="D38" i="10"/>
  <c r="D51" i="10"/>
  <c r="D17" i="10"/>
  <c r="D13" i="10"/>
  <c r="D52" i="10"/>
  <c r="D39" i="10"/>
  <c r="Z28" i="10"/>
  <c r="Z25" i="10"/>
  <c r="Z27" i="10"/>
  <c r="O42" i="10"/>
  <c r="O43" i="10"/>
  <c r="D27" i="10"/>
  <c r="D34" i="10"/>
  <c r="D31" i="10"/>
  <c r="O58" i="10"/>
  <c r="O51" i="10"/>
  <c r="D10" i="11"/>
  <c r="D8" i="11"/>
  <c r="Z13" i="11"/>
  <c r="Z17" i="11"/>
  <c r="D14" i="11"/>
  <c r="D39" i="20"/>
  <c r="D24" i="20"/>
  <c r="D29" i="20"/>
  <c r="Z13" i="20"/>
  <c r="Z10" i="20"/>
  <c r="Z39" i="20"/>
  <c r="D19" i="20"/>
  <c r="D38" i="20"/>
  <c r="Z18" i="20"/>
  <c r="Z12" i="20"/>
  <c r="O32" i="20"/>
  <c r="O26" i="20"/>
  <c r="Z24" i="20"/>
  <c r="Z27" i="20"/>
  <c r="D25" i="13"/>
  <c r="Z41" i="13"/>
  <c r="D32" i="13"/>
  <c r="Z15" i="13"/>
  <c r="D13" i="13"/>
  <c r="Z10" i="13"/>
  <c r="D27" i="13"/>
  <c r="Z25" i="13"/>
  <c r="Z26" i="13"/>
  <c r="Z27" i="13"/>
  <c r="O31" i="13"/>
  <c r="O32" i="13"/>
  <c r="O29" i="13"/>
  <c r="O30" i="13"/>
  <c r="D30" i="13"/>
  <c r="Z17" i="13"/>
  <c r="D10" i="14"/>
  <c r="D13" i="14"/>
  <c r="D31" i="20"/>
  <c r="D18" i="20"/>
  <c r="Z24" i="13"/>
  <c r="O9" i="14"/>
  <c r="O12" i="14"/>
  <c r="O17" i="14"/>
  <c r="O14" i="14"/>
  <c r="O11" i="14"/>
  <c r="O16" i="14"/>
  <c r="O13" i="14"/>
  <c r="O8" i="14"/>
  <c r="O15" i="14"/>
  <c r="O10" i="14"/>
  <c r="Z17" i="14"/>
  <c r="Z13" i="14"/>
  <c r="Z10" i="14"/>
  <c r="Z14" i="14"/>
  <c r="Z12" i="14"/>
  <c r="Z15" i="14"/>
  <c r="Z11" i="14"/>
  <c r="Z9" i="14"/>
  <c r="Z8" i="14"/>
  <c r="Z16" i="14"/>
  <c r="O37" i="13"/>
  <c r="O44" i="13"/>
  <c r="O42" i="13"/>
  <c r="O40" i="13"/>
  <c r="O36" i="13"/>
  <c r="O45" i="13"/>
  <c r="O43" i="13"/>
  <c r="O39" i="13"/>
  <c r="O38" i="13"/>
  <c r="O41" i="13"/>
  <c r="O19" i="13"/>
  <c r="O15" i="13"/>
  <c r="O18" i="13"/>
  <c r="O14" i="13"/>
  <c r="O11" i="13"/>
  <c r="O10" i="13"/>
  <c r="O17" i="13"/>
  <c r="O13" i="13"/>
  <c r="O12" i="13"/>
  <c r="O16" i="13"/>
  <c r="O44" i="20"/>
  <c r="O40" i="20"/>
  <c r="O36" i="20"/>
  <c r="O45" i="20"/>
  <c r="O41" i="20"/>
  <c r="O37" i="20"/>
  <c r="O42" i="20"/>
  <c r="O38" i="20"/>
  <c r="O43" i="20"/>
  <c r="O39" i="20"/>
  <c r="O18" i="20"/>
  <c r="O19" i="20"/>
  <c r="O14" i="20"/>
  <c r="O12" i="20"/>
  <c r="O11" i="20"/>
  <c r="O10" i="20"/>
  <c r="O16" i="20"/>
  <c r="O17" i="20"/>
  <c r="O15" i="20"/>
  <c r="O13" i="20"/>
  <c r="O17" i="11"/>
  <c r="O16" i="11"/>
  <c r="O15" i="11"/>
  <c r="O14" i="11"/>
  <c r="O13" i="11"/>
  <c r="O12" i="11"/>
  <c r="O11" i="11"/>
  <c r="O10" i="11"/>
  <c r="O9" i="11"/>
  <c r="O8" i="11"/>
  <c r="O12" i="10"/>
  <c r="O16" i="10"/>
  <c r="O20" i="10"/>
  <c r="O13" i="10"/>
  <c r="O17" i="10"/>
  <c r="O21" i="10"/>
  <c r="O14" i="10"/>
  <c r="O18" i="10"/>
  <c r="Z45" i="10"/>
  <c r="Z42" i="10"/>
  <c r="Z40" i="10"/>
  <c r="Z38" i="10"/>
  <c r="Z46" i="10"/>
  <c r="Z47" i="10"/>
  <c r="Z43" i="10"/>
  <c r="Z41" i="10"/>
  <c r="Z39" i="10"/>
  <c r="Z44" i="10"/>
  <c r="Z21" i="10"/>
  <c r="Z20" i="10"/>
  <c r="Z19" i="10"/>
  <c r="Z18" i="10"/>
  <c r="Z17" i="10"/>
  <c r="Z16" i="10"/>
  <c r="Z15" i="10"/>
  <c r="Z14" i="10"/>
  <c r="Z13" i="10"/>
  <c r="Z12" i="10"/>
  <c r="Z60" i="10"/>
  <c r="Z56" i="10"/>
  <c r="Z52" i="10"/>
  <c r="Z57" i="10"/>
  <c r="Z53" i="10"/>
  <c r="Z51" i="10"/>
  <c r="Z58" i="10"/>
  <c r="Z54" i="10"/>
  <c r="Z59" i="10"/>
  <c r="Z55" i="10"/>
  <c r="O34" i="10"/>
  <c r="O32" i="10"/>
  <c r="O30" i="10"/>
  <c r="O28" i="10"/>
  <c r="O26" i="10"/>
  <c r="O25" i="10"/>
  <c r="O33" i="10"/>
  <c r="O31" i="10"/>
  <c r="O29" i="10"/>
  <c r="O27" i="10"/>
  <c r="Z31" i="8"/>
  <c r="Z27" i="8"/>
  <c r="Z23" i="8"/>
  <c r="Z28" i="8"/>
  <c r="Z24" i="8"/>
  <c r="Z25" i="8"/>
  <c r="Z30" i="8"/>
  <c r="Z26" i="8"/>
  <c r="Z22" i="8"/>
  <c r="Z29" i="8"/>
  <c r="O38" i="7"/>
  <c r="O42" i="7"/>
  <c r="O39" i="7"/>
  <c r="O43" i="7"/>
  <c r="O36" i="7"/>
  <c r="O40" i="7"/>
  <c r="O44" i="7"/>
  <c r="O37" i="7"/>
  <c r="O41" i="7"/>
  <c r="O45" i="7"/>
  <c r="O16" i="7"/>
  <c r="O12" i="7"/>
  <c r="O17" i="7"/>
  <c r="O13" i="7"/>
  <c r="O19" i="7"/>
  <c r="O18" i="7"/>
  <c r="O14" i="7"/>
  <c r="O15" i="7"/>
  <c r="O11" i="7"/>
  <c r="O31" i="7"/>
  <c r="O27" i="7"/>
  <c r="O23" i="7"/>
  <c r="O32" i="7"/>
  <c r="O28" i="7"/>
  <c r="O24" i="7"/>
  <c r="O30" i="7"/>
  <c r="O26" i="7"/>
  <c r="O29" i="7"/>
  <c r="O25" i="7"/>
  <c r="Z23" i="6"/>
  <c r="Z27" i="6"/>
  <c r="Z31" i="6"/>
  <c r="Z30" i="6"/>
  <c r="Z24" i="6"/>
  <c r="Z28" i="6"/>
  <c r="Z22" i="6"/>
  <c r="Z25" i="6"/>
  <c r="Z29" i="6"/>
  <c r="Z26" i="6"/>
  <c r="O23" i="6"/>
  <c r="O27" i="6"/>
  <c r="O31" i="6"/>
  <c r="O24" i="6"/>
  <c r="O28" i="6"/>
  <c r="O30" i="6"/>
  <c r="O25" i="6"/>
  <c r="O29" i="6"/>
  <c r="O26" i="6"/>
  <c r="Z16" i="6"/>
  <c r="Z12" i="6"/>
  <c r="Z17" i="6"/>
  <c r="Z13" i="6"/>
  <c r="Z9" i="6"/>
  <c r="Z15" i="6"/>
  <c r="Z18" i="6"/>
  <c r="Z14" i="6"/>
  <c r="Z10" i="6"/>
  <c r="Z11" i="6"/>
  <c r="O15" i="6"/>
  <c r="O11" i="6"/>
  <c r="O16" i="6"/>
  <c r="O12" i="6"/>
  <c r="O18" i="6"/>
  <c r="O10" i="6"/>
  <c r="O17" i="6"/>
  <c r="O13" i="6"/>
  <c r="O9" i="6"/>
  <c r="O14" i="6"/>
  <c r="Z7" i="1"/>
  <c r="Z11" i="1"/>
  <c r="Z15" i="1"/>
  <c r="Z19" i="1"/>
  <c r="Z23" i="1"/>
  <c r="Z27" i="1"/>
  <c r="Z31" i="1"/>
  <c r="Z35" i="1"/>
  <c r="Z39" i="1"/>
  <c r="Z43" i="1"/>
  <c r="Z47" i="1"/>
  <c r="Z51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9" i="1"/>
  <c r="Z17" i="1"/>
  <c r="Z25" i="1"/>
  <c r="Z33" i="1"/>
  <c r="Z41" i="1"/>
  <c r="Z49" i="1"/>
  <c r="Z10" i="1"/>
  <c r="Z18" i="1"/>
  <c r="Z26" i="1"/>
  <c r="Z42" i="1"/>
  <c r="Z50" i="1"/>
  <c r="Z5" i="1"/>
  <c r="Z21" i="1"/>
  <c r="Z29" i="1"/>
  <c r="Z37" i="1"/>
  <c r="Z22" i="1"/>
  <c r="Z38" i="1"/>
  <c r="Z34" i="1"/>
  <c r="Z13" i="1"/>
  <c r="Z45" i="1"/>
  <c r="Z6" i="1"/>
  <c r="Z14" i="1"/>
  <c r="Z30" i="1"/>
  <c r="Z46" i="1"/>
  <c r="J4" i="11"/>
  <c r="U4" i="11" s="1"/>
  <c r="U3" i="11"/>
  <c r="AF3" i="11"/>
  <c r="AF4" i="11" l="1"/>
  <c r="J4" i="14"/>
  <c r="AF4" i="14" s="1"/>
  <c r="U4" i="14" l="1"/>
  <c r="J4" i="17"/>
  <c r="U4" i="17" s="1"/>
  <c r="U3" i="17"/>
  <c r="AF3" i="17"/>
  <c r="AF4" i="17" l="1"/>
  <c r="T5" i="5"/>
  <c r="AE5" i="5"/>
  <c r="AE4" i="5"/>
  <c r="T4" i="5"/>
  <c r="T3" i="5"/>
  <c r="AE3" i="5"/>
  <c r="AE5" i="6"/>
  <c r="T5" i="6"/>
  <c r="AE4" i="6"/>
  <c r="T4" i="6"/>
  <c r="T3" i="6"/>
  <c r="AE3" i="6"/>
  <c r="T4" i="13"/>
  <c r="AE4" i="13"/>
  <c r="T6" i="13"/>
  <c r="AE6" i="13"/>
  <c r="T5" i="13"/>
  <c r="AE5" i="13"/>
  <c r="T3" i="13"/>
  <c r="AE3" i="13"/>
  <c r="I4" i="14"/>
  <c r="AE4" i="14" s="1"/>
  <c r="T4" i="14" l="1"/>
  <c r="I4" i="17"/>
  <c r="AE4" i="17" s="1"/>
  <c r="T3" i="17"/>
  <c r="AE3" i="17"/>
  <c r="T4" i="17" l="1"/>
  <c r="I4" i="11"/>
  <c r="AE4" i="11" s="1"/>
  <c r="T3" i="11"/>
  <c r="AE3" i="11"/>
  <c r="T4" i="11" l="1"/>
</calcChain>
</file>

<file path=xl/sharedStrings.xml><?xml version="1.0" encoding="utf-8"?>
<sst xmlns="http://schemas.openxmlformats.org/spreadsheetml/2006/main" count="2023" uniqueCount="307">
  <si>
    <t>Level</t>
  </si>
  <si>
    <t>HP</t>
  </si>
  <si>
    <t>MP</t>
  </si>
  <si>
    <t>DEF</t>
  </si>
  <si>
    <t>AGI</t>
  </si>
  <si>
    <t>STR</t>
  </si>
  <si>
    <t>INT</t>
  </si>
  <si>
    <t>DEX</t>
  </si>
  <si>
    <t>XP needed to level up</t>
  </si>
  <si>
    <t>Easy</t>
  </si>
  <si>
    <t>XP Given</t>
  </si>
  <si>
    <t>LV</t>
  </si>
  <si>
    <t>Demon</t>
  </si>
  <si>
    <t>Elf</t>
  </si>
  <si>
    <t>Beastgirl</t>
  </si>
  <si>
    <t>Warrior</t>
  </si>
  <si>
    <t>Medium</t>
  </si>
  <si>
    <t>Hard</t>
  </si>
  <si>
    <t>Hits to defeat player (LV1)</t>
  </si>
  <si>
    <t>Hits to defeat player (LV2)</t>
  </si>
  <si>
    <t>Hits to defeat player (LV3)</t>
  </si>
  <si>
    <t>Blue Slime</t>
  </si>
  <si>
    <t>Green Slime</t>
  </si>
  <si>
    <t>Wolf</t>
  </si>
  <si>
    <t>Horned Wolf</t>
  </si>
  <si>
    <t>Spider</t>
  </si>
  <si>
    <t>Evolved Spider</t>
  </si>
  <si>
    <t>Arachne</t>
  </si>
  <si>
    <t>Hits to defeat Enemy (we calculate only max enemy level) (Easy)</t>
  </si>
  <si>
    <t>Earth Elemental</t>
  </si>
  <si>
    <t>Water Elemental</t>
  </si>
  <si>
    <t>Fire Elemental</t>
  </si>
  <si>
    <t>Wyvern</t>
  </si>
  <si>
    <t>Evolved Wyvern</t>
  </si>
  <si>
    <t>Dragon</t>
  </si>
  <si>
    <t>Hits to defeat Enemy (we calculate only max enemy level) (Medium)</t>
  </si>
  <si>
    <t>Hits to defeat Enemy (we calculate only max enemy level) (Hard)</t>
  </si>
  <si>
    <t>Hits to defeat player (LV4)</t>
  </si>
  <si>
    <t>Hits to defeat player (LV5)</t>
  </si>
  <si>
    <t>Hits to defeat player (LV6)</t>
  </si>
  <si>
    <t>Hits to defeat player (LV7)</t>
  </si>
  <si>
    <t>Hits to defeat player (LV8)</t>
  </si>
  <si>
    <t>Hits to defeat player (LV9)</t>
  </si>
  <si>
    <t>Hits to defeat player (LV10)</t>
  </si>
  <si>
    <t>Hits to defeat player (LV11)</t>
  </si>
  <si>
    <t>Hits to defeat player (LV12)</t>
  </si>
  <si>
    <t>Hits to defeat player (LV13)</t>
  </si>
  <si>
    <t>Hits to defeat player (LV15)</t>
  </si>
  <si>
    <t>Hits to defeat player (LV14)</t>
  </si>
  <si>
    <t>Hits to defeat player (LV16)</t>
  </si>
  <si>
    <t>Hits to defeat player (LV17)</t>
  </si>
  <si>
    <t>Hits to defeat player (LV18)</t>
  </si>
  <si>
    <t>Hits to defeat player (LV19)</t>
  </si>
  <si>
    <t>Hits to defeat player (LV20)</t>
  </si>
  <si>
    <t>Hits to defeat player (LV21)</t>
  </si>
  <si>
    <t>Hits to defeat player (LV22)</t>
  </si>
  <si>
    <t>Hits to defeat player (LV23)</t>
  </si>
  <si>
    <t>Hits to defeat player (LV24)</t>
  </si>
  <si>
    <t>Hits to defeat player (LV25)</t>
  </si>
  <si>
    <t>Hits to defeat player (LV26)</t>
  </si>
  <si>
    <t>Hits to defeat player (LV27)</t>
  </si>
  <si>
    <t>Hits to defeat player (LV28)</t>
  </si>
  <si>
    <t>Hits to defeat player (LV29)</t>
  </si>
  <si>
    <t>Hits to defeat player (LV30)</t>
  </si>
  <si>
    <t>Wind Elemental</t>
  </si>
  <si>
    <t>Hits to defeat player (LV31)</t>
  </si>
  <si>
    <t>Hits to defeat player (LV32)</t>
  </si>
  <si>
    <t>Hits to defeat player (LV33)</t>
  </si>
  <si>
    <t>Hits to defeat player (LV34)</t>
  </si>
  <si>
    <t>Hits to defeat player (LV35)</t>
  </si>
  <si>
    <t>Hits to defeat player (LV36)</t>
  </si>
  <si>
    <t>Hits to defeat player (LV37)</t>
  </si>
  <si>
    <t>Hits to defeat player (LV38)</t>
  </si>
  <si>
    <t>Hits to defeat player (LV39)</t>
  </si>
  <si>
    <t>Hits to defeat player (LV40)</t>
  </si>
  <si>
    <t>Hits to defeat player (LV45)</t>
  </si>
  <si>
    <t>Arms</t>
  </si>
  <si>
    <t>Chest</t>
  </si>
  <si>
    <t>Head</t>
  </si>
  <si>
    <t>Legs</t>
  </si>
  <si>
    <t>Shoulder</t>
  </si>
  <si>
    <t>Waist</t>
  </si>
  <si>
    <t>Weapon</t>
  </si>
  <si>
    <t>LV 10 set</t>
  </si>
  <si>
    <t>LV 20 set</t>
  </si>
  <si>
    <t>LV 30 set</t>
  </si>
  <si>
    <t>LV 40 set</t>
  </si>
  <si>
    <t>Set</t>
  </si>
  <si>
    <t>Name</t>
  </si>
  <si>
    <t>Type</t>
  </si>
  <si>
    <t>Starting set</t>
  </si>
  <si>
    <t>Total</t>
  </si>
  <si>
    <t>Equipment Ratio (divide this number by number of equipments( 7) to get value)</t>
  </si>
  <si>
    <t>Price</t>
  </si>
  <si>
    <t>Gold given</t>
  </si>
  <si>
    <t>Gold Given</t>
  </si>
  <si>
    <t>Quest description</t>
  </si>
  <si>
    <t>XP reward</t>
  </si>
  <si>
    <t>Gold reward</t>
  </si>
  <si>
    <t>Item name</t>
  </si>
  <si>
    <t>Effect</t>
  </si>
  <si>
    <t>Gold cost</t>
  </si>
  <si>
    <t>Small HP potion</t>
  </si>
  <si>
    <t>Medium HP potion</t>
  </si>
  <si>
    <t>High HP potion</t>
  </si>
  <si>
    <t>Small MP potion</t>
  </si>
  <si>
    <t>Medium MP potion</t>
  </si>
  <si>
    <t>High MP potion</t>
  </si>
  <si>
    <t>Small Elixir</t>
  </si>
  <si>
    <t>Medium Elixir</t>
  </si>
  <si>
    <t>High Elixir</t>
  </si>
  <si>
    <t>Small Revival</t>
  </si>
  <si>
    <t>Medium Revival</t>
  </si>
  <si>
    <t>High Revival</t>
  </si>
  <si>
    <t>30% HP</t>
  </si>
  <si>
    <t>50% HP</t>
  </si>
  <si>
    <t>100% HP</t>
  </si>
  <si>
    <t>30% HP,MP</t>
  </si>
  <si>
    <t>50% HP,MP</t>
  </si>
  <si>
    <t>100% HP,MP</t>
  </si>
  <si>
    <t>D</t>
  </si>
  <si>
    <t>Visit merchant</t>
  </si>
  <si>
    <t>Visit blacksmith</t>
  </si>
  <si>
    <t>Gather herbs</t>
  </si>
  <si>
    <t>Fight one slime</t>
  </si>
  <si>
    <t>F</t>
  </si>
  <si>
    <t>Fight 5 slimes</t>
  </si>
  <si>
    <t>Fight 20 slimes</t>
  </si>
  <si>
    <t>Fight one advanced slime</t>
  </si>
  <si>
    <t>Fight 5 advanced slimes</t>
  </si>
  <si>
    <t>Fight 20 advanced slimes</t>
  </si>
  <si>
    <t>Gather herbs in the area around advanced slimes</t>
  </si>
  <si>
    <t>E</t>
  </si>
  <si>
    <t>Fight one wolf</t>
  </si>
  <si>
    <t>Fight 5 wolfs</t>
  </si>
  <si>
    <t>Fight 20 wolfs</t>
  </si>
  <si>
    <t>C</t>
  </si>
  <si>
    <t>Fight 5 advanced wolfs</t>
  </si>
  <si>
    <t>Fight a spider</t>
  </si>
  <si>
    <t>Fight 5 spiders</t>
  </si>
  <si>
    <t>Fight 20 spiders</t>
  </si>
  <si>
    <t>Fight an advanced spider</t>
  </si>
  <si>
    <t>Fight 5 advanced spiders</t>
  </si>
  <si>
    <t>Fight 20 advanced spiders</t>
  </si>
  <si>
    <t>Gather herbs around the wolf area</t>
  </si>
  <si>
    <t>Gather crystals around advanced spider area</t>
  </si>
  <si>
    <t>Gather crystals around spider area</t>
  </si>
  <si>
    <t>B - advancement</t>
  </si>
  <si>
    <t>Fight Arachne</t>
  </si>
  <si>
    <t>E - advancement</t>
  </si>
  <si>
    <t>D - advancement</t>
  </si>
  <si>
    <t>C - advancement</t>
  </si>
  <si>
    <t>B</t>
  </si>
  <si>
    <t>Fight one earth elemental</t>
  </si>
  <si>
    <t>Fight 5 earth elementals</t>
  </si>
  <si>
    <t>Fight 20 earth elementals</t>
  </si>
  <si>
    <t>Fight one water elemental</t>
  </si>
  <si>
    <t>Fight one Wind elemental</t>
  </si>
  <si>
    <t>Gather magic crystals around the area</t>
  </si>
  <si>
    <t>Fight 5 wind elementals</t>
  </si>
  <si>
    <t>Fight 20 wind elementals</t>
  </si>
  <si>
    <t>Fight 5 water elementals</t>
  </si>
  <si>
    <t>Fight 20 water elementals</t>
  </si>
  <si>
    <t>A - advancement</t>
  </si>
  <si>
    <t>Fight fire elemental</t>
  </si>
  <si>
    <t>Collectibles</t>
  </si>
  <si>
    <t>Sell price</t>
  </si>
  <si>
    <t>Fight one wyvern</t>
  </si>
  <si>
    <t>Collect wyvern eggs</t>
  </si>
  <si>
    <t>Fight 5 wyverns</t>
  </si>
  <si>
    <t>Fight 20 wyverns</t>
  </si>
  <si>
    <t>Fight one advanced wyvern</t>
  </si>
  <si>
    <t>Collect advanced wyvern eggs</t>
  </si>
  <si>
    <t>Fight 5 advanced wyverns</t>
  </si>
  <si>
    <t>Fight 20 advanced wyverns</t>
  </si>
  <si>
    <t>A</t>
  </si>
  <si>
    <t>S - advancement</t>
  </si>
  <si>
    <t>Fight the dragon</t>
  </si>
  <si>
    <t>Gather magic crystals around the fire elemental area</t>
  </si>
  <si>
    <t>240 (before starting quest so you can buy items)</t>
  </si>
  <si>
    <t>300 (before starting quest so you can buy items)</t>
  </si>
  <si>
    <t>Fight one advanced wolf</t>
  </si>
  <si>
    <t>Gold reward percentage</t>
  </si>
  <si>
    <t>Recommended LV</t>
  </si>
  <si>
    <t>Rank</t>
  </si>
  <si>
    <t>herb 1</t>
  </si>
  <si>
    <t>Map</t>
  </si>
  <si>
    <t>Place</t>
  </si>
  <si>
    <t>Plains</t>
  </si>
  <si>
    <t>herb 2</t>
  </si>
  <si>
    <t>herb 3</t>
  </si>
  <si>
    <t>herb 4</t>
  </si>
  <si>
    <t>Starting area</t>
  </si>
  <si>
    <t>Advanced slimes area</t>
  </si>
  <si>
    <t>Wolf area</t>
  </si>
  <si>
    <t>crystal 1</t>
  </si>
  <si>
    <t>crystal 2</t>
  </si>
  <si>
    <t>Cave</t>
  </si>
  <si>
    <t>Spider area</t>
  </si>
  <si>
    <t>Advanced spider area</t>
  </si>
  <si>
    <t>earth crystal</t>
  </si>
  <si>
    <t>wind crystal</t>
  </si>
  <si>
    <t>water crystal</t>
  </si>
  <si>
    <t>fire crystal</t>
  </si>
  <si>
    <t>Tower</t>
  </si>
  <si>
    <t>Earth area</t>
  </si>
  <si>
    <t>Wind area</t>
  </si>
  <si>
    <t>Water area</t>
  </si>
  <si>
    <t>Fire area</t>
  </si>
  <si>
    <t>wyvern egg</t>
  </si>
  <si>
    <t>advanced wyvern egg</t>
  </si>
  <si>
    <t>Cliffs</t>
  </si>
  <si>
    <t>Wyvern area</t>
  </si>
  <si>
    <t>Advanced wyvern area</t>
  </si>
  <si>
    <t>Leather helmet</t>
  </si>
  <si>
    <t>Leather leggings</t>
  </si>
  <si>
    <t>Leather shoulderguard</t>
  </si>
  <si>
    <t>Leather chestmail</t>
  </si>
  <si>
    <t>Leather gauntlet</t>
  </si>
  <si>
    <t>Leather faulds</t>
  </si>
  <si>
    <t>Bronze gauntlet</t>
  </si>
  <si>
    <t>Bronze chestmail</t>
  </si>
  <si>
    <t>Bronse helmet</t>
  </si>
  <si>
    <t>Bronze leggings</t>
  </si>
  <si>
    <t>Bronze shoulderguard</t>
  </si>
  <si>
    <t>Bronze faulds</t>
  </si>
  <si>
    <t>Iron chestmail</t>
  </si>
  <si>
    <t>Iron helmet</t>
  </si>
  <si>
    <t>Iron leggings</t>
  </si>
  <si>
    <t>Iron shoulderguard</t>
  </si>
  <si>
    <t>Iron faulds</t>
  </si>
  <si>
    <t>Steel chestmail</t>
  </si>
  <si>
    <t>Steel helmet</t>
  </si>
  <si>
    <t>Steel leggings</t>
  </si>
  <si>
    <t>Steel shoulderguard</t>
  </si>
  <si>
    <t>Steel faulds</t>
  </si>
  <si>
    <t>Titanium chestmail</t>
  </si>
  <si>
    <t>Iron gauntlet</t>
  </si>
  <si>
    <t>Titanium gauntlet</t>
  </si>
  <si>
    <t>Steel gauntlet</t>
  </si>
  <si>
    <t>Titanuim helmet</t>
  </si>
  <si>
    <t>Titanium leggings</t>
  </si>
  <si>
    <t>Titanium shoulderguard</t>
  </si>
  <si>
    <t>Titanium faulds</t>
  </si>
  <si>
    <t>The ripper</t>
  </si>
  <si>
    <t>Hell's Slice</t>
  </si>
  <si>
    <t>Final Critic</t>
  </si>
  <si>
    <t>Misery's End</t>
  </si>
  <si>
    <t>Death's March</t>
  </si>
  <si>
    <t>Windlass</t>
  </si>
  <si>
    <t>Talonstrike</t>
  </si>
  <si>
    <t>Harbringer</t>
  </si>
  <si>
    <t>Final Wisper</t>
  </si>
  <si>
    <t>Tenderizer</t>
  </si>
  <si>
    <t>Severance</t>
  </si>
  <si>
    <t>Vanquisher</t>
  </si>
  <si>
    <t>Bloodspiller</t>
  </si>
  <si>
    <t>Stormfury</t>
  </si>
  <si>
    <t>Deliverence</t>
  </si>
  <si>
    <t>Eternal Rest</t>
  </si>
  <si>
    <t>Bloodvenom Reaver</t>
  </si>
  <si>
    <t>Fleshshaper</t>
  </si>
  <si>
    <t>Decimation</t>
  </si>
  <si>
    <t>Dragonclaw</t>
  </si>
  <si>
    <t>Player</t>
  </si>
  <si>
    <t>MP cost</t>
  </si>
  <si>
    <t>Description</t>
  </si>
  <si>
    <t>Skill level</t>
  </si>
  <si>
    <t>Number of uses</t>
  </si>
  <si>
    <t>Number of uses to level up</t>
  </si>
  <si>
    <t>Horizontal target phisical strike</t>
  </si>
  <si>
    <t>Vertical target phisical strike</t>
  </si>
  <si>
    <t>All enemies phisical strike</t>
  </si>
  <si>
    <t>Single target fire strike</t>
  </si>
  <si>
    <t>Single target phisical strike</t>
  </si>
  <si>
    <t>Horizontal target fire strike</t>
  </si>
  <si>
    <t>Vertical target fire strike</t>
  </si>
  <si>
    <t>All enemies fire strike</t>
  </si>
  <si>
    <t>Single target HP recovery</t>
  </si>
  <si>
    <t>All party HP recovery</t>
  </si>
  <si>
    <t>Single target revival</t>
  </si>
  <si>
    <t>Single target wind strike</t>
  </si>
  <si>
    <t>Horizontal target wind strike</t>
  </si>
  <si>
    <t>Vertical target wind strike</t>
  </si>
  <si>
    <t>All enemies wind strike</t>
  </si>
  <si>
    <t>All party MP recovery
(costs HP)</t>
  </si>
  <si>
    <t>Single target MP recovery
(costs HP)</t>
  </si>
  <si>
    <t>Instakill chance single target
(doesn't work on bosses)</t>
  </si>
  <si>
    <t>Instakill chance horizontal target
(doesn't work on bosses)</t>
  </si>
  <si>
    <t>Instakill chance vertical target
(doesn't work on bosses)</t>
  </si>
  <si>
    <t>Instakill chance all target
(doesn't work on bosses)</t>
  </si>
  <si>
    <t>Single target earth strike</t>
  </si>
  <si>
    <t>Vertical target earth strike</t>
  </si>
  <si>
    <t>Horizontal targeet earth strike</t>
  </si>
  <si>
    <t>All enemies earth strike</t>
  </si>
  <si>
    <t>Single target defense boost (lasts 3 turns)</t>
  </si>
  <si>
    <t>All party defense boost(lasts 3 turns)</t>
  </si>
  <si>
    <t>Single target attack boost(lasts 3 turns)</t>
  </si>
  <si>
    <t>All party attack boost(lasts 3 turns)</t>
  </si>
  <si>
    <t>Single target water strike</t>
  </si>
  <si>
    <t>Horizontal target water strike</t>
  </si>
  <si>
    <t>Vertical target water strike</t>
  </si>
  <si>
    <t>All enemies water strike</t>
  </si>
  <si>
    <t>Effect(%)</t>
  </si>
  <si>
    <t>Level requirement</t>
  </si>
  <si>
    <t>Number of uses level(used by formula)</t>
  </si>
  <si>
    <t>This enemy is something like a mini-boss so it will only appear 1 or two at most per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</si>
</sst>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left" vertical="center"/>
    </xf>
    <xf numFmtId="2" fontId="6" fillId="5" borderId="5" xfId="0" applyNumberFormat="1" applyFont="1" applyFill="1" applyBorder="1" applyAlignment="1">
      <alignment horizontal="left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" fontId="0" fillId="0" borderId="10" xfId="0" applyNumberFormat="1" applyFont="1" applyBorder="1" applyAlignment="1">
      <alignment horizontal="right" vertical="center"/>
    </xf>
    <xf numFmtId="1" fontId="0" fillId="0" borderId="9" xfId="0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textRotation="255"/>
    </xf>
    <xf numFmtId="0" fontId="8" fillId="9" borderId="6" xfId="0" applyFont="1" applyFill="1" applyBorder="1" applyAlignment="1">
      <alignment horizontal="center" vertical="center" textRotation="255"/>
    </xf>
    <xf numFmtId="0" fontId="8" fillId="8" borderId="0" xfId="0" applyFont="1" applyFill="1" applyBorder="1" applyAlignment="1">
      <alignment horizontal="center" vertical="center" textRotation="255"/>
    </xf>
    <xf numFmtId="0" fontId="8" fillId="8" borderId="6" xfId="0" applyFont="1" applyFill="1" applyBorder="1" applyAlignment="1">
      <alignment horizontal="center" vertical="center" textRotation="255"/>
    </xf>
    <xf numFmtId="0" fontId="8" fillId="7" borderId="0" xfId="0" applyFont="1" applyFill="1" applyBorder="1" applyAlignment="1">
      <alignment horizontal="center" vertical="center" textRotation="255"/>
    </xf>
    <xf numFmtId="0" fontId="8" fillId="7" borderId="6" xfId="0" applyFont="1" applyFill="1" applyBorder="1" applyAlignment="1">
      <alignment horizontal="center" vertical="center" textRotation="255"/>
    </xf>
    <xf numFmtId="0" fontId="8" fillId="10" borderId="0" xfId="0" applyFont="1" applyFill="1" applyBorder="1" applyAlignment="1">
      <alignment horizontal="center" vertical="center" textRotation="255"/>
    </xf>
    <xf numFmtId="0" fontId="8" fillId="10" borderId="6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16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C5C6FB-EA8C-4CC0-834B-404D361CD9A8}" name="Table15" displayName="Table15" ref="A1:I52" totalsRowShown="0" headerRowDxfId="1666" dataDxfId="1665">
  <autoFilter ref="A1:I52" xr:uid="{2FC8E42F-FD4C-4C8F-9F6E-9E44A3C7B83D}"/>
  <tableColumns count="9">
    <tableColumn id="1" xr3:uid="{7A376DE5-ABB3-41CF-8DEC-2FB2A270C453}" name="Level" dataDxfId="1664"/>
    <tableColumn id="2" xr3:uid="{7AD1995C-33B9-4589-8B28-42FE5B2A8504}" name="HP" dataDxfId="1663"/>
    <tableColumn id="3" xr3:uid="{0C95AB53-6324-4088-B285-9872F447C6ED}" name="MP" dataDxfId="1662">
      <calculatedColumnFormula xml:space="preserve"> 2*Table15[[#This Row],[INT]]</calculatedColumnFormula>
    </tableColumn>
    <tableColumn id="4" xr3:uid="{FA8F82C5-7940-4546-8FDE-24978F801197}" name="DEF" dataDxfId="1661"/>
    <tableColumn id="5" xr3:uid="{6FC448C7-421E-45EC-ADB7-5F630B8EEAEC}" name="AGI" dataDxfId="1660"/>
    <tableColumn id="6" xr3:uid="{D5A1BAF1-FE20-4B99-AD90-02B9AE75ED6F}" name="STR" dataDxfId="1659"/>
    <tableColumn id="7" xr3:uid="{5A2CDBFB-EBE6-46BF-8130-971F68D0C962}" name="INT" dataDxfId="1658"/>
    <tableColumn id="8" xr3:uid="{DD54E88D-2023-4849-82AE-05656C4C1990}" name="DEX" dataDxfId="1657"/>
    <tableColumn id="9" xr3:uid="{2233409F-A3DB-4925-B5F1-C27B4588F169}" name="XP needed to level up" dataDxfId="16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AE054A-2950-40E5-AE45-F701EB2CF068}" name="Table38712" displayName="Table38712" ref="K2:X52" totalsRowShown="0" headerRowDxfId="1537" dataDxfId="1536">
  <autoFilter ref="K2:X52" xr:uid="{8FD54639-59EC-496D-BFB1-818BA538F240}"/>
  <tableColumns count="14">
    <tableColumn id="1" xr3:uid="{014DD7A9-A8C9-45F0-86C6-1D378F243D3B}" name="Blue Slime" dataDxfId="1535">
      <calculatedColumnFormula>CEILING('Blue Slime'!$B$5/ IF('Blue Slime'!$D$5&lt; 10.8, Table13[[#This Row],[STR]], Table13[[#This Row],[STR]] / ('Blue Slime'!$D$5 / 10.8)), 1)</calculatedColumnFormula>
    </tableColumn>
    <tableColumn id="2" xr3:uid="{7608DBC3-CAE7-41DE-9883-B5FCDB672EAE}" name="Green Slime" dataDxfId="1534">
      <calculatedColumnFormula>CEILING('Green Slime'!$B$5/ IF('Green Slime'!$D$5&lt; 10.8, Table13[[#This Row],[STR]], Table13[[#This Row],[STR]] / ('Green Slime'!$D$5 / 10.8)), 1)</calculatedColumnFormula>
    </tableColumn>
    <tableColumn id="3" xr3:uid="{5D4249D7-AB25-4F1A-B29E-1769C12878BA}" name="Wolf" dataDxfId="1533">
      <calculatedColumnFormula>CEILING(Wolf!$B$6/ IF(Wolf!$D$6&lt; 10.8, Table13[[#This Row],[STR]], Table13[[#This Row],[STR]] / (Wolf!$D$6 / 10.8)), 1)</calculatedColumnFormula>
    </tableColumn>
    <tableColumn id="4" xr3:uid="{816DA20B-5C6D-4004-A99B-5FE6EEE0EC4A}" name="Horned Wolf" dataDxfId="1532">
      <calculatedColumnFormula>CEILING('Horned Wolf'!$B$5/ IF('Horned Wolf'!$D$5&lt; 10.8, Table13[[#This Row],[STR]], Table13[[#This Row],[STR]] / ('Horned Wolf'!$D$5 / 10.8)), 1)</calculatedColumnFormula>
    </tableColumn>
    <tableColumn id="5" xr3:uid="{9F0C8A42-852B-42A6-91F8-530BFE3EA66C}" name="Spider" dataDxfId="1531">
      <calculatedColumnFormula>CEILING(Spider!$B$7/ IF(Spider!$D$7&lt; 10.8, Table13[[#This Row],[STR]], Table13[[#This Row],[STR]] / (Spider!$D$7 / 10.8)), 1)</calculatedColumnFormula>
    </tableColumn>
    <tableColumn id="6" xr3:uid="{B1F2FADD-A190-4FFB-9CB6-8C7B2D364443}" name="Evolved Spider" dataDxfId="1530">
      <calculatedColumnFormula>CEILING('Evolved Spider'!$B$8/ IF('Evolved Spider'!$D$8&lt; 10.8, Table13[[#This Row],[STR]], Table13[[#This Row],[STR]] / ('Evolved Spider'!$D$8 / 10.8)), 1)</calculatedColumnFormula>
    </tableColumn>
    <tableColumn id="7" xr3:uid="{A0D69FAE-C3F5-4BF7-B8B0-DF26D1A5DE6E}" name="Arachne" dataDxfId="1529">
      <calculatedColumnFormula>CEILING(Arachne!$B$4/ IF(Arachne!$D$4&lt; 10.8, Table13[[#This Row],[STR]], Table13[[#This Row],[STR]] / (Arachne!$D$4 / 10.8)), 1)</calculatedColumnFormula>
    </tableColumn>
    <tableColumn id="8" xr3:uid="{7CDC5A3B-D412-4D8A-9744-EA9CBC55B1F9}" name="Earth Elemental" dataDxfId="1528">
      <calculatedColumnFormula>CEILING('Earth Elemental'!$B$6/ IF('Earth Elemental'!$D$6&lt; 10.8, Table13[[#This Row],[STR]], Table13[[#This Row],[STR]] / ('Earth Elemental'!$D$6 / 10.8)), 1)</calculatedColumnFormula>
    </tableColumn>
    <tableColumn id="9" xr3:uid="{5B2E5A49-0D9F-4690-8CC2-FDA8D445444C}" name="Wind Elemental" dataDxfId="1527">
      <calculatedColumnFormula>CEILING('Wind Elemental'!$B$6/ IF('Wind Elemental'!$D$6&lt; 10.8, Table13[[#This Row],[STR]], Table13[[#This Row],[STR]] / ('Wind Elemental'!$D$6 / 10.8)), 1)</calculatedColumnFormula>
    </tableColumn>
    <tableColumn id="14" xr3:uid="{10D3B4AB-7565-4BC2-86D3-C87D53EAD240}" name="Water Elemental" dataDxfId="1526">
      <calculatedColumnFormula>CEILING('Water Elemental'!$B$6/ IF('Water Elemental'!$D$6&lt; 10.8, Table13[[#This Row],[STR]], Table13[[#This Row],[STR]] / ('Water Elemental'!$D$6 / 10.8)), 1)</calculatedColumnFormula>
    </tableColumn>
    <tableColumn id="10" xr3:uid="{6A81921A-9A8D-410C-AFF7-9AE7ADB11538}" name="Fire Elemental" dataDxfId="1525">
      <calculatedColumnFormula>CEILING('Fire Elemental'!$B$4/ IF('Fire Elemental'!$D$4&lt; 10.8, Table13[[#This Row],[STR]], Table13[[#This Row],[STR]] / ('Fire Elemental'!$D$4 / 10.8)), 1)</calculatedColumnFormula>
    </tableColumn>
    <tableColumn id="11" xr3:uid="{724F7194-3FD1-4ED9-9C65-B4E128F1C394}" name="Wyvern" dataDxfId="1524">
      <calculatedColumnFormula>CEILING(Wyvern!$B$4/ IF(Wyvern!$D$4&lt; 10.8, Table13[[#This Row],[STR]], Table13[[#This Row],[STR]] / (Wyvern!$D$4 / 10.8)), 1)</calculatedColumnFormula>
    </tableColumn>
    <tableColumn id="12" xr3:uid="{B29AB2B9-96AB-4FA5-B960-694B0387D8EF}" name="Evolved Wyvern" dataDxfId="1523">
      <calculatedColumnFormula>CEILING('Evolved Wyvern'!$B$4/ IF('Evolved Wyvern'!$D$4&lt; 10.8, Table13[[#This Row],[STR]], Table13[[#This Row],[STR]] / ('Evolved Wyvern'!$D$4 / 10.8)), 1)</calculatedColumnFormula>
    </tableColumn>
    <tableColumn id="13" xr3:uid="{74AE98BD-6215-4F29-83DC-C11E3B8AD33B}" name="Dragon" dataDxfId="1522">
      <calculatedColumnFormula>CEILING(Dragon!$B$4/ IF(Dragon!$D$4&lt; 10.8, Table13[[#This Row],[STR]], Table13[[#This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FC28BB15-1EFC-4C18-A07C-FE8737F1A603}" name="Table591098185" displayName="Table591098185" ref="W2:AF6" totalsRowShown="0" headerRowDxfId="734" dataDxfId="733">
  <autoFilter ref="W2:AF6" xr:uid="{B769A84D-1939-4F96-A83D-A02B40236299}"/>
  <tableColumns count="10">
    <tableColumn id="1" xr3:uid="{E9853CAC-5C13-4E5F-AD05-9265095324A4}" name="LV" dataDxfId="732"/>
    <tableColumn id="2" xr3:uid="{29D25CC1-31E3-4DC4-99B9-FAC8F80F4D5C}" name="HP" dataDxfId="731"/>
    <tableColumn id="3" xr3:uid="{26F9D42C-BA62-430B-9428-521E7995413C}" name="MP" dataDxfId="730"/>
    <tableColumn id="4" xr3:uid="{2B2DDCC7-AB5A-4A9F-A0A5-B0CB6D494A41}" name="DEF" dataDxfId="729"/>
    <tableColumn id="5" xr3:uid="{9B7425D3-A588-443F-8952-8DE3B35AD47F}" name="AGI" dataDxfId="728"/>
    <tableColumn id="6" xr3:uid="{B8B7670D-71AA-4181-8146-8D66D60A5EEB}" name="STR" dataDxfId="727"/>
    <tableColumn id="7" xr3:uid="{1D3049EE-F6FA-4FE0-AA9E-186F627176F8}" name="INT" dataDxfId="726"/>
    <tableColumn id="8" xr3:uid="{3EA60446-50AD-49A6-9948-E1D578B8F6CC}" name="DEX" dataDxfId="725"/>
    <tableColumn id="9" xr3:uid="{CA79ECCF-4DE8-4D29-9D49-D483CCAB78AE}" name="XP Given" dataDxfId="724">
      <calculatedColumnFormula>Table596183[[#This Row],[XP Given]]*1.5</calculatedColumnFormula>
    </tableColumn>
    <tableColumn id="10" xr3:uid="{B7AE7873-C3B3-456D-BB5B-8DDE8E555D87}" name="Gold Given" dataDxfId="723"/>
  </tableColumns>
  <tableStyleInfo name="TableStyleMedium10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3741E26-6AD2-4220-82CF-5B170D9AEB44}" name="Table712131754102186" displayName="Table712131754102186" ref="C9:G19" totalsRowShown="0" headerRowDxfId="722" dataDxfId="721">
  <autoFilter ref="C9:G19" xr:uid="{6B0A2272-A0AA-49C8-98EE-9EA96E6B975F}"/>
  <tableColumns count="5">
    <tableColumn id="1" xr3:uid="{12FDE907-AEB2-40DE-BB12-A2553F56D813}" name="LV" dataDxfId="720"/>
    <tableColumn id="2" xr3:uid="{526D653F-D5FE-4B18-B912-DAD69FB76D5D}" name="Demon" dataDxfId="719">
      <calculatedColumnFormula>CEILING(Demon!$B23 / IF(Demon!$D23&lt; 10.8, $F$4, $F$4 / (Demon!$D23 / 10.8)),1)</calculatedColumnFormula>
    </tableColumn>
    <tableColumn id="3" xr3:uid="{1502F655-032B-43A5-96CC-D4CAF0A4A2F6}" name="Elf" dataDxfId="718">
      <calculatedColumnFormula>CEILING(Elf!$B23 / IF(Elf!$D23 &lt; 10.8, $F$4, $F$4 / (Elf!$D23 / 10.8)),1)</calculatedColumnFormula>
    </tableColumn>
    <tableColumn id="4" xr3:uid="{47879520-9A83-4997-9E91-46E58A92EDAB}" name="Beastgirl" dataDxfId="717">
      <calculatedColumnFormula>CEILING(Beastgirl!$B23/ IF(Beastgirl!$D23&lt; 10.8,$F$4, $F$4 / (Beastgirl!$D23 / 10.8)),1)</calculatedColumnFormula>
    </tableColumn>
    <tableColumn id="5" xr3:uid="{C174DA9A-8DA2-4DFA-95A1-C8EA63E704E0}" name="Warrior" dataDxfId="716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B5BE3808-66A8-49A2-9C4D-DE4C3A188CAD}" name="Table71213172055103187" displayName="Table71213172055103187" ref="C22:G32" totalsRowShown="0" headerRowDxfId="715" dataDxfId="714">
  <autoFilter ref="C22:G32" xr:uid="{6E10066D-CA8E-45BB-A7B1-D11E53475BC8}"/>
  <tableColumns count="5">
    <tableColumn id="1" xr3:uid="{FA549EBF-FC1D-4EF2-8290-A1A2B5748B17}" name="LV" dataDxfId="713"/>
    <tableColumn id="2" xr3:uid="{34943D9D-185C-4E72-9E18-77B440C9D004}" name="Demon" dataDxfId="712">
      <calculatedColumnFormula>CEILING(Demon!$B23/ IF(Demon!$D23&lt; 10.8, $F$5, $F$5 / (Demon!$D23 / 10.8)),1)</calculatedColumnFormula>
    </tableColumn>
    <tableColumn id="3" xr3:uid="{C7952BF6-FEB2-4159-AC14-EDB476B50AAE}" name="Elf" dataDxfId="711">
      <calculatedColumnFormula>CEILING(Elf!$B23 / IF(Elf!$D23&lt; 10.8, $F$5,$F$5 / (Elf!$D23 / 10.8)),1)</calculatedColumnFormula>
    </tableColumn>
    <tableColumn id="4" xr3:uid="{A272AA23-085E-4C81-AE18-C62496F4716D}" name="Beastgirl" dataDxfId="710">
      <calculatedColumnFormula>CEILING(Beastgirl!$B23 / IF(Beastgirl!$D23&lt; 10.8, $F$5, $F$5 / (Beastgirl!$D23/ 10.8)),1)</calculatedColumnFormula>
    </tableColumn>
    <tableColumn id="5" xr3:uid="{B04B479B-3757-47CD-AB23-17B0968A14D5}" name="Warrior" dataDxfId="709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AE21A26-4145-447E-8B7A-EEEEF85F633E}" name="Table71213172256104188" displayName="Table71213172256104188" ref="N9:R19" totalsRowShown="0" headerRowDxfId="708" dataDxfId="707">
  <autoFilter ref="N9:R19" xr:uid="{A69BBB24-857C-4741-8931-BD2A89D27929}"/>
  <tableColumns count="5">
    <tableColumn id="1" xr3:uid="{E6D77FD2-F856-40E7-8B1B-F317813452B3}" name="LV" dataDxfId="706"/>
    <tableColumn id="2" xr3:uid="{1A9BAF49-7AAC-40A9-8E9F-056475C2589F}" name="Demon" dataDxfId="705">
      <calculatedColumnFormula>CEILING(Demon!$B23 / IF(Demon!$D23&lt; 10.8, $Q$4, $Q$4 / (Demon!$D23 / 10.8)),1)</calculatedColumnFormula>
    </tableColumn>
    <tableColumn id="3" xr3:uid="{07DDF62D-D4FC-4593-BF16-F11C6463443F}" name="Elf" dataDxfId="704">
      <calculatedColumnFormula>CEILING(Elf!$B23 / IF(Elf!$D23&lt; 10.8, $Q$4, $Q$4 / (Elf!$D23 / 10.8)),1)</calculatedColumnFormula>
    </tableColumn>
    <tableColumn id="4" xr3:uid="{1F8AA6C5-207E-44B0-95D2-9A63801AB0A5}" name="Beastgirl" dataDxfId="703">
      <calculatedColumnFormula>CEILING(Beastgirl!$B23 / IF(Beastgirl!$D23&lt; 10.8, $Q$4, $Q$4 / (Beastgirl!$D23 / 10.8)),1)</calculatedColumnFormula>
    </tableColumn>
    <tableColumn id="5" xr3:uid="{953E5D79-1585-42E6-A23A-33196486150C}" name="Warrior" dataDxfId="702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D515140D-7145-4166-A3C7-CC3073C2D46C}" name="Table7121317202357105189" displayName="Table7121317202357105189" ref="N22:R32" totalsRowShown="0" headerRowDxfId="701" dataDxfId="700">
  <autoFilter ref="N22:R32" xr:uid="{B618CD1B-87A7-450E-9DD5-8448D2C07D92}"/>
  <tableColumns count="5">
    <tableColumn id="1" xr3:uid="{05A486FE-E4E6-4BF8-87C9-A29D14DEBA5F}" name="LV" dataDxfId="699"/>
    <tableColumn id="2" xr3:uid="{FF4CFF5D-3CF7-4FA8-833E-D90A1F48082A}" name="Demon" dataDxfId="698">
      <calculatedColumnFormula>CEILING(Demon!$B23 / IF(Demon!$D23&lt; 10.8, $Q$5, $Q$5 / (Demon!$D23/ 10.8)),1)</calculatedColumnFormula>
    </tableColumn>
    <tableColumn id="3" xr3:uid="{9ADF8EFA-61C9-4BFA-AF4B-1DCBA451C2ED}" name="Elf" dataDxfId="697">
      <calculatedColumnFormula>CEILING(Elf!$B23/ IF(Elf!$D23 &lt; 10.8, $Q$5, $Q$5 / (Elf!$D23 / 10.8)),1)</calculatedColumnFormula>
    </tableColumn>
    <tableColumn id="4" xr3:uid="{5239E056-BE27-44AD-AECA-1A0CDCF2336B}" name="Beastgirl" dataDxfId="696">
      <calculatedColumnFormula>CEILING(Beastgirl!$B23 / IF(Beastgirl!$D23&lt; 10.8, $Q$5, $Q$5 / (Beastgirl!$D23 / 10.8)),1)</calculatedColumnFormula>
    </tableColumn>
    <tableColumn id="5" xr3:uid="{D4027CF0-56D3-4DC1-9BEC-8782AC467218}" name="Warrior" dataDxfId="695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8AF9C04F-7903-4F16-A781-85B2358714E8}" name="Table7121317222558106190" displayName="Table7121317222558106190" ref="Y9:AC19" totalsRowShown="0" headerRowDxfId="694" dataDxfId="693">
  <autoFilter ref="Y9:AC19" xr:uid="{1990D488-4061-4152-B791-81D2A1EB76BE}"/>
  <tableColumns count="5">
    <tableColumn id="1" xr3:uid="{85390F85-225D-44D8-9E32-800FECEBBB99}" name="LV" dataDxfId="692"/>
    <tableColumn id="2" xr3:uid="{41425AAB-C9C3-4D24-B622-0B8CB6ADF8CF}" name="Demon" dataDxfId="691">
      <calculatedColumnFormula>CEILING(Demon!$B23 / IF(Demon!$D23&lt; 10.8, $AB$4, $AB$4 / (Demon!$D23 / 10.8)),1)</calculatedColumnFormula>
    </tableColumn>
    <tableColumn id="3" xr3:uid="{43512880-511D-4671-A00E-D48F1FA2893F}" name="Elf" dataDxfId="690">
      <calculatedColumnFormula>CEILING(Elf!$B23 / IF(Elf!$D23 &lt; 10.8, $AB$4, $AB$4 / (Elf!$D23 / 10.8)),1)</calculatedColumnFormula>
    </tableColumn>
    <tableColumn id="4" xr3:uid="{64FE1DB0-00B6-4EFE-B973-9DAD03FA47BB}" name="Beastgirl" dataDxfId="689">
      <calculatedColumnFormula>CEILING(Beastgirl!$B23 / IF(Beastgirl!$D23&lt; 10.8, $AB$4, $AB$4 / (Beastgirl!$D23 / 10.8)),1)</calculatedColumnFormula>
    </tableColumn>
    <tableColumn id="5" xr3:uid="{AA795AED-0111-4BE6-8072-FFB9F1ABF33A}" name="Warrior" dataDxfId="688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59F84E29-7349-4CCF-9D42-BC614892EBB7}" name="Table712131720232659107191" displayName="Table712131720232659107191" ref="Y22:AC32" totalsRowShown="0" headerRowDxfId="687" dataDxfId="686">
  <autoFilter ref="Y22:AC32" xr:uid="{6F48E316-0733-4F24-BD3E-AF11A69CBE3F}"/>
  <tableColumns count="5">
    <tableColumn id="1" xr3:uid="{7B2627AC-E660-4E7E-94A6-31994A6F45F9}" name="LV" dataDxfId="685"/>
    <tableColumn id="2" xr3:uid="{6923BFE1-73A4-46CB-ADFE-C42C8C22242A}" name="Demon" dataDxfId="684">
      <calculatedColumnFormula>CEILING(Demon!$B23 / IF(Demon!$D23&lt; 10.8, $AB$5, $AB$5 / (Demon!$D23 / 10.8)),1)</calculatedColumnFormula>
    </tableColumn>
    <tableColumn id="3" xr3:uid="{1F2B0CDD-78BA-4F0A-9F43-0960E7821845}" name="Elf" dataDxfId="683">
      <calculatedColumnFormula>CEILING(Elf!$B23 / IF(Elf!$D23 &lt; 10.8, $AB$5, $AB$5 / (Elf!$D23/ 10.8)),1)</calculatedColumnFormula>
    </tableColumn>
    <tableColumn id="4" xr3:uid="{19AF4918-9E4E-48DF-B047-22A337FF8418}" name="Beastgirl" dataDxfId="682">
      <calculatedColumnFormula>CEILING(Beastgirl!$B23 / IF(Beastgirl!$D23&lt; 10.8, $AB$5, $AB$5 / (Beastgirl!$D23 / 10.8)),1)</calculatedColumnFormula>
    </tableColumn>
    <tableColumn id="5" xr3:uid="{25BE81B6-BBA2-4445-BCB7-C6CF963A4ABB}" name="Warrior" dataDxfId="681">
      <calculatedColumnFormula>CEILING(Warrior!$B23 / IF(Warrior!$D23&lt; 10.8, $AB$5, $AB$5 / (Warrior!$D23/ 10.8)),1)</calculatedColumnFormula>
    </tableColumn>
  </tableColumns>
  <tableStyleInfo name="TableStyleMedium3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5364BD8-548E-4E19-B908-1C3030A15799}" name="Table71213172055103108192" displayName="Table71213172055103108192" ref="C35:G45" totalsRowShown="0" headerRowDxfId="680" dataDxfId="679">
  <autoFilter ref="C35:G45" xr:uid="{8EC844A9-D84A-4E46-A173-CF5A912C1770}"/>
  <tableColumns count="5">
    <tableColumn id="1" xr3:uid="{28C9351E-1EFE-4096-BBFB-80F74A5E1066}" name="LV" dataDxfId="678"/>
    <tableColumn id="2" xr3:uid="{4090A2A7-E775-4D80-A6ED-559CAF1B3E03}" name="Demon" dataDxfId="677">
      <calculatedColumnFormula>CEILING(Demon!$B23/ IF(Demon!$D23&lt; 10.8, $F$6, $F$6 / (Demon!$D23 / 10.8)),1)</calculatedColumnFormula>
    </tableColumn>
    <tableColumn id="3" xr3:uid="{EBC077EC-6FF7-4129-8EB3-CB90887C0950}" name="Elf" dataDxfId="676">
      <calculatedColumnFormula>CEILING(Elf!$B23 / IF(Elf!$D23&lt; 10.8, $F$6,$F$6 / (Elf!$D23 / 10.8)),1)</calculatedColumnFormula>
    </tableColumn>
    <tableColumn id="4" xr3:uid="{C00DFE95-E0C1-427D-A5BD-96E7E498BF87}" name="Beastgirl" dataDxfId="675">
      <calculatedColumnFormula>CEILING(Beastgirl!$B23 / IF(Beastgirl!$D23&lt; 10.8, $F$6, $F$6 / (Beastgirl!$D23/ 10.8)),1)</calculatedColumnFormula>
    </tableColumn>
    <tableColumn id="5" xr3:uid="{4D67A756-1EDD-4DB5-A2BF-387E8A68C01E}" name="Warrior" dataDxfId="674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ADF03295-B3C9-436B-8AFE-23819D0DDAB0}" name="Table7121317202357105109193" displayName="Table7121317202357105109193" ref="N35:R45" totalsRowShown="0" headerRowDxfId="673" dataDxfId="672">
  <autoFilter ref="N35:R45" xr:uid="{EE6806E4-2D34-4A37-A48A-7EC9ABFF1B8B}"/>
  <tableColumns count="5">
    <tableColumn id="1" xr3:uid="{27A3BE74-3E89-45E7-9BF6-DF50890F719B}" name="LV" dataDxfId="671"/>
    <tableColumn id="2" xr3:uid="{E14825CA-B3C8-4B95-AF59-5E69C3702A8B}" name="Demon" dataDxfId="670">
      <calculatedColumnFormula>CEILING(Demon!$B23 / IF(Demon!$D23&lt; 10.8, $Q$6, $Q$6 / (Demon!$D23/ 10.8)),1)</calculatedColumnFormula>
    </tableColumn>
    <tableColumn id="3" xr3:uid="{758EC489-5A2B-4F6B-A02B-C3B6AE7AFBFB}" name="Elf" dataDxfId="669">
      <calculatedColumnFormula>CEILING(Elf!$B23/ IF(Elf!$D23 &lt; 10.8, $Q$6, $Q$6 / (Elf!$D23 / 10.8)),1)</calculatedColumnFormula>
    </tableColumn>
    <tableColumn id="4" xr3:uid="{38605E8F-7053-4BA8-B37C-5E393206E7D0}" name="Beastgirl" dataDxfId="668">
      <calculatedColumnFormula>CEILING(Beastgirl!$B23/ IF(Beastgirl!$D23&lt; 10.8, $Q$6, $Q$6 / (Beastgirl!$D23 / 10.8)),1)</calculatedColumnFormula>
    </tableColumn>
    <tableColumn id="5" xr3:uid="{C7CA1F27-4672-4FC8-9DFB-F12A73B96CB4}" name="Warrior" dataDxfId="667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5E659A6C-B7A8-401F-95AC-8B17F4FBD8D4}" name="Table712131720232659107110194" displayName="Table712131720232659107110194" ref="Y35:AC45" totalsRowShown="0" headerRowDxfId="666" dataDxfId="665">
  <autoFilter ref="Y35:AC45" xr:uid="{84E55DE0-F588-4295-91A0-9A619E863C72}"/>
  <tableColumns count="5">
    <tableColumn id="1" xr3:uid="{7A1DEC65-348F-4F43-A387-22EA8638DA9C}" name="LV" dataDxfId="664"/>
    <tableColumn id="2" xr3:uid="{E6E897E3-674E-4218-829A-D7CACC5BACCB}" name="Demon" dataDxfId="663">
      <calculatedColumnFormula>CEILING(Demon!$B23 / IF(Demon!$D23&lt; 10.8, $AB$6, $AB$6 / (Demon!$D23 / 10.8)),1)</calculatedColumnFormula>
    </tableColumn>
    <tableColumn id="3" xr3:uid="{3630F7E2-33B1-4260-9E70-DFBA976C712C}" name="Elf" dataDxfId="662">
      <calculatedColumnFormula>CEILING(Elf!$B23 / IF(Elf!$D23 &lt; 10.8, $AB$6, $AB$6 / (Elf!$D23 / 10.8)),1)</calculatedColumnFormula>
    </tableColumn>
    <tableColumn id="4" xr3:uid="{7850EC99-C48A-4349-8576-ED0EF68A5919}" name="Beastgirl" dataDxfId="661">
      <calculatedColumnFormula>CEILING(Beastgirl!$B23 / IF(Beastgirl!$D23&lt; 10.8, $AB$6, $AB$6 / (Beastgirl!$D23 / 10.8)),1)</calculatedColumnFormula>
    </tableColumn>
    <tableColumn id="5" xr3:uid="{8F79CED7-F8D5-4608-AC5A-AD8CC3058AF1}" name="Warrior" dataDxfId="660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67C859-C89B-425B-BA57-1BEABA66BF72}" name="Table3840814" displayName="Table3840814" ref="Z2:AM52" totalsRowShown="0" headerRowDxfId="1521" dataDxfId="1520">
  <autoFilter ref="Z2:AM52" xr:uid="{43DD6B81-C74C-4E39-9DCA-3745FA23698D}"/>
  <tableColumns count="14">
    <tableColumn id="1" xr3:uid="{D2407D0A-8F69-4CD3-9989-5F25CCF9151C}" name="Blue Slime" dataDxfId="1519">
      <calculatedColumnFormula>CEILING('Blue Slime'!$M$5/ IF('Blue Slime'!$O$5&lt; 10.8, Table13[[#This Row],[STR]], Table13[[#This Row],[STR]] / ('Blue Slime'!$O$5 / 10.8)), 1)</calculatedColumnFormula>
    </tableColumn>
    <tableColumn id="2" xr3:uid="{BF01C0CB-A8D5-4047-931E-9A07FEC1789D}" name="Green Slime" dataDxfId="1518">
      <calculatedColumnFormula>CEILING('Green Slime'!$M$5/ IF('Green Slime'!$O$5&lt; 10.8, Table13[[#This Row],[STR]], Table13[[#This Row],[STR]] / ('Green Slime'!$O$5 / 10.8)), 1)</calculatedColumnFormula>
    </tableColumn>
    <tableColumn id="3" xr3:uid="{7ECFFE0D-BA75-4586-A896-DCDC7490A638}" name="Wolf" dataDxfId="1517">
      <calculatedColumnFormula>CEILING(Wolf!$M$6/ IF(Wolf!$O$6&lt; 10.8, Table13[[#This Row],[STR]], Table13[[#This Row],[STR]] / (Wolf!$O$6 / 10.8)), 1)</calculatedColumnFormula>
    </tableColumn>
    <tableColumn id="4" xr3:uid="{7E390CAC-39BF-4086-A769-B7A951101B05}" name="Horned Wolf" dataDxfId="1516">
      <calculatedColumnFormula>CEILING('Horned Wolf'!$M$5/ IF('Horned Wolf'!$O$5&lt; 10.8, Table13[[#This Row],[STR]], Table13[[#This Row],[STR]] / ('Horned Wolf'!$O$5 / 10.8)), 1)</calculatedColumnFormula>
    </tableColumn>
    <tableColumn id="5" xr3:uid="{3D990203-57C2-4926-AECE-B8E8991864E8}" name="Spider" dataDxfId="1515">
      <calculatedColumnFormula>CEILING(Spider!$M$7/ IF(Spider!$O$7&lt; 10.8, Table13[[#This Row],[STR]], Table13[[#This Row],[STR]] / (Spider!$O$7 / 10.8)), 1)</calculatedColumnFormula>
    </tableColumn>
    <tableColumn id="6" xr3:uid="{98894405-75B9-4FD2-8480-1B13C55B8C6C}" name="Evolved Spider" dataDxfId="1514">
      <calculatedColumnFormula>CEILING('Evolved Spider'!$M$8/ IF('Evolved Spider'!$O$8&lt; 10.8, Table13[[#This Row],[STR]], Table13[[#This Row],[STR]] / ('Evolved Spider'!$O$8 / 10.8)), 1)</calculatedColumnFormula>
    </tableColumn>
    <tableColumn id="7" xr3:uid="{D44E0F90-9D12-4AE1-BCE6-7862C3788CBE}" name="Arachne" dataDxfId="1513">
      <calculatedColumnFormula>CEILING(Arachne!$M$4/ IF(Arachne!$O$4&lt; 10.8, Table13[[#This Row],[STR]], Table13[[#This Row],[STR]] / (Arachne!$O$4 / 10.8)), 1)</calculatedColumnFormula>
    </tableColumn>
    <tableColumn id="8" xr3:uid="{7C0AF1C9-6A82-4DF8-9B9E-C39906769301}" name="Earth Elemental" dataDxfId="1512">
      <calculatedColumnFormula>CEILING('Earth Elemental'!$M$6/ IF('Earth Elemental'!$O$6&lt; 10.8, Table13[[#This Row],[STR]], Table13[[#This Row],[STR]] / ('Earth Elemental'!$O$6 / 10.8)), 1)</calculatedColumnFormula>
    </tableColumn>
    <tableColumn id="9" xr3:uid="{6BB80421-7A70-4DF4-B05D-3A66E226DAA8}" name="Wind Elemental" dataDxfId="1511">
      <calculatedColumnFormula>CEILING('Wind Elemental'!$M$6/ IF('Wind Elemental'!$O$6&lt; 10.8, Table13[[#This Row],[STR]], Table13[[#This Row],[STR]] / ('Wind Elemental'!$O$6 / 10.8)), 1)</calculatedColumnFormula>
    </tableColumn>
    <tableColumn id="14" xr3:uid="{A0FDEDDF-C0EB-4DA4-AE1B-4CA50C36D012}" name="Water Elemental" dataDxfId="1510">
      <calculatedColumnFormula>CEILING('Water Elemental'!$M$6/ IF('Water Elemental'!$O$6&lt; 10.8, Table13[[#This Row],[STR]], Table13[[#This Row],[STR]] / ('Water Elemental'!$O$6 / 10.8)), 1)</calculatedColumnFormula>
    </tableColumn>
    <tableColumn id="10" xr3:uid="{69BCEED7-371B-44E1-81D7-D947DED9EF63}" name="Fire Elemental" dataDxfId="1509">
      <calculatedColumnFormula>CEILING('Fire Elemental'!$M$4/ IF('Fire Elemental'!$O$4&lt; 10.8, Table13[[#This Row],[STR]], Table13[[#This Row],[STR]] / ('Fire Elemental'!$O$4 / 10.8)), 1)</calculatedColumnFormula>
    </tableColumn>
    <tableColumn id="11" xr3:uid="{66665515-0BEE-4CAC-94B5-E5B66599AB62}" name="Wyvern" dataDxfId="1508">
      <calculatedColumnFormula>CEILING(Wyvern!$M$4/ IF(Wyvern!$O$4&lt; 10.8, Table13[[#This Row],[STR]], Table13[[#This Row],[STR]] / (Wyvern!$O$4 / 10.8)), 1)</calculatedColumnFormula>
    </tableColumn>
    <tableColumn id="12" xr3:uid="{187EB107-E80A-4358-8494-BEC28900E6F1}" name="Evolved Wyvern" dataDxfId="1507">
      <calculatedColumnFormula>CEILING('Evolved Wyvern'!$M$4/ IF('Evolved Wyvern'!$O$4&lt; 10.8, Table13[[#This Row],[STR]], Table13[[#This Row],[STR]] / ('Evolved Wyvern'!$O$4 / 10.8)), 1)</calculatedColumnFormula>
    </tableColumn>
    <tableColumn id="13" xr3:uid="{E7E11A4B-539A-4582-8C76-2D40D82BF534}" name="Dragon" dataDxfId="1506">
      <calculatedColumnFormula>CEILING(Dragon!$M$4/ IF(Dragon!$O$4&lt; 10.8, Table13[[#This Row],[STR]], Table13[[#This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D0F809E5-C1A3-498D-91BF-07BCAF82359E}" name="Table596183195" displayName="Table596183195" ref="A2:J6" totalsRowShown="0" headerRowDxfId="659" dataDxfId="658">
  <autoFilter ref="A2:J6" xr:uid="{EAFE8ABB-9195-4612-B1CC-A4633B985BBA}"/>
  <tableColumns count="10">
    <tableColumn id="1" xr3:uid="{644E65F7-37D2-4D19-879C-3DAB8F358C52}" name="LV" dataDxfId="657"/>
    <tableColumn id="2" xr3:uid="{86372A4E-71BE-4AD1-BB3B-D7D35C1442BE}" name="HP" dataDxfId="656"/>
    <tableColumn id="3" xr3:uid="{8472F39D-D332-42BC-86FF-F8D39B1D0CE9}" name="MP" dataDxfId="655"/>
    <tableColumn id="4" xr3:uid="{926EC447-9B07-4A97-919C-E48BDE5613A2}" name="DEF" dataDxfId="654"/>
    <tableColumn id="5" xr3:uid="{A8FA74A0-CF30-406E-B8F3-BB7A7574E5E4}" name="AGI" dataDxfId="653"/>
    <tableColumn id="6" xr3:uid="{C315A1A9-6004-4E51-AC3E-C113E00A78AE}" name="STR" dataDxfId="652"/>
    <tableColumn id="7" xr3:uid="{18226760-4141-46DA-84F5-DD7C1D1A063E}" name="INT" dataDxfId="651"/>
    <tableColumn id="8" xr3:uid="{FAADE662-33D5-4D3C-A55D-31AA79C04E52}" name="DEX" dataDxfId="650"/>
    <tableColumn id="9" xr3:uid="{BEF1DCF6-73FA-4BDB-82A5-BBCDC6728629}" name="XP Given" dataDxfId="649">
      <calculatedColumnFormula>AVERAGE(Warrior!I25:I27)/75 * 75 / 100</calculatedColumnFormula>
    </tableColumn>
    <tableColumn id="10" xr3:uid="{CBCC4019-1BB9-46C2-8472-5D86378160CE}" name="Gold Given" dataDxfId="648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CD7F077-5A66-426F-B80A-40022FE69430}" name="Table5997184196" displayName="Table5997184196" ref="L2:U6" totalsRowShown="0" headerRowDxfId="647" dataDxfId="646">
  <autoFilter ref="L2:U6" xr:uid="{859AC8A0-D95F-4C2E-BB51-244812C2D957}"/>
  <tableColumns count="10">
    <tableColumn id="1" xr3:uid="{BBDB1195-42C3-4414-A1F0-9DF8E098B868}" name="LV" dataDxfId="645"/>
    <tableColumn id="2" xr3:uid="{8E5D490A-D279-4E2D-A5E8-9D04E5E5805F}" name="HP" dataDxfId="644"/>
    <tableColumn id="3" xr3:uid="{81AE1594-8A25-4B98-A8D6-87F8BB06C97B}" name="MP" dataDxfId="643"/>
    <tableColumn id="4" xr3:uid="{2DEB2D6A-C2A1-49F3-9FF4-C3EFF6AB9EEA}" name="DEF" dataDxfId="642"/>
    <tableColumn id="5" xr3:uid="{50C3F6E9-868D-4F4F-8B76-C4A5BA12D4AC}" name="AGI" dataDxfId="641"/>
    <tableColumn id="6" xr3:uid="{1114CAFA-0834-4F6B-AB20-0BE7A7CE724D}" name="STR" dataDxfId="640"/>
    <tableColumn id="7" xr3:uid="{3E633086-2255-4F09-9231-A160A8AFCB14}" name="INT" dataDxfId="639"/>
    <tableColumn id="8" xr3:uid="{A60D2053-E899-4296-990D-C1BFF614060E}" name="DEX" dataDxfId="638"/>
    <tableColumn id="9" xr3:uid="{8284787E-0998-4418-A9D5-04E105360B8E}" name="XP Given" dataDxfId="637">
      <calculatedColumnFormula>Table596183195[[#This Row],[XP Given]]*1.25</calculatedColumnFormula>
    </tableColumn>
    <tableColumn id="10" xr3:uid="{50236527-600A-4A41-991C-3226B4A51CD9}" name="Gold Given" dataDxfId="636"/>
  </tableColumns>
  <tableStyleInfo name="TableStyleMedium7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E882A562-AD05-407D-920B-E7768366F738}" name="Table591098185197" displayName="Table591098185197" ref="W2:AF6" totalsRowShown="0" headerRowDxfId="635" dataDxfId="634">
  <autoFilter ref="W2:AF6" xr:uid="{280E4E76-0D26-44F0-BADB-F0FDC46FD410}"/>
  <tableColumns count="10">
    <tableColumn id="1" xr3:uid="{11616EDF-871B-47C4-AB68-E91B45AACD40}" name="LV" dataDxfId="633"/>
    <tableColumn id="2" xr3:uid="{3D105504-1F78-4A1F-B592-4EA0865CBACB}" name="HP" dataDxfId="632"/>
    <tableColumn id="3" xr3:uid="{4F36050E-3A0D-4B1E-8C75-8432D76A7B4B}" name="MP" dataDxfId="631"/>
    <tableColumn id="4" xr3:uid="{91D23644-4980-44F5-9C8E-CB23CD28BFB3}" name="DEF" dataDxfId="630"/>
    <tableColumn id="5" xr3:uid="{95D23A3E-3A24-48C1-B1E9-69A08A7BC3CB}" name="AGI" dataDxfId="629"/>
    <tableColumn id="6" xr3:uid="{2372FD43-852E-4214-BD50-425CDACE2E93}" name="STR" dataDxfId="628"/>
    <tableColumn id="7" xr3:uid="{507B1BF7-4623-4F83-8AEA-8A4891DE0529}" name="INT" dataDxfId="627"/>
    <tableColumn id="8" xr3:uid="{390E4B2C-8E07-40F8-B6F1-19BAFA56EDE4}" name="DEX" dataDxfId="626"/>
    <tableColumn id="9" xr3:uid="{C87F92EB-66EB-4A76-A81E-8D3F6142F4F0}" name="XP Given" dataDxfId="625">
      <calculatedColumnFormula>Table596183195[[#This Row],[XP Given]]*1.5</calculatedColumnFormula>
    </tableColumn>
    <tableColumn id="10" xr3:uid="{520316B3-75DB-4D9C-BB25-20253C4A275A}" name="Gold Given" dataDxfId="624"/>
  </tableColumns>
  <tableStyleInfo name="TableStyleMedium10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A149E9D7-F73C-434D-8891-2F199788DC78}" name="Table712131754102186198" displayName="Table712131754102186198" ref="C9:G19" totalsRowShown="0" headerRowDxfId="623" dataDxfId="622">
  <autoFilter ref="C9:G19" xr:uid="{AD13CE29-4187-4BF9-9466-23161C1475BF}"/>
  <tableColumns count="5">
    <tableColumn id="1" xr3:uid="{85E448C7-CD07-44A0-9610-070BC457EBF9}" name="LV" dataDxfId="621"/>
    <tableColumn id="2" xr3:uid="{FA06A3E6-3814-44B7-9805-24595D514CFE}" name="Demon" dataDxfId="620">
      <calculatedColumnFormula>CEILING(Demon!$B23 / IF(Demon!$D23&lt; 10.8, $F$4, $F$4 / (Demon!$D23 / 10.8)),1)</calculatedColumnFormula>
    </tableColumn>
    <tableColumn id="3" xr3:uid="{459E90FE-E132-4601-AF15-CD022C75A8BD}" name="Elf" dataDxfId="619">
      <calculatedColumnFormula>CEILING(Elf!$B23 / IF(Elf!$D23 &lt; 10.8, $F$4, $F$4 / (Elf!$D23 / 10.8)),1)</calculatedColumnFormula>
    </tableColumn>
    <tableColumn id="4" xr3:uid="{5F922E2B-F463-4CF4-A8ED-271B9D8C23CA}" name="Beastgirl" dataDxfId="618">
      <calculatedColumnFormula>CEILING(Beastgirl!$B23/ IF(Beastgirl!$D23&lt; 10.8,$F$4, $F$4 / (Beastgirl!$D23 / 10.8)),1)</calculatedColumnFormula>
    </tableColumn>
    <tableColumn id="5" xr3:uid="{D1BD5914-B133-49FF-8F7B-80C61C050B61}" name="Warrior" dataDxfId="617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3A5F350-1BBB-4C54-93FE-715110FAF5DB}" name="Table71213172055103187199" displayName="Table71213172055103187199" ref="C22:G32" totalsRowShown="0" headerRowDxfId="616" dataDxfId="615">
  <autoFilter ref="C22:G32" xr:uid="{C2200504-060F-4F63-B207-B7F63DB1209C}"/>
  <tableColumns count="5">
    <tableColumn id="1" xr3:uid="{629B9DEF-BFF9-4E14-AEEF-30B0AA9030DD}" name="LV" dataDxfId="614"/>
    <tableColumn id="2" xr3:uid="{2C2AA443-88C8-4354-82C7-175ECD2B94E5}" name="Demon" dataDxfId="613">
      <calculatedColumnFormula>CEILING(Demon!$B23/ IF(Demon!$D23&lt; 10.8, $F$5, $F$5 / (Demon!$D23 / 10.8)),1)</calculatedColumnFormula>
    </tableColumn>
    <tableColumn id="3" xr3:uid="{9E44D485-1BBA-45FC-A324-80DAF600223B}" name="Elf" dataDxfId="612">
      <calculatedColumnFormula>CEILING(Elf!$B23 / IF(Elf!$D23 &lt; 10.8, $F$5,$F$5 / (Elf!$D23/ 10.8)),1)</calculatedColumnFormula>
    </tableColumn>
    <tableColumn id="4" xr3:uid="{7155AA38-4B56-4FA5-9177-EC5C9D7275BA}" name="Beastgirl" dataDxfId="611">
      <calculatedColumnFormula>CEILING(Beastgirl!$B23/ IF(Beastgirl!$D23&lt; 10.8, $F$5, $F$5 / (Beastgirl!$D23 / 10.8)),1)</calculatedColumnFormula>
    </tableColumn>
    <tableColumn id="5" xr3:uid="{71F10D0C-5206-46FC-A328-16B68299BD38}" name="Warrior" dataDxfId="610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5D660BEE-2F4E-430E-A78D-50E8B57329D9}" name="Table71213172256104188200" displayName="Table71213172256104188200" ref="N9:R19" totalsRowShown="0" headerRowDxfId="609" dataDxfId="608">
  <autoFilter ref="N9:R19" xr:uid="{1EE53833-31B1-4F3F-9C83-AF18E86D2F7B}"/>
  <tableColumns count="5">
    <tableColumn id="1" xr3:uid="{0770B9D1-2474-476C-A849-92DD34AE49EA}" name="LV" dataDxfId="607"/>
    <tableColumn id="2" xr3:uid="{6F9050C1-E099-4426-AC06-2CBD53C079F0}" name="Demon" dataDxfId="606">
      <calculatedColumnFormula>CEILING(Demon!$B23 / IF(Demon!$D23&lt; 10.8, $Q$4, $Q$4 / (Demon!$D23 / 10.8)),1)</calculatedColumnFormula>
    </tableColumn>
    <tableColumn id="3" xr3:uid="{82C1BB66-FC57-47BB-8A18-BC115C847380}" name="Elf" dataDxfId="605">
      <calculatedColumnFormula>CEILING(Elf!$B23 / IF(Elf!$D23 &lt; 10.8, $Q$4, $Q$4 / (Elf!$D23 / 10.8)),1)</calculatedColumnFormula>
    </tableColumn>
    <tableColumn id="4" xr3:uid="{FC340EDE-C9C1-4D91-84FB-C7621F7E5EAA}" name="Beastgirl" dataDxfId="604">
      <calculatedColumnFormula>CEILING(Beastgirl!$B23 / IF(Beastgirl!$D23&lt; 10.8, $Q$4, $Q$4 / (Beastgirl!$D23 / 10.8)),1)</calculatedColumnFormula>
    </tableColumn>
    <tableColumn id="5" xr3:uid="{B66A9070-C89E-499D-8B18-381CAC1E42FE}" name="Warrior" dataDxfId="603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78B71BC8-64D2-4087-A985-4B8AD11109C7}" name="Table7121317202357105189201" displayName="Table7121317202357105189201" ref="N22:R32" totalsRowShown="0" headerRowDxfId="602" dataDxfId="601">
  <autoFilter ref="N22:R32" xr:uid="{E87A7DB4-90AE-4E1E-B1D4-97F9B4D22A99}"/>
  <tableColumns count="5">
    <tableColumn id="1" xr3:uid="{E1ED09C0-D390-4223-9492-4DD9A119DC36}" name="LV" dataDxfId="600"/>
    <tableColumn id="2" xr3:uid="{09FE41A1-4B0D-4FC9-A1E9-8B14F458EB8D}" name="Demon" dataDxfId="599">
      <calculatedColumnFormula>CEILING(Demon!$B23 / IF(Demon!$D23&lt; 10.8, $Q$5, $Q$5 / (Demon!$D23/ 10.8)),1)</calculatedColumnFormula>
    </tableColumn>
    <tableColumn id="3" xr3:uid="{267EF38F-5A67-4BD2-92F8-3D68C13523E5}" name="Elf" dataDxfId="598">
      <calculatedColumnFormula>CEILING(Elf!$B23/ IF(Elf!$D23 &lt; 10.8, $Q$5, $Q$5 / (Elf!$D23 / 10.8)),1)</calculatedColumnFormula>
    </tableColumn>
    <tableColumn id="4" xr3:uid="{8B1EF372-2219-4A3A-83AD-14D416C543D3}" name="Beastgirl" dataDxfId="597">
      <calculatedColumnFormula>CEILING(Beastgirl!$B23 / IF(Beastgirl!$D23&lt; 10.8, $Q$5, $Q$5 / (Beastgirl!$D23 / 10.8)),1)</calculatedColumnFormula>
    </tableColumn>
    <tableColumn id="5" xr3:uid="{40ADA8EB-5579-4AE8-A2F8-D8B3E55B585C}" name="Warrior" dataDxfId="596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A26457B0-242B-4E91-8B49-AA0F4A88AA21}" name="Table7121317222558106190202" displayName="Table7121317222558106190202" ref="Y9:AC19" totalsRowShown="0" headerRowDxfId="595" dataDxfId="594">
  <autoFilter ref="Y9:AC19" xr:uid="{F8DE97CE-1E97-4743-9A0D-9070B22E9F5D}"/>
  <tableColumns count="5">
    <tableColumn id="1" xr3:uid="{9EDCADD4-2EFC-4C16-AD53-8F3F53AAD1C7}" name="LV" dataDxfId="593"/>
    <tableColumn id="2" xr3:uid="{40469070-F176-4AD8-A437-7B3844397860}" name="Demon" dataDxfId="592">
      <calculatedColumnFormula>CEILING(Demon!$B23 / IF(Demon!$D23&lt; 10.8, $AB$4, $AB$4 / (Demon!$D23 / 10.8)),1)</calculatedColumnFormula>
    </tableColumn>
    <tableColumn id="3" xr3:uid="{3391B767-05FD-44D8-AF3C-F0AC4421839A}" name="Elf" dataDxfId="591">
      <calculatedColumnFormula>CEILING(Elf!$B23 / IF(Elf!$D23 &lt; 10.8, $AB$4, $AB$4 / (Elf!$D23 / 10.8)),1)</calculatedColumnFormula>
    </tableColumn>
    <tableColumn id="4" xr3:uid="{06C36C4B-5F19-4325-B036-641CE00E2B4E}" name="Beastgirl" dataDxfId="590">
      <calculatedColumnFormula>CEILING(Beastgirl!$B23 / IF(Beastgirl!$D23&lt; 10.8, $AB$4, $AB$4 / (Beastgirl!$D23 / 10.8)),1)</calculatedColumnFormula>
    </tableColumn>
    <tableColumn id="5" xr3:uid="{30320E15-97F3-4686-81AF-75BE88F789C4}" name="Warrior" dataDxfId="589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8B043BC4-73E0-4ED0-A53C-DDCF9DEE23D9}" name="Table712131720232659107191203" displayName="Table712131720232659107191203" ref="Y22:AC32" totalsRowShown="0" headerRowDxfId="588" dataDxfId="587">
  <autoFilter ref="Y22:AC32" xr:uid="{BAD61272-AA4F-496B-9391-D247E1A7BB0B}"/>
  <tableColumns count="5">
    <tableColumn id="1" xr3:uid="{EFA6089C-D7F8-41F5-AE3A-2F696FE82147}" name="LV" dataDxfId="586"/>
    <tableColumn id="2" xr3:uid="{6CC47035-5A28-4F86-837B-8815A5A64306}" name="Demon" dataDxfId="585">
      <calculatedColumnFormula>CEILING(Demon!$B23 / IF(Demon!$D23&lt; 10.8, $AB$5, $AB$5 / (Demon!$D23 / 10.8)),1)</calculatedColumnFormula>
    </tableColumn>
    <tableColumn id="3" xr3:uid="{3AAB9B02-66DC-4789-AE33-F0146F037362}" name="Elf" dataDxfId="584">
      <calculatedColumnFormula>CEILING(Elf!$B23 / IF(Elf!$D23 &lt; 10.8, $AB$5, $AB$5 / (Elf!$D23 / 10.8)),1)</calculatedColumnFormula>
    </tableColumn>
    <tableColumn id="4" xr3:uid="{269EC22E-0820-4ACB-8583-44339722813E}" name="Beastgirl" dataDxfId="583">
      <calculatedColumnFormula>CEILING(Beastgirl!$B23 / IF(Beastgirl!$D23&lt; 10.8, $AB$5, $AB$5 / (Beastgirl!$D23 / 10.8)),1)</calculatedColumnFormula>
    </tableColumn>
    <tableColumn id="5" xr3:uid="{B60D1826-7300-4A60-94DB-9426C288B34B}" name="Warrior" dataDxfId="582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9E91B88F-EB7B-4663-98E8-F7BD5343598C}" name="Table71213172055103108192204" displayName="Table71213172055103108192204" ref="C35:G45" totalsRowShown="0" headerRowDxfId="581" dataDxfId="580">
  <autoFilter ref="C35:G45" xr:uid="{D2488E80-33DC-4148-8540-97161BCC467A}"/>
  <tableColumns count="5">
    <tableColumn id="1" xr3:uid="{3B09388F-9720-4116-BAE6-5CE619C9DA18}" name="LV" dataDxfId="579"/>
    <tableColumn id="2" xr3:uid="{FB55A09F-5D0A-4A86-892A-7AAF3C4CEB2D}" name="Demon" dataDxfId="578">
      <calculatedColumnFormula>CEILING(Demon!$B23/ IF(Demon!$D23&lt; 10.8, $F$6, $F$6 / (Demon!$D23 / 10.8)),1)</calculatedColumnFormula>
    </tableColumn>
    <tableColumn id="3" xr3:uid="{F0AC1518-6E16-49F2-BCD4-2A37AAAE6AAE}" name="Elf" dataDxfId="577">
      <calculatedColumnFormula>CEILING(Elf!$B23 / IF(Elf!$D23&lt; 10.8, $F$6,$F$6 / (Elf!$D23 / 10.8)),1)</calculatedColumnFormula>
    </tableColumn>
    <tableColumn id="4" xr3:uid="{EF621494-8D87-44A0-AFC6-20BEC228F9E5}" name="Beastgirl" dataDxfId="576">
      <calculatedColumnFormula>CEILING(Beastgirl!$B23 / IF(Beastgirl!$D23&lt; 10.8, $F$6, $F$6 / (Beastgirl!$D23 / 10.8)),1)</calculatedColumnFormula>
    </tableColumn>
    <tableColumn id="5" xr3:uid="{3164D0CE-AD32-4889-B3BA-858B61205073}" name="Warrior" dataDxfId="575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9DB028-7CE6-4009-8C6A-20F4F8647488}" name="Table38411115" displayName="Table38411115" ref="AO2:BB52" totalsRowShown="0" headerRowDxfId="1505" dataDxfId="1504">
  <autoFilter ref="AO2:BB52" xr:uid="{0CA94C32-F641-4D20-8261-97D3FC807F4A}"/>
  <tableColumns count="14">
    <tableColumn id="1" xr3:uid="{368881A6-6B1B-44F4-8352-54154CDAA7E8}" name="Blue Slime" dataDxfId="1503">
      <calculatedColumnFormula>CEILING('Blue Slime'!$Z$5/ IF('Blue Slime'!$X$5&lt; 10.8, Table13[[#This Row],[STR]], Table13[[#This Row],[STR]] / ('Blue Slime'!$X$5 / 10.8)), 1)</calculatedColumnFormula>
    </tableColumn>
    <tableColumn id="2" xr3:uid="{0FAEB798-E393-4115-9758-ED9474590FA4}" name="Green Slime" dataDxfId="1502">
      <calculatedColumnFormula>CEILING('Green Slime'!$Z$5/ IF('Green Slime'!$X$5&lt; 10.8, Table13[[#This Row],[STR]], Table13[[#This Row],[STR]] / ('Green Slime'!$X$5 / 10.8)), 1)</calculatedColumnFormula>
    </tableColumn>
    <tableColumn id="3" xr3:uid="{276893C7-0270-4E9B-8346-39F9DFA31394}" name="Wolf" dataDxfId="1501">
      <calculatedColumnFormula>CEILING(Wolf!$Z$6/ IF(Wolf!$X$6&lt; 10.8, Table13[[#This Row],[STR]], Table13[[#This Row],[STR]] / (Wolf!$X$6 / 10.8)), 1)</calculatedColumnFormula>
    </tableColumn>
    <tableColumn id="4" xr3:uid="{850339DC-546D-4B9C-AD03-6231F2B62CA9}" name="Horned Wolf" dataDxfId="1500">
      <calculatedColumnFormula>CEILING('Horned Wolf'!$Z$5/ IF('Horned Wolf'!$X$5&lt; 10.8, Table13[[#This Row],[STR]], Table13[[#This Row],[STR]] / ('Horned Wolf'!$X$5 / 10.8)), 1)</calculatedColumnFormula>
    </tableColumn>
    <tableColumn id="5" xr3:uid="{D03939A4-0566-4D99-8431-3F6A0B8AFA20}" name="Spider" dataDxfId="1499">
      <calculatedColumnFormula>CEILING(Spider!$Z$7/ IF(Spider!$X$7&lt; 10.8, Table13[[#This Row],[STR]], Table13[[#This Row],[STR]] / (Spider!$X$7 / 10.8)), 1)</calculatedColumnFormula>
    </tableColumn>
    <tableColumn id="6" xr3:uid="{2936AAD0-01A6-4F2C-8ADB-A0F06A0280E6}" name="Evolved Spider" dataDxfId="1498">
      <calculatedColumnFormula>CEILING('Evolved Spider'!$Z$8/ IF('Evolved Spider'!$X$8&lt; 10.8, Table13[[#This Row],[STR]], Table13[[#This Row],[STR]] / ('Evolved Spider'!$X$8 / 10.8)), 1)</calculatedColumnFormula>
    </tableColumn>
    <tableColumn id="7" xr3:uid="{13955E54-E24E-49F7-8C7E-11A56C7F5111}" name="Arachne" dataDxfId="1497">
      <calculatedColumnFormula>CEILING(Arachne!$Z$4/ IF(Arachne!$X$4&lt; 10.8, Table13[[#This Row],[STR]], Table13[[#This Row],[STR]] / (Arachne!$X$4 / 10.8)), 1)</calculatedColumnFormula>
    </tableColumn>
    <tableColumn id="8" xr3:uid="{0FF115A4-77F3-4290-BF5B-D623836CAFD1}" name="Earth Elemental" dataDxfId="1496">
      <calculatedColumnFormula>CEILING('Earth Elemental'!$Z$6/ IF('Earth Elemental'!$X$6&lt; 10.8, Table13[[#This Row],[STR]], Table13[[#This Row],[STR]] / ('Earth Elemental'!$X$6 / 10.8)), 1)</calculatedColumnFormula>
    </tableColumn>
    <tableColumn id="9" xr3:uid="{209D2407-BB06-4399-BCD4-99AA71A043F3}" name="Wind Elemental" dataDxfId="1495">
      <calculatedColumnFormula>CEILING('Wind Elemental'!$Z$6/ IF('Wind Elemental'!$X$6&lt; 10.8, Table13[[#This Row],[STR]], Table13[[#This Row],[STR]] / ('Wind Elemental'!$X$6 / 10.8)), 1)</calculatedColumnFormula>
    </tableColumn>
    <tableColumn id="14" xr3:uid="{94628609-676D-4982-992A-B8B4B63E391A}" name="Water Elemental" dataDxfId="1494">
      <calculatedColumnFormula>CEILING('Water Elemental'!$Z$6/ IF('Water Elemental'!$X$6&lt; 10.8, Table13[[#This Row],[STR]], Table13[[#This Row],[STR]] / ('Water Elemental'!$X$6 / 10.8)), 1)</calculatedColumnFormula>
    </tableColumn>
    <tableColumn id="10" xr3:uid="{0DB70558-4BD4-4AB5-A7D0-5141AC6D73BA}" name="Fire Elemental" dataDxfId="1493">
      <calculatedColumnFormula>CEILING('Fire Elemental'!$Z$4/ IF('Fire Elemental'!$X$4&lt; 10.8, Table13[[#This Row],[STR]], Table13[[#This Row],[STR]] / ('Fire Elemental'!$X$4 / 10.8)), 1)</calculatedColumnFormula>
    </tableColumn>
    <tableColumn id="11" xr3:uid="{28C34289-4088-42CE-89F1-E96C80A91A05}" name="Wyvern" dataDxfId="1492">
      <calculatedColumnFormula>CEILING(Wyvern!$Z$4/ IF(Wyvern!$X$4&lt; 10.8, Table13[[#This Row],[STR]], Table13[[#This Row],[STR]] / (Wyvern!$X$4 / 10.8)), 1)</calculatedColumnFormula>
    </tableColumn>
    <tableColumn id="12" xr3:uid="{4C1183A7-BB77-4817-83B5-C0DEDBCC68E7}" name="Evolved Wyvern" dataDxfId="1491">
      <calculatedColumnFormula>CEILING('Evolved Wyvern'!$Z$4/ IF('Evolved Wyvern'!$X$4&lt; 10.8, Table13[[#This Row],[STR]], Table13[[#This Row],[STR]] / ('Evolved Wyvern'!$X$4 / 10.8)), 1)</calculatedColumnFormula>
    </tableColumn>
    <tableColumn id="13" xr3:uid="{29232522-7C59-43B2-9AFD-74BB26808D3C}" name="Dragon" dataDxfId="1490">
      <calculatedColumnFormula>CEILING(Dragon!$Z$4/ IF(Dragon!$X$4&lt; 10.8, Table13[[#This Row],[STR]], Table13[[#This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2CD66E93-00AE-4C8E-A0C4-13699834B8C3}" name="Table7121317202357105109193205" displayName="Table7121317202357105109193205" ref="N35:R45" totalsRowShown="0" headerRowDxfId="574" dataDxfId="573">
  <autoFilter ref="N35:R45" xr:uid="{BD16D988-6F13-4A94-B5F0-76F79CED41E7}"/>
  <tableColumns count="5">
    <tableColumn id="1" xr3:uid="{9E4A5997-2764-4697-BFD0-37ACB8398F26}" name="LV" dataDxfId="572"/>
    <tableColumn id="2" xr3:uid="{570037F3-3092-440C-8F49-5B9E4993B871}" name="Demon" dataDxfId="571">
      <calculatedColumnFormula>CEILING(Demon!$B23 / IF(Demon!$D23&lt; 10.8, $Q$6, $Q$6 / (Demon!$D23/ 10.8)),1)</calculatedColumnFormula>
    </tableColumn>
    <tableColumn id="3" xr3:uid="{8624DA0F-F9A1-4A7F-83F7-6C177FB2A03C}" name="Elf" dataDxfId="570">
      <calculatedColumnFormula>CEILING(Elf!$B23/ IF(Elf!$D23 &lt; 10.8, $Q$6, $Q$6 / (Elf!$D23 / 10.8)),1)</calculatedColumnFormula>
    </tableColumn>
    <tableColumn id="4" xr3:uid="{2E2EB973-5644-47A5-8A98-F3CB58430381}" name="Beastgirl" dataDxfId="569">
      <calculatedColumnFormula>CEILING(Beastgirl!$B23/ IF(Beastgirl!$D23&lt; 10.8, $Q$6, $Q$6 / (Beastgirl!$D23 / 10.8)),1)</calculatedColumnFormula>
    </tableColumn>
    <tableColumn id="5" xr3:uid="{93B63F8E-ACEE-4D23-9948-6F378F87F645}" name="Warrior" dataDxfId="568">
      <calculatedColumnFormula>CEILING(Warrior!$B23/ IF(Warrior!$D23&lt; 10.8, $Q$6, $Q$6 / (Warrior!$D23 / 10.8)),1)</calculatedColumnFormula>
    </tableColumn>
  </tableColumns>
  <tableStyleInfo name="TableStyleMedium7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CC17CC1A-6822-4C19-951D-C1929A5A2C43}" name="Table712131720232659107110194206" displayName="Table712131720232659107110194206" ref="Y35:AC45" totalsRowShown="0" headerRowDxfId="567" dataDxfId="566">
  <autoFilter ref="Y35:AC45" xr:uid="{5FB165C1-CCEE-48F5-A001-5CCA393D1444}"/>
  <tableColumns count="5">
    <tableColumn id="1" xr3:uid="{CA770B2F-C90B-4052-A998-35FAC7A9BF96}" name="LV" dataDxfId="565"/>
    <tableColumn id="2" xr3:uid="{C958C2EF-28D8-41DF-AF2A-89CF1FE382E0}" name="Demon" dataDxfId="564">
      <calculatedColumnFormula>CEILING(Demon!$B23 / IF(Demon!$D23&lt; 10.8, $AB$6, $AB$6 / (Demon!$D23 / 10.8)),1)</calculatedColumnFormula>
    </tableColumn>
    <tableColumn id="3" xr3:uid="{7E37646F-9E34-40E1-A50E-A8F666DA6291}" name="Elf" dataDxfId="563">
      <calculatedColumnFormula>CEILING(Elf!$B23 / IF(Elf!$D23 &lt; 10.8, $AB$6, $AB$6 / (Elf!$D23 / 10.8)),1)</calculatedColumnFormula>
    </tableColumn>
    <tableColumn id="4" xr3:uid="{E8482205-8DDE-4CAE-95A4-7B4C356DF1DA}" name="Beastgirl" dataDxfId="562">
      <calculatedColumnFormula>CEILING(Beastgirl!$B23 / IF(Beastgirl!$D23&lt; 10.8, $AB$6, $AB$6 / (Beastgirl!$D23 / 10.8)),1)</calculatedColumnFormula>
    </tableColumn>
    <tableColumn id="5" xr3:uid="{3E65B778-25CB-4701-B917-9134763F4C5C}" name="Warrior" dataDxfId="561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534794A4-84FF-4806-A90A-F4483C43485A}" name="Table596183195207" displayName="Table596183195207" ref="A2:J6" totalsRowShown="0" headerRowDxfId="560" dataDxfId="559">
  <autoFilter ref="A2:J6" xr:uid="{BE8736A5-B36E-4B05-A317-81AFF60CABCF}"/>
  <tableColumns count="10">
    <tableColumn id="1" xr3:uid="{D33CDB9E-19B7-490D-AB76-81B5AA7B4779}" name="LV" dataDxfId="558"/>
    <tableColumn id="2" xr3:uid="{30BC4336-B12F-4CE7-AA04-D22379F0D84C}" name="HP" dataDxfId="557"/>
    <tableColumn id="3" xr3:uid="{A1506920-D9B2-436A-9204-F3398CEB507B}" name="MP" dataDxfId="556"/>
    <tableColumn id="4" xr3:uid="{67A53C12-67EB-4DED-AB92-EE226EBE83DA}" name="DEF" dataDxfId="555"/>
    <tableColumn id="5" xr3:uid="{EA9D4546-9195-4944-875D-E8274F6B67EF}" name="AGI" dataDxfId="554"/>
    <tableColumn id="6" xr3:uid="{1A84C7D8-FA99-4E65-8AEC-3CF7E095DF63}" name="STR" dataDxfId="553"/>
    <tableColumn id="7" xr3:uid="{AF823509-A4CE-42B7-BFEF-7D4B15EDC3A6}" name="INT" dataDxfId="552"/>
    <tableColumn id="8" xr3:uid="{9ECE82AF-0440-48B4-9559-D7D1B16257B5}" name="DEX" dataDxfId="551"/>
    <tableColumn id="9" xr3:uid="{DF477739-3FE2-41D3-B296-0DF49E47FC26}" name="XP Given" dataDxfId="550">
      <calculatedColumnFormula>AVERAGE(Warrior!I28:I30)/75 * 75 / 100</calculatedColumnFormula>
    </tableColumn>
    <tableColumn id="10" xr3:uid="{BE089C09-9B2D-482A-8C76-27E6FA42AD42}" name="Gold Given" dataDxfId="549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35156084-8768-46F1-BAA9-BEACCFEC14B9}" name="Table5997184196208" displayName="Table5997184196208" ref="L2:U6" totalsRowShown="0" headerRowDxfId="548" dataDxfId="547">
  <autoFilter ref="L2:U6" xr:uid="{B3DA0155-B6BB-4C55-B2EB-97DBA836E76D}"/>
  <tableColumns count="10">
    <tableColumn id="1" xr3:uid="{9BD370FC-04F5-43E8-8E65-7F556BC47C5A}" name="LV" dataDxfId="546"/>
    <tableColumn id="2" xr3:uid="{D4D02564-6CCD-4E11-B5F2-521639372A6A}" name="HP" dataDxfId="545"/>
    <tableColumn id="3" xr3:uid="{9314398B-1312-4ABD-81AF-8A54C5CAF359}" name="MP" dataDxfId="544"/>
    <tableColumn id="4" xr3:uid="{34F76EAB-BCBD-4330-BE26-F454E240D644}" name="DEF" dataDxfId="543"/>
    <tableColumn id="5" xr3:uid="{317618E5-A102-4284-B046-C991512DE6E7}" name="AGI" dataDxfId="542"/>
    <tableColumn id="6" xr3:uid="{B208BC84-8D3E-4AC8-AAA3-11EB516FBBFF}" name="STR" dataDxfId="541"/>
    <tableColumn id="7" xr3:uid="{B2537EEC-20EA-452C-B432-8FBD112447C5}" name="INT" dataDxfId="540"/>
    <tableColumn id="8" xr3:uid="{406C1D86-A3FD-4C5F-AE05-797D14660CE9}" name="DEX" dataDxfId="539"/>
    <tableColumn id="9" xr3:uid="{3B846214-6A6C-4A1C-822E-5D586B08C3E3}" name="XP Given" dataDxfId="538">
      <calculatedColumnFormula>Table596183195207[[#This Row],[XP Given]]*1.25</calculatedColumnFormula>
    </tableColumn>
    <tableColumn id="10" xr3:uid="{1A6A9F68-6C3C-4A4D-869B-0D274C8F1709}" name="Gold Given" dataDxfId="537"/>
  </tableColumns>
  <tableStyleInfo name="TableStyleMedium7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FD4DA85C-1F5B-4E98-9C56-690808D0FD96}" name="Table591098185197209" displayName="Table591098185197209" ref="W2:AF6" totalsRowShown="0" headerRowDxfId="536" dataDxfId="535">
  <autoFilter ref="W2:AF6" xr:uid="{13335C6D-6AD9-4BB3-B15D-78433CFE8FA7}"/>
  <tableColumns count="10">
    <tableColumn id="1" xr3:uid="{C499E906-3E84-4251-9064-30C1B9ED479B}" name="LV" dataDxfId="534"/>
    <tableColumn id="2" xr3:uid="{D12EC949-5151-423A-A5DF-03A8B48BD21E}" name="HP" dataDxfId="533"/>
    <tableColumn id="3" xr3:uid="{AEDF7B73-1EF7-4E77-8C9F-CA1C7A133E7E}" name="MP" dataDxfId="532"/>
    <tableColumn id="4" xr3:uid="{76A4DC6E-79B0-458B-AB46-B87023BBCF3E}" name="DEF" dataDxfId="531"/>
    <tableColumn id="5" xr3:uid="{9CADE88E-A107-4FD4-9610-00C7393B8085}" name="AGI" dataDxfId="530"/>
    <tableColumn id="6" xr3:uid="{78AF5D60-85BB-4C2F-8474-E0D61BB4A177}" name="STR" dataDxfId="529"/>
    <tableColumn id="7" xr3:uid="{230B2611-3E06-40A8-A461-269785C2E016}" name="INT" dataDxfId="528"/>
    <tableColumn id="8" xr3:uid="{2C976B15-C9DD-4923-B0F6-32EDA81D9698}" name="DEX" dataDxfId="527"/>
    <tableColumn id="9" xr3:uid="{3B2B6798-1212-4EA4-8A72-3B118721B8C0}" name="XP Given" dataDxfId="526">
      <calculatedColumnFormula>Table596183195207[[#This Row],[XP Given]]* 1.5</calculatedColumnFormula>
    </tableColumn>
    <tableColumn id="10" xr3:uid="{67919F89-484B-45EC-934D-B91C42EE90EB}" name="Gold Given" dataDxfId="525"/>
  </tableColumns>
  <tableStyleInfo name="TableStyleMedium10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A52F5C8-9C9E-4110-B34B-0AA10C297203}" name="Table712131754102186198210" displayName="Table712131754102186198210" ref="C9:G19" totalsRowShown="0" headerRowDxfId="524" dataDxfId="523">
  <autoFilter ref="C9:G19" xr:uid="{AEC466E8-0221-463E-9208-B6392089BFA0}"/>
  <tableColumns count="5">
    <tableColumn id="1" xr3:uid="{540D1204-6366-48B6-943D-5DDD83BBBC9A}" name="LV" dataDxfId="522"/>
    <tableColumn id="2" xr3:uid="{C51DD720-D28B-4E84-8665-BB94715AF11B}" name="Demon" dataDxfId="521">
      <calculatedColumnFormula>CEILING(Demon!$B23 / IF(Demon!$D23&lt; 10.8, $F$4, $F$4 / (Demon!$D23 / 10.8)),1)</calculatedColumnFormula>
    </tableColumn>
    <tableColumn id="3" xr3:uid="{7D142348-8A09-4A0B-859E-F1BF31984320}" name="Elf" dataDxfId="520">
      <calculatedColumnFormula>CEILING(Elf!$B23 / IF(Elf!$D23 &lt; 10.8, $F$4, $F$4 / (Elf!$D23/ 10.8)),1)</calculatedColumnFormula>
    </tableColumn>
    <tableColumn id="4" xr3:uid="{288C12FB-7D9C-4797-B5B0-39C103E53245}" name="Beastgirl" dataDxfId="519">
      <calculatedColumnFormula>CEILING(Beastgirl!$B23/ IF(Beastgirl!$D23&lt; 10.8,$F$4, $F$4 / (Beastgirl!$D23 / 10.8)),1)</calculatedColumnFormula>
    </tableColumn>
    <tableColumn id="5" xr3:uid="{6B873CAB-FFFE-4CA5-A13D-2FC71ADF35C3}" name="Warrior" dataDxfId="518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E7A1B8FC-D074-44C2-AC40-66B2465ED316}" name="Table71213172055103187199211" displayName="Table71213172055103187199211" ref="C22:G32" totalsRowShown="0" headerRowDxfId="517" dataDxfId="516">
  <autoFilter ref="C22:G32" xr:uid="{5BEECCDF-1990-497E-A80F-52CE53632816}"/>
  <tableColumns count="5">
    <tableColumn id="1" xr3:uid="{5BFDFC85-B71C-4D89-A9C5-162D1C17F126}" name="LV" dataDxfId="515"/>
    <tableColumn id="2" xr3:uid="{7F9D4F60-03CE-4B50-90E7-993CA435F6B8}" name="Demon" dataDxfId="514">
      <calculatedColumnFormula>CEILING(Demon!$B23/ IF(Demon!$D23&lt; 10.8, $F$5, $F$5 / (Demon!$D23 / 10.8)),1)</calculatedColumnFormula>
    </tableColumn>
    <tableColumn id="3" xr3:uid="{5AF34A96-7A67-4231-BFE9-E42262AAD306}" name="Elf" dataDxfId="513">
      <calculatedColumnFormula>CEILING(Elf!$B23 / IF(Elf!$D23 &lt; 10.8, $F$5,$F$5 / (Elf!$D23 / 10.8)),1)</calculatedColumnFormula>
    </tableColumn>
    <tableColumn id="4" xr3:uid="{C14F2DEF-7C1C-4F29-A402-7F0C02B20C00}" name="Beastgirl" dataDxfId="512">
      <calculatedColumnFormula>CEILING(Beastgirl!$B23 / IF(Beastgirl!$D23&lt; 10.8, $F$5, $F$5 / (Beastgirl!$D23 / 10.8)),1)</calculatedColumnFormula>
    </tableColumn>
    <tableColumn id="5" xr3:uid="{4A7DBF66-D427-49B7-BCCB-C4EC45DDCC5C}" name="Warrior" dataDxfId="511">
      <calculatedColumnFormula>CEILING(Warrior!$B23 / IF(Warrior!$D23&lt; 10.8, $F$5, $F$5 / (Warrior!$D23/ 10.8)),1)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D87DDCA1-0E83-43FC-86A0-AD2A1DB7A299}" name="Table71213172256104188200212" displayName="Table71213172256104188200212" ref="N9:R19" totalsRowShown="0" headerRowDxfId="510" dataDxfId="509">
  <autoFilter ref="N9:R19" xr:uid="{672629D2-8AAE-432E-A7C3-DD41DE05EFE5}"/>
  <tableColumns count="5">
    <tableColumn id="1" xr3:uid="{562C2430-F2C8-4E5E-AD1D-AA2805401D83}" name="LV" dataDxfId="508"/>
    <tableColumn id="2" xr3:uid="{EC7BF052-EBEF-40F0-8637-1BA45CB1D3A1}" name="Demon" dataDxfId="507">
      <calculatedColumnFormula>CEILING(Demon!$B23 / IF(Demon!$D23&lt; 10.8, $Q$4, $Q$4 / (Demon!$D23 / 10.8)),1)</calculatedColumnFormula>
    </tableColumn>
    <tableColumn id="3" xr3:uid="{243C4BFB-7E0A-4BD2-B9E8-1124EBEBBFA8}" name="Elf" dataDxfId="506">
      <calculatedColumnFormula>CEILING(Elf!$B23 / IF(Elf!$D23 &lt; 10.8, $Q$4, $Q$4 / (Elf!$D23/ 10.8)),1)</calculatedColumnFormula>
    </tableColumn>
    <tableColumn id="4" xr3:uid="{8800F3D1-4E26-4A9F-BE76-32A56840F764}" name="Beastgirl" dataDxfId="505">
      <calculatedColumnFormula>CEILING(Beastgirl!$B23 / IF(Beastgirl!$D23&lt; 10.8, $Q$4, $Q$4 / (Beastgirl!$D23/ 10.8)),1)</calculatedColumnFormula>
    </tableColumn>
    <tableColumn id="5" xr3:uid="{28DAD128-A222-47AD-883B-41B8D65D45E5}" name="Warrior" dataDxfId="504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E1AA52F9-41F3-4789-A01F-F90869F9C261}" name="Table7121317202357105189201213" displayName="Table7121317202357105189201213" ref="N22:R32" totalsRowShown="0" headerRowDxfId="503" dataDxfId="502">
  <autoFilter ref="N22:R32" xr:uid="{6F893AC0-FE49-485A-8BEC-25EA58397DA4}"/>
  <tableColumns count="5">
    <tableColumn id="1" xr3:uid="{681AE462-0BFE-44BB-AA9A-A2630CE2F3D6}" name="LV" dataDxfId="501"/>
    <tableColumn id="2" xr3:uid="{5612B573-898E-4F55-8DA2-5B21EAD46CF2}" name="Demon" dataDxfId="500">
      <calculatedColumnFormula>CEILING(Demon!$B23 / IF(Demon!$D23&lt; 10.8, $Q$5, $Q$5 / (Demon!$D23/ 10.8)),1)</calculatedColumnFormula>
    </tableColumn>
    <tableColumn id="3" xr3:uid="{79B93A6F-FB62-4256-9D8F-755F9AA02885}" name="Elf" dataDxfId="499">
      <calculatedColumnFormula>CEILING(Elf!$B23/ IF(Elf!$D23&lt; 10.8, $Q$5, $Q$5 / (Elf!$D23 / 10.8)),1)</calculatedColumnFormula>
    </tableColumn>
    <tableColumn id="4" xr3:uid="{572798ED-57C0-49E4-BDCC-54AE3EE10616}" name="Beastgirl" dataDxfId="498">
      <calculatedColumnFormula>CEILING(Beastgirl!$B23 / IF(Beastgirl!$D23&lt; 10.8, $Q$5, $Q$5 / (Beastgirl!$D23 / 10.8)),1)</calculatedColumnFormula>
    </tableColumn>
    <tableColumn id="5" xr3:uid="{2BDB632E-6768-4E7C-AF85-B1506EEC0115}" name="Warrior" dataDxfId="497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973225DD-F644-447E-A7D5-195344039314}" name="Table7121317222558106190202214" displayName="Table7121317222558106190202214" ref="Y9:AC19" totalsRowShown="0" headerRowDxfId="496" dataDxfId="495">
  <autoFilter ref="Y9:AC19" xr:uid="{7DEFA5AE-5F37-42E9-9DB3-E454F9348BC2}"/>
  <tableColumns count="5">
    <tableColumn id="1" xr3:uid="{061E1970-3E19-4C2F-A4F5-4BF66BE9C812}" name="LV" dataDxfId="494"/>
    <tableColumn id="2" xr3:uid="{4BF6924E-6319-4B93-B1C5-E78ED2300A52}" name="Demon" dataDxfId="493">
      <calculatedColumnFormula>CEILING(Demon!$B23 / IF(Demon!$D23&lt; 10.8, $AB$4, $AB$4 / (Demon!$D23 / 10.8)),1)</calculatedColumnFormula>
    </tableColumn>
    <tableColumn id="3" xr3:uid="{5F8E9D3F-D8A6-4F85-9615-002B3739F2AB}" name="Elf" dataDxfId="492">
      <calculatedColumnFormula>CEILING(Elf!$B23 / IF(Elf!$D23 &lt; 10.8, $AB$4, $AB$4 / (Elf!$D23 / 10.8)),1)</calculatedColumnFormula>
    </tableColumn>
    <tableColumn id="4" xr3:uid="{A03F0D1B-2175-4687-8517-4CCE62162ED1}" name="Beastgirl" dataDxfId="491">
      <calculatedColumnFormula>CEILING(Beastgirl!$B23 / IF(Beastgirl!$D23&lt; 10.8, $AB$4, $AB$4 / (Beastgirl!$D23 / 10.8)),1)</calculatedColumnFormula>
    </tableColumn>
    <tableColumn id="5" xr3:uid="{F2F545C8-A978-4D6A-B250-D43F3C5946CA}" name="Warrior" dataDxfId="490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05A04-1735-42DA-8F96-3374F7588C4D}" name="Table1" displayName="Table1" ref="A1:I52" totalsRowShown="0" headerRowDxfId="1489" dataDxfId="1488">
  <autoFilter ref="A1:I52" xr:uid="{F0EB6C81-8137-4797-8CFE-829ED1BE27E2}"/>
  <tableColumns count="9">
    <tableColumn id="1" xr3:uid="{51A45110-AE5D-49C6-9BA4-20974129E0F5}" name="Level" dataDxfId="1487"/>
    <tableColumn id="2" xr3:uid="{09CD095E-44F2-49DE-B06D-1E99E2625BE7}" name="HP" dataDxfId="1486"/>
    <tableColumn id="3" xr3:uid="{C85B7C85-AB4C-490D-880D-823FE37DAF7F}" name="MP" dataDxfId="1485">
      <calculatedColumnFormula xml:space="preserve"> 2*Table1[[#This Row],[INT]]</calculatedColumnFormula>
    </tableColumn>
    <tableColumn id="4" xr3:uid="{86D51BFC-F7DD-4C47-AB28-5A89642BE609}" name="DEF" dataDxfId="1484"/>
    <tableColumn id="5" xr3:uid="{24E81583-1D3C-435D-9603-902EB357C661}" name="AGI" dataDxfId="1483"/>
    <tableColumn id="6" xr3:uid="{3A0E8E17-45DA-43B4-8D9F-7F37A9298E72}" name="STR" dataDxfId="1482"/>
    <tableColumn id="7" xr3:uid="{897CE2AD-FA16-4FBE-9F8E-8FD745DA2AE9}" name="INT" dataDxfId="1481"/>
    <tableColumn id="8" xr3:uid="{AE2644C1-2335-469B-AD35-700A90418738}" name="DEX" dataDxfId="1480"/>
    <tableColumn id="9" xr3:uid="{A0A5D3A1-D826-4A64-9642-E334CF07251D}" name="XP needed to level up" dataDxfId="1479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AD7D50B4-3190-466E-9E42-A6FA74FDA038}" name="Table712131720232659107191203215" displayName="Table712131720232659107191203215" ref="Y22:AC32" totalsRowShown="0" headerRowDxfId="489" dataDxfId="488">
  <autoFilter ref="Y22:AC32" xr:uid="{056EB97F-988D-42A8-A2CE-AA743DBD6D9B}"/>
  <tableColumns count="5">
    <tableColumn id="1" xr3:uid="{10083983-50AE-4648-AA96-9A09944130A8}" name="LV" dataDxfId="487"/>
    <tableColumn id="2" xr3:uid="{8160D6E7-C1F3-43F9-83DD-D0EF2B5AD324}" name="Demon" dataDxfId="486">
      <calculatedColumnFormula>CEILING(Demon!$B23 / IF(Demon!$D23&lt; 10.8, $AB$5, $AB$5 / (Demon!$D23 / 10.8)),1)</calculatedColumnFormula>
    </tableColumn>
    <tableColumn id="3" xr3:uid="{C280D041-47E1-4A77-A348-635776E572E9}" name="Elf" dataDxfId="485">
      <calculatedColumnFormula>CEILING(Elf!$B23 / IF(Elf!$D23 &lt; 10.8, $AB$5, $AB$5 / (Elf!$D23 / 10.8)),1)</calculatedColumnFormula>
    </tableColumn>
    <tableColumn id="4" xr3:uid="{61F9E6CA-0005-45E1-A989-23BFCED6D29F}" name="Beastgirl" dataDxfId="484">
      <calculatedColumnFormula>CEILING(Beastgirl!$B23 / IF(Beastgirl!$D23&lt; 10.8, $AB$5, $AB$5 / (Beastgirl!$D23 / 10.8)),1)</calculatedColumnFormula>
    </tableColumn>
    <tableColumn id="5" xr3:uid="{B6EDFE85-2715-47D0-A261-01538D25A6A6}" name="Warrior" dataDxfId="483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66605D5E-3052-49E9-AD53-B2AD584F508A}" name="Table71213172055103108192204216" displayName="Table71213172055103108192204216" ref="C35:G45" totalsRowShown="0" headerRowDxfId="482" dataDxfId="481">
  <autoFilter ref="C35:G45" xr:uid="{8F27C75A-AF52-4CA8-952D-B0E03F58109D}"/>
  <tableColumns count="5">
    <tableColumn id="1" xr3:uid="{09C1499A-A224-4882-8C85-155E099BAFA9}" name="LV" dataDxfId="480"/>
    <tableColumn id="2" xr3:uid="{B761DF69-880F-455B-8C40-B9FC14D51981}" name="Demon" dataDxfId="479">
      <calculatedColumnFormula>CEILING(Demon!$B23/ IF(Demon!$D23&lt; 10.8, $F$6, $F$6 / (Demon!$D23 / 10.8)),1)</calculatedColumnFormula>
    </tableColumn>
    <tableColumn id="3" xr3:uid="{B9DA832E-BC3C-4203-8333-DF09A9B616AD}" name="Elf" dataDxfId="478">
      <calculatedColumnFormula>CEILING(Elf!$B23 / IF(Elf!$D23&lt; 10.8, $F$6,$F$6 / (Elf!$D23 / 10.8)),1)</calculatedColumnFormula>
    </tableColumn>
    <tableColumn id="4" xr3:uid="{1F7A6205-082B-4F3B-8DC8-394108DC874A}" name="Beastgirl" dataDxfId="477">
      <calculatedColumnFormula>CEILING(Beastgirl!$B23 / IF(Beastgirl!$D23&lt; 10.8, $F$6, $F$6 / (Beastgirl!$D23 / 10.8)),1)</calculatedColumnFormula>
    </tableColumn>
    <tableColumn id="5" xr3:uid="{E618E755-8253-4FE2-BDEA-A6BEB30DAB64}" name="Warrior" dataDxfId="476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3B8FB6A6-C9C4-4ADC-9BFA-376013EC4E79}" name="Table7121317202357105109193205217" displayName="Table7121317202357105109193205217" ref="N35:R45" totalsRowShown="0" headerRowDxfId="475" dataDxfId="474">
  <autoFilter ref="N35:R45" xr:uid="{4B91F1A3-4698-401A-B350-DD84C051006A}"/>
  <tableColumns count="5">
    <tableColumn id="1" xr3:uid="{A9BA83A3-ABA7-4478-B633-E136A1F2B310}" name="LV" dataDxfId="473"/>
    <tableColumn id="2" xr3:uid="{765ACA7A-7CBD-4EEC-99F1-1EE12F36AC74}" name="Demon" dataDxfId="472">
      <calculatedColumnFormula>CEILING(Demon!$B23 / IF(Demon!$D23&lt; 10.8, $Q$6, $Q$6 / (Demon!$D23/ 10.8)),1)</calculatedColumnFormula>
    </tableColumn>
    <tableColumn id="3" xr3:uid="{6BB065BE-8FD9-4C44-BF39-606A73CE4AD8}" name="Elf" dataDxfId="471">
      <calculatedColumnFormula>CEILING(Elf!$B23/ IF(Elf!$D23 &lt; 10.8, $Q$6, $Q$6 / (Elf!$D23 / 10.8)),1)</calculatedColumnFormula>
    </tableColumn>
    <tableColumn id="4" xr3:uid="{A235BFE6-6FB7-4423-972C-625F19B82038}" name="Beastgirl" dataDxfId="470">
      <calculatedColumnFormula>CEILING(Beastgirl!$B23/ IF(Beastgirl!$D23&lt; 10.8, $Q$6, $Q$6 / (Beastgirl!$D23/ 10.8)),1)</calculatedColumnFormula>
    </tableColumn>
    <tableColumn id="5" xr3:uid="{4D83EA30-48F4-4544-8FB7-59A55E58C0BB}" name="Warrior" dataDxfId="469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3D79F433-5B09-4FBA-AE44-016F99CD874D}" name="Table712131720232659107110194206218" displayName="Table712131720232659107110194206218" ref="Y35:AC45" totalsRowShown="0" headerRowDxfId="468" dataDxfId="467">
  <autoFilter ref="Y35:AC45" xr:uid="{FB5FFD10-AAC2-4A1E-9970-F166599012AD}"/>
  <tableColumns count="5">
    <tableColumn id="1" xr3:uid="{7A3CF8B3-753A-4869-B105-6960A7DDE57E}" name="LV" dataDxfId="466"/>
    <tableColumn id="2" xr3:uid="{FB582D2C-6612-4D15-A2E1-8E1604F3D080}" name="Demon" dataDxfId="465">
      <calculatedColumnFormula>CEILING(Demon!$B23 / IF(Demon!$D23&lt; 10.8, $AB$6, $AB$6 / (Demon!$D23 / 10.8)),1)</calculatedColumnFormula>
    </tableColumn>
    <tableColumn id="3" xr3:uid="{BAB6A2EC-D0AE-43A0-ABE4-CF480C67C9B1}" name="Elf" dataDxfId="464">
      <calculatedColumnFormula>CEILING(Elf!$B23 / IF(Elf!$D23 &lt; 10.8, $AB$6, $AB$6 / (Elf!$D23 / 10.8)),1)</calculatedColumnFormula>
    </tableColumn>
    <tableColumn id="4" xr3:uid="{103BF3C9-32C1-4AE5-9AF4-EB14ED59AC25}" name="Beastgirl" dataDxfId="463">
      <calculatedColumnFormula>CEILING(Beastgirl!$B23 / IF(Beastgirl!$D23&lt; 10.8, $AB$6, $AB$6 / (Beastgirl!$D23/ 10.8)),1)</calculatedColumnFormula>
    </tableColumn>
    <tableColumn id="5" xr3:uid="{16245019-51EB-4A26-8991-ACB1066157CE}" name="Warrior" dataDxfId="462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D38FEF5-E71B-4DC5-A218-69D9872BCDDB}" name="Table596183195207219" displayName="Table596183195207219" ref="A2:J4" totalsRowShown="0" headerRowDxfId="461" dataDxfId="460">
  <autoFilter ref="A2:J4" xr:uid="{5A61D252-E9FD-472F-99D6-D580B635F127}"/>
  <tableColumns count="10">
    <tableColumn id="1" xr3:uid="{3BAC6A1F-6B96-4266-8775-80836996D00A}" name="LV" dataDxfId="459"/>
    <tableColumn id="2" xr3:uid="{4A6A151E-8B0D-42A1-BE28-28B70E17CEA8}" name="HP" dataDxfId="458"/>
    <tableColumn id="3" xr3:uid="{C5AABC7E-2357-4908-ABFE-494CB217C401}" name="MP" dataDxfId="457"/>
    <tableColumn id="4" xr3:uid="{6E943C16-C2BE-433B-B395-9905BA62DBAC}" name="DEF" dataDxfId="456"/>
    <tableColumn id="5" xr3:uid="{B2632068-4B09-4570-B954-AB4C909DD7F8}" name="AGI" dataDxfId="455"/>
    <tableColumn id="6" xr3:uid="{66FF0FD5-3951-4B56-9050-C0F1491F6A33}" name="STR" dataDxfId="454"/>
    <tableColumn id="7" xr3:uid="{F242159A-AE7A-4BFD-9470-A1BEDA14883D}" name="INT" dataDxfId="453"/>
    <tableColumn id="8" xr3:uid="{D822A283-395C-4915-BE0D-493A5CF1CCDE}" name="DEX" dataDxfId="452"/>
    <tableColumn id="9" xr3:uid="{C35034E4-8574-44C1-B088-1843B25790F7}" name="XP Given" dataDxfId="451">
      <calculatedColumnFormula>$I$3 + $I$3 * Table596183195207219[[#This Row],[LV]] *25 / 100</calculatedColumnFormula>
    </tableColumn>
    <tableColumn id="10" xr3:uid="{60A17C02-9D5F-4688-A42B-25F84D04AE69}" name="Gold Given" dataDxfId="450">
      <calculatedColumnFormula>$J$3 + $J$3 * Table596183195207219[[#This Row],[LV]] * 25 / 100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FAFADF12-35EE-4A34-850B-7B2EBEF95C3B}" name="Table5997184196208220" displayName="Table5997184196208220" ref="L2:U4" totalsRowShown="0" headerRowDxfId="449" dataDxfId="448">
  <autoFilter ref="L2:U4" xr:uid="{AF72D7D4-ADDA-430A-8BA3-337C03FF40AB}"/>
  <tableColumns count="10">
    <tableColumn id="1" xr3:uid="{FD1645DA-AB70-4E19-91C9-2708A819EF16}" name="LV" dataDxfId="447"/>
    <tableColumn id="2" xr3:uid="{042D0F50-5409-4D1C-A8C1-C53B51EF84D2}" name="HP" dataDxfId="446"/>
    <tableColumn id="3" xr3:uid="{54B15314-A7A7-49DB-AA9A-20C127724B54}" name="MP" dataDxfId="445"/>
    <tableColumn id="4" xr3:uid="{7229B061-B59C-4181-862E-A1A902025147}" name="DEF" dataDxfId="444"/>
    <tableColumn id="5" xr3:uid="{E5094F88-A095-4639-BFD0-F4C341F3B01D}" name="AGI" dataDxfId="443"/>
    <tableColumn id="6" xr3:uid="{D24F7F01-AAFB-4B88-99AA-FD01F062E0EC}" name="STR" dataDxfId="442"/>
    <tableColumn id="7" xr3:uid="{3A97B833-3448-411C-ADA4-9F362FF01427}" name="INT" dataDxfId="441"/>
    <tableColumn id="8" xr3:uid="{49CD626D-321A-4A37-8BDD-CFCCD43B65EC}" name="DEX" dataDxfId="440"/>
    <tableColumn id="9" xr3:uid="{E3795D7B-9AEB-4C2A-A443-6E9FFF74F676}" name="XP Given" dataDxfId="439">
      <calculatedColumnFormula>Table596183195207219[[#This Row],[XP Given]]*1.25</calculatedColumnFormula>
    </tableColumn>
    <tableColumn id="10" xr3:uid="{43307F3A-D6A5-4377-846B-5CD236D902C8}" name="Gold Given" dataDxfId="438">
      <calculatedColumnFormula>Table596183195207219[[#This Row],[Gold Given]]*1.25</calculatedColumnFormula>
    </tableColumn>
  </tableColumns>
  <tableStyleInfo name="TableStyleMedium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9117CC18-EBFD-4559-97CE-B4474A6297FB}" name="Table591098185197209221" displayName="Table591098185197209221" ref="W2:AF4" totalsRowShown="0" headerRowDxfId="437" dataDxfId="436">
  <autoFilter ref="W2:AF4" xr:uid="{3DEB2F77-18E6-4AB0-BF19-5F2B757FCB6B}"/>
  <tableColumns count="10">
    <tableColumn id="1" xr3:uid="{E70628FA-2769-4CFA-AC62-734EF0E6277C}" name="LV" dataDxfId="435"/>
    <tableColumn id="2" xr3:uid="{6AAED0FC-0882-4EC9-B606-D991FB6527BB}" name="HP" dataDxfId="434"/>
    <tableColumn id="3" xr3:uid="{D692248B-A8DC-4CE6-A882-5FA5BCE292C9}" name="MP" dataDxfId="433"/>
    <tableColumn id="4" xr3:uid="{A7006FA7-25E1-48FE-9893-929A8CDA20EA}" name="DEF" dataDxfId="432"/>
    <tableColumn id="5" xr3:uid="{80CB9DA6-3655-4185-B300-1F8E4305E85A}" name="AGI" dataDxfId="431"/>
    <tableColumn id="6" xr3:uid="{937A0C35-180E-4C0D-9D28-D85B21C3E44A}" name="STR" dataDxfId="430"/>
    <tableColumn id="7" xr3:uid="{A423445E-FB85-4C28-AE5B-90FCC89E8E0B}" name="INT" dataDxfId="429"/>
    <tableColumn id="8" xr3:uid="{FB8D1F8F-D4E5-4229-AFA6-28EE377A60D1}" name="DEX" dataDxfId="428"/>
    <tableColumn id="9" xr3:uid="{0610D5A3-2ECD-45CA-8717-AAAA673C0051}" name="XP Given" dataDxfId="427">
      <calculatedColumnFormula>Table596183195207219[[#This Row],[XP Given]]*1.5</calculatedColumnFormula>
    </tableColumn>
    <tableColumn id="10" xr3:uid="{E09B1732-62B0-4776-A7BF-4654B0131B14}" name="Gold Given" dataDxfId="426">
      <calculatedColumnFormula>Table596183195207219[[#This Row],[Gold Given]]*1.5</calculatedColumnFormula>
    </tableColumn>
  </tableColumns>
  <tableStyleInfo name="TableStyleMedium10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6699210E-17A2-4D40-AC4E-C4B87A819B46}" name="Table712131754102186198210222" displayName="Table712131754102186198210222" ref="C7:G17" totalsRowShown="0" headerRowDxfId="425" dataDxfId="424">
  <autoFilter ref="C7:G17" xr:uid="{C7236E33-CBC4-419B-853F-CDF093EE8CDD}"/>
  <tableColumns count="5">
    <tableColumn id="1" xr3:uid="{8A343035-E5AC-4ACD-8628-9C736961D8FE}" name="LV" dataDxfId="423"/>
    <tableColumn id="2" xr3:uid="{7BBE6594-CB24-416A-ABE3-933AD4A12055}" name="Demon" dataDxfId="422">
      <calculatedColumnFormula>CEILING(Demon!$B23 / IF(Demon!$D23&lt; 10.8, $F$4, $F$4 / (Demon!$D23 / 10.8)),1)</calculatedColumnFormula>
    </tableColumn>
    <tableColumn id="3" xr3:uid="{DD884584-CEBB-4031-9A8F-666040955A7E}" name="Elf" dataDxfId="421">
      <calculatedColumnFormula>CEILING(Elf!$B23 / IF(Elf!$D23 &lt; 10.8, $F$4, $F$4 / (Elf!$D23 / 10.8)),1)</calculatedColumnFormula>
    </tableColumn>
    <tableColumn id="4" xr3:uid="{07F12ED0-B26D-49DE-B937-0D33F87F9B68}" name="Beastgirl" dataDxfId="420">
      <calculatedColumnFormula>CEILING(Beastgirl!$B23/ IF(Beastgirl!$D23&lt; 10.8,$F$4, $F$4 / (Beastgirl!$D23 / 10.8)),1)</calculatedColumnFormula>
    </tableColumn>
    <tableColumn id="5" xr3:uid="{9BA9E317-9A03-4B14-83D7-B74B76095E69}" name="Warrior" dataDxfId="419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610A8086-B3EE-4E1E-BF41-BA2E1439CE8B}" name="Table71213172256104188200212224" displayName="Table71213172256104188200212224" ref="N7:R17" totalsRowShown="0" headerRowDxfId="418" dataDxfId="417">
  <autoFilter ref="N7:R17" xr:uid="{70BA2751-A98E-4734-9D79-205F351A454D}"/>
  <tableColumns count="5">
    <tableColumn id="1" xr3:uid="{0B96837E-D232-48D6-9ADD-940599AB3BAE}" name="LV" dataDxfId="416"/>
    <tableColumn id="2" xr3:uid="{8A957E75-0C82-4265-8B3B-1C1DA2EC81EA}" name="Demon" dataDxfId="415">
      <calculatedColumnFormula>CEILING(Demon!$B23 / IF(Demon!$D23&lt; 10.8, $Q$4, $Q$4 / (Demon!$D23 / 10.8)),1)</calculatedColumnFormula>
    </tableColumn>
    <tableColumn id="3" xr3:uid="{3D49765F-7B20-4D3A-BBEA-7BF2DC4C8234}" name="Elf" dataDxfId="414">
      <calculatedColumnFormula>CEILING(Elf!$B23 / IF(Elf!$D23 &lt; 10.8, $Q$4, $Q$4 / (Elf!$D23 / 10.8)),1)</calculatedColumnFormula>
    </tableColumn>
    <tableColumn id="4" xr3:uid="{BC8321D5-314A-4EE9-B85C-88775D3A780F}" name="Beastgirl" dataDxfId="413">
      <calculatedColumnFormula>CEILING(Beastgirl!$B23 / IF(Beastgirl!$D23&lt; 10.8, $Q$4, $Q$4 / (Beastgirl!$D23 / 10.8)),1)</calculatedColumnFormula>
    </tableColumn>
    <tableColumn id="5" xr3:uid="{4C191558-7890-4496-9963-36569DF2C1E6}" name="Warrior" dataDxfId="412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491B110F-19BA-401B-B439-02377D7AE04A}" name="Table7121317222558106190202214226" displayName="Table7121317222558106190202214226" ref="Y7:AC17" totalsRowShown="0" headerRowDxfId="411" dataDxfId="410">
  <autoFilter ref="Y7:AC17" xr:uid="{BBD995E8-D7A5-4403-B561-D503203925FB}"/>
  <tableColumns count="5">
    <tableColumn id="1" xr3:uid="{6FE94707-D7AE-4A0A-97CB-FAD0ED3DD518}" name="LV" dataDxfId="409"/>
    <tableColumn id="2" xr3:uid="{825157BA-7DDE-4F83-AEA2-B0BEE56B42CA}" name="Demon" dataDxfId="408">
      <calculatedColumnFormula>CEILING(Demon!$B23 / IF(Demon!$D23&lt; 10.8, $AB$4, $AB$4 / (Demon!$D23 / 10.8)),1)</calculatedColumnFormula>
    </tableColumn>
    <tableColumn id="3" xr3:uid="{AAEBA969-DEA8-403E-B238-54D9B3BB15E9}" name="Elf" dataDxfId="407">
      <calculatedColumnFormula>CEILING(Elf!$B23 / IF(Elf!$D23 &lt; 10.8, $AB$4, $AB$4 / (Elf!$D23 / 10.8)),1)</calculatedColumnFormula>
    </tableColumn>
    <tableColumn id="4" xr3:uid="{0D984265-C448-4996-A7A4-86E48ED5AAC4}" name="Beastgirl" dataDxfId="406">
      <calculatedColumnFormula>CEILING(Beastgirl!$B23 / IF(Beastgirl!$D23&lt; 10.8, $AB$4, $AB$4 / (Beastgirl!$D23 / 10.8)),1)</calculatedColumnFormula>
    </tableColumn>
    <tableColumn id="5" xr3:uid="{D9BEE222-1508-4BF9-AB90-5A91794EFF48}" name="Warrior" dataDxfId="405">
      <calculatedColumnFormula>CEILING(Warrior!$B23 / IF(Warrior!$D23&lt; 10.8, $AB$4, $AB$4 / (Warrior!$D23/ 10.8)),1)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9F51647-58D7-4A27-B266-94E342F53FAF}" name="Table3871216" displayName="Table3871216" ref="K2:X52" totalsRowShown="0" headerRowDxfId="1478" dataDxfId="1477">
  <autoFilter ref="K2:X52" xr:uid="{12D29F8B-77A8-41FC-AF9E-B80D28A8CEF8}"/>
  <tableColumns count="14">
    <tableColumn id="1" xr3:uid="{26EFDC22-D046-4681-9529-05467D6C7076}" name="Blue Slime" dataDxfId="1476">
      <calculatedColumnFormula>CEILING('Blue Slime'!$B$5/ IF('Blue Slime'!$D$5&lt; 10.8, Table1[[#This Row],[STR]], Table1[[#This Row],[STR]] / ('Blue Slime'!$D$5 / 10.8)), 1)</calculatedColumnFormula>
    </tableColumn>
    <tableColumn id="2" xr3:uid="{67151BE2-42FC-4EBE-857C-A6743902A232}" name="Green Slime" dataDxfId="1475">
      <calculatedColumnFormula>CEILING('Green Slime'!$B$5/ IF('Green Slime'!$D$5&lt; 10.8, Table1[[#This Row],[STR]], Table1[[#This Row],[STR]] / ('Green Slime'!$D$5 / 10.8)), 1)</calculatedColumnFormula>
    </tableColumn>
    <tableColumn id="3" xr3:uid="{77206C44-AEB9-4D8E-9CF2-1C9E08FB1897}" name="Wolf" dataDxfId="1474">
      <calculatedColumnFormula>CEILING(Wolf!$B$6/ IF(Wolf!$D$6&lt; 10.8, Table1[[#This Row],[STR]], Table1[[#This Row],[STR]] / (Wolf!$D$6 / 10.8)), 1)</calculatedColumnFormula>
    </tableColumn>
    <tableColumn id="4" xr3:uid="{3E8C98F7-89B1-4690-80F6-AB8CCA823901}" name="Horned Wolf" dataDxfId="1473">
      <calculatedColumnFormula>CEILING('Horned Wolf'!$B$5/ IF('Horned Wolf'!$D$5&lt; 10.8, Table1[[#This Row],[STR]], Table1[[#This Row],[STR]] / ('Horned Wolf'!$D$5 / 10.8)), 1)</calculatedColumnFormula>
    </tableColumn>
    <tableColumn id="5" xr3:uid="{0C42D7D5-E3B7-4A6F-AB67-866591FA7968}" name="Spider" dataDxfId="1472">
      <calculatedColumnFormula>CEILING(Spider!$B$7/ IF(Spider!$D$7&lt; 10.8, Table1[[#This Row],[STR]], Table1[[#This Row],[STR]] / (Spider!$D$7 / 10.8)), 1)</calculatedColumnFormula>
    </tableColumn>
    <tableColumn id="6" xr3:uid="{7813640D-EDD3-48FC-962E-8FF277E7043F}" name="Evolved Spider" dataDxfId="1471">
      <calculatedColumnFormula>CEILING('Evolved Spider'!$B$8/ IF('Evolved Spider'!$D$8&lt; 10.8, Table1[[#This Row],[STR]], Table1[[#This Row],[STR]] / ('Evolved Spider'!$D$8 / 10.8)), 1)</calculatedColumnFormula>
    </tableColumn>
    <tableColumn id="7" xr3:uid="{9646569E-71C9-436B-A3C0-2FA891EBF060}" name="Arachne" dataDxfId="1470">
      <calculatedColumnFormula>CEILING(Arachne!$B$4/ IF(Arachne!$D$4&lt; 10.8, Table1[[#This Row],[STR]], Table1[[#This Row],[STR]] / (Arachne!$D$4 / 10.8)), 1)</calculatedColumnFormula>
    </tableColumn>
    <tableColumn id="8" xr3:uid="{B9D25686-FEB6-47FE-9686-61993503E8F3}" name="Earth Elemental" dataDxfId="1469">
      <calculatedColumnFormula>CEILING('Earth Elemental'!$B$6/ IF('Earth Elemental'!$D$6&lt; 10.8, Table1[[#This Row],[STR]], Table1[[#This Row],[STR]] / ('Earth Elemental'!$D$6 / 10.8)), 1)</calculatedColumnFormula>
    </tableColumn>
    <tableColumn id="9" xr3:uid="{11F71974-C7F6-4E6E-8BB0-FE403CBEDE27}" name="Wind Elemental" dataDxfId="1468">
      <calculatedColumnFormula>CEILING('Wind Elemental'!$B$6/ IF('Wind Elemental'!$D$6&lt; 10.8, Table1[[#This Row],[STR]], Table1[[#This Row],[STR]] / ('Wind Elemental'!$D$6 / 10.8)), 1)</calculatedColumnFormula>
    </tableColumn>
    <tableColumn id="14" xr3:uid="{C6D55053-8107-433A-AD1F-BDDEADF0A513}" name="Water Elemental" dataDxfId="1467">
      <calculatedColumnFormula>CEILING('Water Elemental'!$B$6/ IF('Water Elemental'!$D$6&lt; 10.8, Table1[[#This Row],[STR]], Table1[[#This Row],[STR]] / ('Water Elemental'!$D$6 / 10.8)), 1)</calculatedColumnFormula>
    </tableColumn>
    <tableColumn id="10" xr3:uid="{7EF27208-1A7A-4EE5-8A84-CBB2AFF221FE}" name="Fire Elemental" dataDxfId="1466">
      <calculatedColumnFormula>CEILING('Fire Elemental'!$B$4/ IF('Fire Elemental'!$D$4&lt; 10.8, Table1[[#This Row],[STR]], Table1[[#This Row],[STR]] / ('Fire Elemental'!$D$4 / 10.8)), 1)</calculatedColumnFormula>
    </tableColumn>
    <tableColumn id="11" xr3:uid="{F36F5483-E692-4F9B-AB55-DB3B79F7C7D7}" name="Wyvern" dataDxfId="1465">
      <calculatedColumnFormula>CEILING(Wyvern!$B$4/ IF(Wyvern!$D$4&lt; 10.8, Table1[[#This Row],[STR]], Table1[[#This Row],[STR]] / (Wyvern!$D$4 / 10.8)), 1)</calculatedColumnFormula>
    </tableColumn>
    <tableColumn id="12" xr3:uid="{48949571-5FB2-431A-8AD3-5B1B89DAA90C}" name="Evolved Wyvern" dataDxfId="1464">
      <calculatedColumnFormula>CEILING('Evolved Wyvern'!$B$4/ IF('Evolved Wyvern'!$D$4&lt; 10.8, Table1[[#This Row],[STR]], Table1[[#This Row],[STR]] / ('Evolved Wyvern'!$D$4 / 10.8)), 1)</calculatedColumnFormula>
    </tableColumn>
    <tableColumn id="13" xr3:uid="{CF5B1817-6D8C-426E-BA84-BE80BA158CBB}" name="Dragon" dataDxfId="1463">
      <calculatedColumnFormula>CEILING(Dragon!$B$4/ IF(Dragon!$D$4&lt; 10.8, Table1[[#This Row],[STR]], Table1[[#This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2E75D5D-CB2D-47C1-A2B9-758537AD7846}" name="Table596183195207231" displayName="Table596183195207231" ref="A2:J8" totalsRowShown="0" headerRowDxfId="404" dataDxfId="403">
  <autoFilter ref="A2:J8" xr:uid="{E3EBF3D9-D63A-47C6-975A-7D0A48DC77FC}"/>
  <tableColumns count="10">
    <tableColumn id="1" xr3:uid="{B372E7DA-98A1-4446-B4B4-AE15BB93AED3}" name="LV" dataDxfId="402"/>
    <tableColumn id="2" xr3:uid="{D23CDA57-CCD2-4C02-87CC-58FDF197AFBF}" name="HP" dataDxfId="401"/>
    <tableColumn id="3" xr3:uid="{EAF11F36-D80D-4B8A-B727-2A66BDF70600}" name="MP" dataDxfId="400"/>
    <tableColumn id="4" xr3:uid="{DF560A2A-FD92-4139-8D0D-EAA9CA1FFB09}" name="DEF" dataDxfId="399"/>
    <tableColumn id="5" xr3:uid="{C5FC1DA5-35C4-440F-A01E-884F778EBBF1}" name="AGI" dataDxfId="398"/>
    <tableColumn id="6" xr3:uid="{C2A5CBCD-1F37-4482-ABEF-786CF78EF2FE}" name="STR" dataDxfId="397"/>
    <tableColumn id="7" xr3:uid="{A882F03B-6199-46FD-9548-AEBEF7CD3A64}" name="INT" dataDxfId="396"/>
    <tableColumn id="8" xr3:uid="{AD825847-61EB-436E-9165-DF293538A6BD}" name="DEX" dataDxfId="395"/>
    <tableColumn id="9" xr3:uid="{EE6FBA3F-F159-4ABE-87DB-327C8E2D41A9}" name="XP Given" dataDxfId="394">
      <calculatedColumnFormula>AVERAGE(Warrior!I32:I36)/100 * 75/100</calculatedColumnFormula>
    </tableColumn>
    <tableColumn id="10" xr3:uid="{006AE54E-E3E9-44C5-B71D-2733761E2272}" name="Gold Given" dataDxfId="393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14D8CA04-19F0-4C82-8F15-1D2EC344AD07}" name="Table5997184196208232" displayName="Table5997184196208232" ref="L2:U8" totalsRowShown="0" headerRowDxfId="392" dataDxfId="391">
  <autoFilter ref="L2:U8" xr:uid="{01153186-9B20-4030-81BF-F7812BAFE68A}"/>
  <tableColumns count="10">
    <tableColumn id="1" xr3:uid="{9AE5B252-9154-4DA2-A268-92B0485C1652}" name="LV" dataDxfId="390"/>
    <tableColumn id="2" xr3:uid="{5783BE17-11F5-4811-ABDC-ADDBC1E612B0}" name="HP" dataDxfId="389"/>
    <tableColumn id="3" xr3:uid="{8AFE0189-B359-4230-AFB5-1BE6742D027B}" name="MP" dataDxfId="388"/>
    <tableColumn id="4" xr3:uid="{9643645B-F602-4229-B219-D36D11E9D6D9}" name="DEF" dataDxfId="387"/>
    <tableColumn id="5" xr3:uid="{D0E96EAA-AA13-488B-BD41-A8C574DB9D15}" name="AGI" dataDxfId="386"/>
    <tableColumn id="6" xr3:uid="{DA7EC994-144E-4BE4-AD68-9C90F310C9DC}" name="STR" dataDxfId="385"/>
    <tableColumn id="7" xr3:uid="{E8713749-3362-4AA7-93F5-6D80C8CCEDBA}" name="INT" dataDxfId="384"/>
    <tableColumn id="8" xr3:uid="{3A4B6BD9-BD25-4778-94D4-F41B0862CA3A}" name="DEX" dataDxfId="383"/>
    <tableColumn id="9" xr3:uid="{AA3E3672-EC0E-4AED-BD92-87662D6357F7}" name="XP Given" dataDxfId="382">
      <calculatedColumnFormula>Table596183195207231[[#This Row],[XP Given]]*1.25</calculatedColumnFormula>
    </tableColumn>
    <tableColumn id="10" xr3:uid="{B573346E-0C57-4C98-B9BC-0D4D974813E9}" name="Gold Given" dataDxfId="381"/>
  </tableColumns>
  <tableStyleInfo name="TableStyleMedium7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ED775D6B-D4DC-4F4E-BDD0-804E446A157A}" name="Table591098185197209233" displayName="Table591098185197209233" ref="W2:AF8" totalsRowShown="0" headerRowDxfId="380" dataDxfId="379">
  <autoFilter ref="W2:AF8" xr:uid="{8B77124E-945A-49F1-BE9E-7003A813DC84}"/>
  <tableColumns count="10">
    <tableColumn id="1" xr3:uid="{464B07AE-AA0E-431A-87A3-F2518BB2D433}" name="LV" dataDxfId="378"/>
    <tableColumn id="2" xr3:uid="{F5015827-C222-4D1D-A483-70E9A655DA7D}" name="HP" dataDxfId="377"/>
    <tableColumn id="3" xr3:uid="{5FB6B8B8-4362-4754-921E-A8A7F5733B2C}" name="MP" dataDxfId="376"/>
    <tableColumn id="4" xr3:uid="{44D8B02B-ED79-40C5-B9F8-8B010E6A9999}" name="DEF" dataDxfId="375"/>
    <tableColumn id="5" xr3:uid="{8DAD0EB5-B6FB-4A46-9672-60714318FC7A}" name="AGI" dataDxfId="374"/>
    <tableColumn id="6" xr3:uid="{F407DCF8-B763-4876-AEA9-ECF2F24E412E}" name="STR" dataDxfId="373"/>
    <tableColumn id="7" xr3:uid="{D9781670-533A-40E8-AED3-F9E18F2F201B}" name="INT" dataDxfId="372"/>
    <tableColumn id="8" xr3:uid="{186422CE-2949-4B38-9563-B187CD7AC6FC}" name="DEX" dataDxfId="371"/>
    <tableColumn id="9" xr3:uid="{322548AD-0255-42F8-BA38-CDA8332780A8}" name="XP Given" dataDxfId="370">
      <calculatedColumnFormula>Table596183195207231[[#This Row],[XP Given]]*1.5</calculatedColumnFormula>
    </tableColumn>
    <tableColumn id="10" xr3:uid="{329EB9FC-D4AC-41D2-8E57-D1D6E29ADA05}" name="Gold Given" dataDxfId="369"/>
  </tableColumns>
  <tableStyleInfo name="TableStyleMedium10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D47279AF-58FE-4559-8542-91259EB3C1B2}" name="Table712131754102186198210234" displayName="Table712131754102186198210234" ref="C11:G31" totalsRowShown="0" headerRowDxfId="368" dataDxfId="367">
  <autoFilter ref="C11:G31" xr:uid="{8BE70A0D-231C-4F7D-BD1F-F81FE2955571}"/>
  <tableColumns count="5">
    <tableColumn id="1" xr3:uid="{B74C34B7-0880-4CF6-89F6-C103026BEDDD}" name="LV" dataDxfId="366"/>
    <tableColumn id="2" xr3:uid="{176FB3BC-533D-49CC-B213-B897EFEF7B30}" name="Demon" dataDxfId="365">
      <calculatedColumnFormula>CEILING(Demon!$B33 / IF(Demon!$D33&lt; 10.8, $F$4, $F$4 / (Demon!$D33 / 10.8)),1)</calculatedColumnFormula>
    </tableColumn>
    <tableColumn id="3" xr3:uid="{610FA25C-7023-43E5-AAE7-94FD9D5686B6}" name="Elf" dataDxfId="364">
      <calculatedColumnFormula>CEILING(Elf!$B33 / IF(Elf!$D33 &lt; 10.8, $F$4, $F$4 / (Elf!$D33 / 10.8)),1)</calculatedColumnFormula>
    </tableColumn>
    <tableColumn id="4" xr3:uid="{3031AC97-A603-4ACD-B62B-7B757FF18FFB}" name="Beastgirl" dataDxfId="363">
      <calculatedColumnFormula>CEILING(Beastgirl!$B33/ IF(Beastgirl!$D33&lt; 10.8,$F$4, $F$4 / (Beastgirl!$D33 / 10.8)),1)</calculatedColumnFormula>
    </tableColumn>
    <tableColumn id="5" xr3:uid="{E1C3F78F-567C-4E98-AA25-F538AD3A97EC}" name="Warrior" dataDxfId="362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B12D301C-C3FF-4DE0-B958-D416A1009626}" name="Table71213172055103187199211235" displayName="Table71213172055103187199211235" ref="C34:G54" totalsRowShown="0" headerRowDxfId="361" dataDxfId="360">
  <autoFilter ref="C34:G54" xr:uid="{B164165E-F831-4BE2-8084-997DF23A1A79}"/>
  <tableColumns count="5">
    <tableColumn id="1" xr3:uid="{074A315F-84BC-43BA-BDA4-06B1BA356034}" name="LV" dataDxfId="359"/>
    <tableColumn id="2" xr3:uid="{E0B00476-7DF5-4285-806F-CA7CC105AF17}" name="Demon" dataDxfId="358">
      <calculatedColumnFormula>CEILING(Demon!$B33/ IF(Demon!$D33&lt; 10.8, $F$5, $F$5 / (Demon!$D33 / 10.8)),1)</calculatedColumnFormula>
    </tableColumn>
    <tableColumn id="3" xr3:uid="{320FFBDD-43DE-4F18-A6C2-C9E8D3B15D24}" name="Elf" dataDxfId="357">
      <calculatedColumnFormula>CEILING(Elf!$B33 / IF(Elf!$D33 &lt; 10.8, $F$5,$F$5 / (Elf!$D33 / 10.8)),1)</calculatedColumnFormula>
    </tableColumn>
    <tableColumn id="4" xr3:uid="{855404A6-F96D-4752-AF3C-ED6ECD64D583}" name="Beastgirl" dataDxfId="356">
      <calculatedColumnFormula>CEILING(Beastgirl!$B33 / IF(Beastgirl!$D33&lt; 10.8, $F$5, $F$5 / (Beastgirl!$D33 / 10.8)),1)</calculatedColumnFormula>
    </tableColumn>
    <tableColumn id="5" xr3:uid="{ADA63744-D8D7-489A-99A1-D0126E935D3A}" name="Warrior" dataDxfId="355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F164DB6-E975-493D-9780-1CED814CAEC5}" name="Table71213172256104188200212236" displayName="Table71213172256104188200212236" ref="N11:R31" totalsRowShown="0" headerRowDxfId="354" dataDxfId="353">
  <autoFilter ref="N11:R31" xr:uid="{11D5F17F-5831-4FF9-BA42-A3917EF2D03F}"/>
  <tableColumns count="5">
    <tableColumn id="1" xr3:uid="{3D322152-4542-4FBA-A56C-DC5C709BF00F}" name="LV" dataDxfId="352"/>
    <tableColumn id="2" xr3:uid="{FCC2FD9E-E3DB-4976-A3BA-510877B6E5EE}" name="Demon" dataDxfId="351">
      <calculatedColumnFormula>CEILING(Demon!$B33 / IF(Demon!$D33&lt; 10.8, $Q$4, $Q$4 / (Demon!$D33/ 10.8)),1)</calculatedColumnFormula>
    </tableColumn>
    <tableColumn id="3" xr3:uid="{19F2DD86-AACB-4C35-BD56-0344EDB413AE}" name="Elf" dataDxfId="350">
      <calculatedColumnFormula>CEILING(Elf!$B33 / IF(Elf!$D33 &lt; 10.8, $Q$4, $Q$4 / (Elf!$D33 / 10.8)),1)</calculatedColumnFormula>
    </tableColumn>
    <tableColumn id="4" xr3:uid="{585A0AB8-C90B-4CBB-A49B-1DB0C472DC60}" name="Beastgirl" dataDxfId="349">
      <calculatedColumnFormula>CEILING(Beastgirl!$B33 / IF(Beastgirl!$D33&lt; 10.8, $Q$4, $Q$4 / (Beastgirl!$D33/ 10.8)),1)</calculatedColumnFormula>
    </tableColumn>
    <tableColumn id="5" xr3:uid="{FE840A4D-2909-4B8F-B8EC-B1874535A8C4}" name="Warrior" dataDxfId="348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C06575C0-BFF3-476F-9969-5ABA167C70FB}" name="Table7121317202357105189201213237" displayName="Table7121317202357105189201213237" ref="N34:R54" totalsRowShown="0" headerRowDxfId="347" dataDxfId="346">
  <autoFilter ref="N34:R54" xr:uid="{70FBA793-0250-46D6-8ED0-9890AC316B1E}"/>
  <tableColumns count="5">
    <tableColumn id="1" xr3:uid="{E450971C-7F92-4D00-B147-1C13226E803E}" name="LV" dataDxfId="345"/>
    <tableColumn id="2" xr3:uid="{44307784-661E-45E7-BD98-9CE38A561B30}" name="Demon" dataDxfId="344">
      <calculatedColumnFormula>CEILING(Demon!$B33 / IF(Demon!$D33&lt; 10.8, $Q$5, $Q$5 / (Demon!$D33/ 10.8)),1)</calculatedColumnFormula>
    </tableColumn>
    <tableColumn id="3" xr3:uid="{69DBFC22-B736-4CA2-8011-FC5FCB7AC920}" name="Elf" dataDxfId="343">
      <calculatedColumnFormula>CEILING(Elf!$B33/ IF(Elf!$D33 &lt; 10.8, $Q$5, $Q$5 / (Elf!$D33 / 10.8)),1)</calculatedColumnFormula>
    </tableColumn>
    <tableColumn id="4" xr3:uid="{A84BD63A-02E1-4B90-A534-EA743D7B57D2}" name="Beastgirl" dataDxfId="342">
      <calculatedColumnFormula>CEILING(Beastgirl!$B33 / IF(Beastgirl!$D33&lt; 10.8, $Q$5, $Q$5 / (Beastgirl!$D33 / 10.8)),1)</calculatedColumnFormula>
    </tableColumn>
    <tableColumn id="5" xr3:uid="{27C80EAE-A071-41A3-B173-6E6D2364B695}" name="Warrior" dataDxfId="341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D17C6685-5A9C-42A6-A4D6-0DB84C62C3D7}" name="Table7121317222558106190202214238" displayName="Table7121317222558106190202214238" ref="Y11:AC31" totalsRowShown="0" headerRowDxfId="340" dataDxfId="339">
  <autoFilter ref="Y11:AC31" xr:uid="{319583B9-17F8-40FF-8577-B8B21B3A9675}"/>
  <tableColumns count="5">
    <tableColumn id="1" xr3:uid="{EAF8D306-7E11-4F50-9342-21FA5561BD3A}" name="LV" dataDxfId="338"/>
    <tableColumn id="2" xr3:uid="{A187AEDB-1811-4A50-9071-8B008EB33D65}" name="Demon" dataDxfId="337">
      <calculatedColumnFormula>CEILING(Demon!$B33 / IF(Demon!$D33&lt; 10.8, $AB$4, $AB$4 / (Demon!$D33 / 10.8)),1)</calculatedColumnFormula>
    </tableColumn>
    <tableColumn id="3" xr3:uid="{B8305BE8-90A9-4AB2-9021-4AF3C13A3C58}" name="Elf" dataDxfId="336">
      <calculatedColumnFormula>CEILING(Elf!$B33 / IF(Elf!$D33 &lt; 10.8, $AB$4, $AB$4 / (Elf!$D33 / 10.8)),1)</calculatedColumnFormula>
    </tableColumn>
    <tableColumn id="4" xr3:uid="{99BB040F-C3FE-4C56-8A44-523750188CA8}" name="Beastgirl" dataDxfId="335">
      <calculatedColumnFormula>CEILING(Beastgirl!$B33 / IF(Beastgirl!$D33&lt; 10.8, $AB$4, $AB$4 / (Beastgirl!$D33 / 10.8)),1)</calculatedColumnFormula>
    </tableColumn>
    <tableColumn id="5" xr3:uid="{9D32AAD4-B1A0-43A9-BA5B-E36BB2675028}" name="Warrior" dataDxfId="334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2FAE8AA5-46D1-4666-8F03-A9616B198791}" name="Table712131720232659107191203215239" displayName="Table712131720232659107191203215239" ref="Y34:AC54" totalsRowShown="0" headerRowDxfId="333" dataDxfId="332">
  <autoFilter ref="Y34:AC54" xr:uid="{7CB51AC5-09CA-4D23-9F63-3B2DF2C2284C}"/>
  <tableColumns count="5">
    <tableColumn id="1" xr3:uid="{E1FADE59-2FD8-4080-BD2A-AF0DDC7DB9E2}" name="LV" dataDxfId="331"/>
    <tableColumn id="2" xr3:uid="{E6B9BC64-7B51-4BB6-B695-443B94EDEEF7}" name="Demon" dataDxfId="330">
      <calculatedColumnFormula>CEILING(Demon!$B33 / IF(Demon!$D33&lt; 10.8, $AB$5, $AB$5 / (Demon!$D33 / 10.8)),1)</calculatedColumnFormula>
    </tableColumn>
    <tableColumn id="3" xr3:uid="{84144745-E1E7-4A58-98A7-2FAE364D4538}" name="Elf" dataDxfId="329">
      <calculatedColumnFormula>CEILING(Elf!$B33 / IF(Elf!$D33 &lt; 10.8, $AB$5, $AB$5 / (Elf!$D33 / 10.8)),1)</calculatedColumnFormula>
    </tableColumn>
    <tableColumn id="4" xr3:uid="{12A4B87E-5E86-4265-B1F0-8803AE0DFCDC}" name="Beastgirl" dataDxfId="328">
      <calculatedColumnFormula>CEILING(Beastgirl!$B33 / IF(Beastgirl!$D33&lt; 10.8, $AB$5, $AB$5 / (Beastgirl!$D33 / 10.8)),1)</calculatedColumnFormula>
    </tableColumn>
    <tableColumn id="5" xr3:uid="{001A6D1A-224B-4A58-93CB-F13E001600BE}" name="Warrior" dataDxfId="327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77FF6AAF-53AC-4F32-84A5-5170FFF4AECB}" name="Table71213172055103108192204216240" displayName="Table71213172055103108192204216240" ref="C57:G77" totalsRowShown="0" headerRowDxfId="326" dataDxfId="325">
  <autoFilter ref="C57:G77" xr:uid="{4AC8BAD9-14E9-4B3E-AD90-43C372CCEC14}"/>
  <tableColumns count="5">
    <tableColumn id="1" xr3:uid="{18D28916-A53B-4039-BFC4-0F021A79D1B1}" name="LV" dataDxfId="324"/>
    <tableColumn id="2" xr3:uid="{D59210C9-5C95-46A6-BE33-73B7F1D9902D}" name="Demon" dataDxfId="323">
      <calculatedColumnFormula>CEILING(Demon!$B33/ IF(Demon!$D33&lt; 10.8, $F$6, $F$6 / (Demon!$D33 / 10.8)),1)</calculatedColumnFormula>
    </tableColumn>
    <tableColumn id="3" xr3:uid="{A358FD15-608F-4D79-A8F6-438E0F3E1FB7}" name="Elf" dataDxfId="322">
      <calculatedColumnFormula>CEILING(Elf!$B33 / IF(Elf!$D33&lt; 10.8, $F$6,$F$6 / (Elf!$D33 / 10.8)),1)</calculatedColumnFormula>
    </tableColumn>
    <tableColumn id="4" xr3:uid="{50B831AB-F472-4977-87A7-910B02788ECD}" name="Beastgirl" dataDxfId="321">
      <calculatedColumnFormula>CEILING(Beastgirl!$B33 / IF(Beastgirl!$D33&lt; 10.8, $F$6, $F$6 / (Beastgirl!$D33 / 10.8)),1)</calculatedColumnFormula>
    </tableColumn>
    <tableColumn id="5" xr3:uid="{5FA4C632-C6BC-4EFE-9FE3-29A76D302EF6}" name="Warrior" dataDxfId="320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3014A8-F410-4584-8B03-1599837E156D}" name="Table384081417" displayName="Table384081417" ref="Z2:AM52" totalsRowShown="0" headerRowDxfId="1462" dataDxfId="1461">
  <autoFilter ref="Z2:AM52" xr:uid="{099CD2B8-048D-44B7-90DF-88E363EF7BD4}"/>
  <tableColumns count="14">
    <tableColumn id="1" xr3:uid="{0DB63298-7299-44DE-95B4-E93526FEBF10}" name="Blue Slime" dataDxfId="1460">
      <calculatedColumnFormula>CEILING('Blue Slime'!$M$5/ IF('Blue Slime'!$O$5&lt; 10.8, Table1[[#This Row],[STR]], Table1[[#This Row],[STR]] / ('Blue Slime'!$O$5 / 10.8)), 1)</calculatedColumnFormula>
    </tableColumn>
    <tableColumn id="2" xr3:uid="{392E185E-7894-422E-8471-54024C06870C}" name="Green Slime" dataDxfId="1459">
      <calculatedColumnFormula>CEILING('Green Slime'!$M$5/ IF('Green Slime'!$O$5&lt; 10.8, Table1[[#This Row],[STR]], Table1[[#This Row],[STR]] / ('Green Slime'!$O$5 / 10.8)), 1)</calculatedColumnFormula>
    </tableColumn>
    <tableColumn id="3" xr3:uid="{65092058-2324-4C2D-B1D2-14E7597B1310}" name="Wolf" dataDxfId="1458">
      <calculatedColumnFormula>CEILING(Wolf!$M$6/ IF(Wolf!$O$6&lt; 10.8, Table1[[#This Row],[STR]], Table1[[#This Row],[STR]] / (Wolf!$O$6 / 10.8)), 1)</calculatedColumnFormula>
    </tableColumn>
    <tableColumn id="4" xr3:uid="{CF4252E6-D67A-46F2-9237-97EB3E5D4484}" name="Horned Wolf" dataDxfId="1457">
      <calculatedColumnFormula>CEILING('Horned Wolf'!$M$5/ IF('Horned Wolf'!$O$5&lt; 10.8, Table1[[#This Row],[STR]], Table1[[#This Row],[STR]] / ('Horned Wolf'!$O$5 / 10.8)), 1)</calculatedColumnFormula>
    </tableColumn>
    <tableColumn id="5" xr3:uid="{0EE9DF2A-4DEC-4F11-A007-AABAB7AE5ED1}" name="Spider" dataDxfId="1456">
      <calculatedColumnFormula>CEILING(Spider!$M$7/ IF(Spider!$O$7&lt; 10.8, Table1[[#This Row],[STR]], Table1[[#This Row],[STR]] / (Spider!$O$7 / 10.8)), 1)</calculatedColumnFormula>
    </tableColumn>
    <tableColumn id="6" xr3:uid="{46018978-7381-4E20-B3E4-EED950B2B1DF}" name="Evolved Spider" dataDxfId="1455">
      <calculatedColumnFormula>CEILING('Evolved Spider'!$M$8/ IF('Evolved Spider'!$O$8&lt; 10.8, Table1[[#This Row],[STR]], Table1[[#This Row],[STR]] / ('Evolved Spider'!$O$8 / 10.8)), 1)</calculatedColumnFormula>
    </tableColumn>
    <tableColumn id="7" xr3:uid="{91C05B7A-D63B-417A-B433-578102C2AEDC}" name="Arachne" dataDxfId="1454">
      <calculatedColumnFormula>CEILING(Arachne!$M$4/ IF(Arachne!$O$4&lt; 10.8, Table1[[#This Row],[STR]], Table1[[#This Row],[STR]] / (Arachne!$O$4 / 10.8)), 1)</calculatedColumnFormula>
    </tableColumn>
    <tableColumn id="8" xr3:uid="{9E73E6C3-68B4-4D58-AD73-96C03CACDE8B}" name="Earth Elemental" dataDxfId="1453">
      <calculatedColumnFormula>CEILING('Earth Elemental'!$M$6/ IF('Earth Elemental'!$O$6&lt; 10.8, Table1[[#This Row],[STR]], Table1[[#This Row],[STR]] / ('Earth Elemental'!$O$6 / 10.8)), 1)</calculatedColumnFormula>
    </tableColumn>
    <tableColumn id="9" xr3:uid="{63E794E7-76C6-460B-A357-617C16638BA0}" name="Wind Elemental" dataDxfId="1452">
      <calculatedColumnFormula>CEILING('Wind Elemental'!$M$6/ IF('Wind Elemental'!$O$6&lt; 10.8, Table1[[#This Row],[STR]], Table1[[#This Row],[STR]] / ('Wind Elemental'!$O$6 / 10.8)), 1)</calculatedColumnFormula>
    </tableColumn>
    <tableColumn id="14" xr3:uid="{A7375C15-ED77-461F-BC4B-184F18C5B55D}" name="Water Elemental" dataDxfId="1451">
      <calculatedColumnFormula>CEILING('Water Elemental'!$M$6/ IF('Water Elemental'!$O$6&lt; 10.8, Table1[[#This Row],[STR]], Table1[[#This Row],[STR]] / ('Water Elemental'!$O$6 / 10.8)), 1)</calculatedColumnFormula>
    </tableColumn>
    <tableColumn id="10" xr3:uid="{228C94DC-D6D0-4282-A52E-22AE843C2C76}" name="Fire Elemental" dataDxfId="1450">
      <calculatedColumnFormula>CEILING('Fire Elemental'!$M$4/ IF('Fire Elemental'!$O$4&lt; 10.8, Table1[[#This Row],[STR]], Table1[[#This Row],[STR]] / ('Fire Elemental'!$O$4 / 10.8)), 1)</calculatedColumnFormula>
    </tableColumn>
    <tableColumn id="11" xr3:uid="{A02329D7-16EE-4734-90AF-73CACA57CD10}" name="Wyvern" dataDxfId="1449">
      <calculatedColumnFormula>CEILING(Wyvern!$M$4/ IF(Wyvern!$O$4&lt; 10.8, Table1[[#This Row],[STR]], Table1[[#This Row],[STR]] / (Wyvern!$O$4 / 10.8)), 1)</calculatedColumnFormula>
    </tableColumn>
    <tableColumn id="12" xr3:uid="{5B0EC9F3-331E-4D20-975E-2D8E1BD99A44}" name="Evolved Wyvern" dataDxfId="1448">
      <calculatedColumnFormula>CEILING('Evolved Wyvern'!$M$4/ IF('Evolved Wyvern'!$O$4&lt; 10.8, Table1[[#This Row],[STR]], Table1[[#This Row],[STR]] / ('Evolved Wyvern'!$O$4 / 10.8)), 1)</calculatedColumnFormula>
    </tableColumn>
    <tableColumn id="13" xr3:uid="{4505C6E6-0604-41C4-A77C-D9DE0B0792C0}" name="Dragon" dataDxfId="1447">
      <calculatedColumnFormula>CEILING(Dragon!$M$4/ IF(Dragon!$O$4&lt; 10.8, Table1[[#This Row],[STR]], Table1[[#This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B163D4B2-DBAF-4AED-91E1-AD81F46098B7}" name="Table7121317202357105109193205217241" displayName="Table7121317202357105109193205217241" ref="N57:R77" totalsRowShown="0" headerRowDxfId="319" dataDxfId="318">
  <autoFilter ref="N57:R77" xr:uid="{A708CDC8-FC3F-4EA6-95B6-BD4F0E98253A}"/>
  <tableColumns count="5">
    <tableColumn id="1" xr3:uid="{A2994985-83D4-4B77-A1D5-971AEBC24941}" name="LV" dataDxfId="317"/>
    <tableColumn id="2" xr3:uid="{7C9F0A9E-CD63-481B-9228-224632124E1D}" name="Demon" dataDxfId="316">
      <calculatedColumnFormula>CEILING(Demon!$B33 / IF(Demon!$D33&lt; 10.8, $Q$6, $Q$6 / (Demon!$D33/ 10.8)),1)</calculatedColumnFormula>
    </tableColumn>
    <tableColumn id="3" xr3:uid="{27D9B078-B0CF-457D-B4F4-5FE7B13C5645}" name="Elf" dataDxfId="315">
      <calculatedColumnFormula>CEILING(Elf!$B33/ IF(Elf!$D33 &lt; 10.8, $Q$6, $Q$6 / (Elf!$D33 / 10.8)),1)</calculatedColumnFormula>
    </tableColumn>
    <tableColumn id="4" xr3:uid="{998950B3-AE36-43B2-808C-D145E7413FC4}" name="Beastgirl" dataDxfId="314">
      <calculatedColumnFormula>CEILING(Beastgirl!$B33/ IF(Beastgirl!$D33&lt; 10.8, $Q$6, $Q$6 / (Beastgirl!$D33 / 10.8)),1)</calculatedColumnFormula>
    </tableColumn>
    <tableColumn id="5" xr3:uid="{8ECD3A38-C573-4E21-8E46-34C2EA94E0A1}" name="Warrior" dataDxfId="313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4665B903-A42A-4FB7-809A-FB94BACCEADF}" name="Table712131720232659107110194206218242" displayName="Table712131720232659107110194206218242" ref="Y57:AC77" totalsRowShown="0" headerRowDxfId="312" dataDxfId="311">
  <autoFilter ref="Y57:AC77" xr:uid="{3BF031C1-1EA8-41CF-AF03-DBBC9F070A3F}"/>
  <tableColumns count="5">
    <tableColumn id="1" xr3:uid="{3A95F1E6-D818-48C5-96FC-9EA93D8F1B0F}" name="LV" dataDxfId="310"/>
    <tableColumn id="2" xr3:uid="{D6BEB68A-4DAB-44EF-9639-7C489D044CC5}" name="Demon" dataDxfId="309">
      <calculatedColumnFormula>CEILING(Demon!$B33 / IF(Demon!$D33&lt; 10.8, $AB$6, $AB$6 / (Demon!$D33 / 10.8)),1)</calculatedColumnFormula>
    </tableColumn>
    <tableColumn id="3" xr3:uid="{8BE185A3-66AA-4688-B765-954A09CB5B98}" name="Elf" dataDxfId="308">
      <calculatedColumnFormula>CEILING(Elf!$B33 / IF(Elf!$D33 &lt; 10.8, $AB$6, $AB$6 / (Elf!$D33 / 10.8)),1)</calculatedColumnFormula>
    </tableColumn>
    <tableColumn id="4" xr3:uid="{E558F44A-08DA-41CD-8199-34E14F488DE8}" name="Beastgirl" dataDxfId="307">
      <calculatedColumnFormula>CEILING(Beastgirl!$B33 / IF(Beastgirl!$D33&lt; 10.8, $AB$6, $AB$6 / (Beastgirl!$D33 / 10.8)),1)</calculatedColumnFormula>
    </tableColumn>
    <tableColumn id="5" xr3:uid="{3E028724-8F17-4166-975E-989818A23E40}" name="Warrior" dataDxfId="306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42DEBF59-106A-451F-B1C3-A809D658E9E1}" name="Table71213172055103108192204216240243" displayName="Table71213172055103108192204216240243" ref="C80:G100" totalsRowShown="0" headerRowDxfId="305" dataDxfId="304">
  <autoFilter ref="C80:G100" xr:uid="{8DDAEC15-3BC3-49B7-98D3-4B3B21250E31}"/>
  <tableColumns count="5">
    <tableColumn id="1" xr3:uid="{51C66E3F-267E-4861-A567-D4FEB6DF8478}" name="LV" dataDxfId="303"/>
    <tableColumn id="2" xr3:uid="{F1DFD327-0034-459A-AEC7-9341D2F618AC}" name="Demon" dataDxfId="302">
      <calculatedColumnFormula>CEILING(Demon!$B33/ IF(Demon!$D33&lt; 10.8, $F$7, $F$7 / (Demon!$D33 / 10.8)),1)</calculatedColumnFormula>
    </tableColumn>
    <tableColumn id="3" xr3:uid="{563A60F7-4FCC-4083-B4F7-9E385BA74972}" name="Elf" dataDxfId="301">
      <calculatedColumnFormula>CEILING(Elf!$B33 / IF(Elf!$D33&lt; 10.8, $F$7,$F$7 / (Elf!$D33 / 10.8)),1)</calculatedColumnFormula>
    </tableColumn>
    <tableColumn id="4" xr3:uid="{B0FB4EB6-2F78-45D2-87E1-7CB00CD2B137}" name="Beastgirl" dataDxfId="300">
      <calculatedColumnFormula>CEILING(Beastgirl!$B33 / IF(Beastgirl!$D33&lt; 10.8, $F$7, $F$7 / (Beastgirl!$D33 / 10.8)),1)</calculatedColumnFormula>
    </tableColumn>
    <tableColumn id="5" xr3:uid="{CB35969B-754C-40A5-8C30-ADCABD3BD3ED}" name="Warrior" dataDxfId="299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B5B08E3D-11FF-4B46-9EDD-8FA9DC115394}" name="Table7121317202357105109193205217241244" displayName="Table7121317202357105109193205217241244" ref="N80:R100" totalsRowShown="0" headerRowDxfId="298" dataDxfId="297">
  <autoFilter ref="N80:R100" xr:uid="{2BDCD45A-9974-4FCF-B559-C96E60BFA7FD}"/>
  <tableColumns count="5">
    <tableColumn id="1" xr3:uid="{055F9A14-CC43-4F23-919F-3BA332F54B11}" name="LV" dataDxfId="296"/>
    <tableColumn id="2" xr3:uid="{F0B4A9CD-2A32-4C9D-AE12-ED3C52B15EDD}" name="Demon" dataDxfId="295">
      <calculatedColumnFormula>CEILING(Demon!$B33 / IF(Demon!$D33&lt; 10.8, $Q$7, $Q$7 / (Demon!$D33/ 10.8)),1)</calculatedColumnFormula>
    </tableColumn>
    <tableColumn id="3" xr3:uid="{1C38B123-EFBD-46FF-BA7D-B0AC9C5F1A8A}" name="Elf" dataDxfId="294">
      <calculatedColumnFormula>CEILING(Elf!$B33/ IF(Elf!$D33 &lt; 10.8, $Q$7, $Q$7 / (Elf!$D33/ 10.8)),1)</calculatedColumnFormula>
    </tableColumn>
    <tableColumn id="4" xr3:uid="{87B1C38B-F106-4528-8E7E-DCDC767F8C18}" name="Beastgirl" dataDxfId="293">
      <calculatedColumnFormula>CEILING(Beastgirl!$B33/ IF(Beastgirl!$D33&lt; 10.8, $Q$7, $Q$7/ (Beastgirl!$D33 / 10.8)),1)</calculatedColumnFormula>
    </tableColumn>
    <tableColumn id="5" xr3:uid="{B87F2FAB-FA61-4B4D-9BA4-70C2D3840945}" name="Warrior" dataDxfId="292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B300210D-A305-4F67-8936-A169F9F6010A}" name="Table712131720232659107110194206218242245" displayName="Table712131720232659107110194206218242245" ref="Y80:AC100" totalsRowShown="0" headerRowDxfId="291" dataDxfId="290">
  <autoFilter ref="Y80:AC100" xr:uid="{023B9B0E-6E59-4E69-935A-8175E7253536}"/>
  <tableColumns count="5">
    <tableColumn id="1" xr3:uid="{C016EFE8-3669-4078-957D-FAA981DE089E}" name="LV" dataDxfId="289"/>
    <tableColumn id="2" xr3:uid="{A8634CE4-5B64-4681-A36E-FF5ECA291AF5}" name="Demon" dataDxfId="288">
      <calculatedColumnFormula>CEILING(Demon!$B33 / IF(Demon!$D33&lt; 10.8, $AB$7, $AB$7 / (Demon!$D33 / 10.8)),1)</calculatedColumnFormula>
    </tableColumn>
    <tableColumn id="3" xr3:uid="{7564E01C-B14B-4F57-A5B8-FB3FF336F8C7}" name="Elf" dataDxfId="287">
      <calculatedColumnFormula>CEILING(Elf!$B33 / IF(Elf!$D33 &lt; 10.8, $AB$7, $AB$7 / (Elf!$D33 / 10.8)),1)</calculatedColumnFormula>
    </tableColumn>
    <tableColumn id="4" xr3:uid="{AB3B10C0-83B2-4195-AE93-4476BBCBDE65}" name="Beastgirl" dataDxfId="286">
      <calculatedColumnFormula>CEILING(Beastgirl!$B33 / IF(Beastgirl!$D33&lt; 10.8, $AB$7, $AB$7 / (Beastgirl!$D33 / 10.8)),1)</calculatedColumnFormula>
    </tableColumn>
    <tableColumn id="5" xr3:uid="{FD2CA122-C708-441B-ACE9-980864EC91AD}" name="Warrior" dataDxfId="285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AD6BF4B3-CCD8-4CD2-ADE7-EA106FA31D2E}" name="Table71213172055103108192204216240243261" displayName="Table71213172055103108192204216240243261" ref="C103:G123" totalsRowShown="0" headerRowDxfId="284" dataDxfId="283">
  <autoFilter ref="C103:G123" xr:uid="{9A88B5F9-E10F-4B53-8BBA-ADD601059515}"/>
  <tableColumns count="5">
    <tableColumn id="1" xr3:uid="{C9C766C0-606D-49DD-A624-33A621135D62}" name="LV" dataDxfId="282"/>
    <tableColumn id="2" xr3:uid="{25843B6D-AFD8-404A-A0E2-4D7F6E97EF3F}" name="Demon" dataDxfId="281">
      <calculatedColumnFormula>CEILING(Demon!$B33/ IF(Demon!$D33&lt; 10.8, $F$8, $F$8 / (Demon!$D33 / 10.8)),1)</calculatedColumnFormula>
    </tableColumn>
    <tableColumn id="3" xr3:uid="{B0DB8E1B-86BC-4285-B075-495B318DD3B7}" name="Elf" dataDxfId="280">
      <calculatedColumnFormula>CEILING(Elf!$B33 / IF(Elf!$D33&lt; 10.8, $F$8,$F$8 / (Elf!$D33/ 10.8)),1)</calculatedColumnFormula>
    </tableColumn>
    <tableColumn id="4" xr3:uid="{D139669E-39E5-451B-AF44-EA4857F9CBF9}" name="Beastgirl" dataDxfId="279">
      <calculatedColumnFormula>CEILING(Beastgirl!$B33/ IF(Beastgirl!$D33&lt; 10.8, $F$8, $F$8 / (Beastgirl!$D33 / 10.8)),1)</calculatedColumnFormula>
    </tableColumn>
    <tableColumn id="5" xr3:uid="{581D27BB-4F7E-403E-BBC9-B6ACB8224143}" name="Warrior" dataDxfId="278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CA7771FA-53DF-499B-8BA4-4807F513B296}" name="Table7121317202357105109193205217241244262" displayName="Table7121317202357105109193205217241244262" ref="N103:R123" totalsRowShown="0" headerRowDxfId="277" dataDxfId="276">
  <autoFilter ref="N103:R123" xr:uid="{113C75F7-7E01-48A7-8347-229CABE71C61}"/>
  <tableColumns count="5">
    <tableColumn id="1" xr3:uid="{BDD47B06-2CC8-4EBF-A325-724BBB9308A7}" name="LV" dataDxfId="275"/>
    <tableColumn id="2" xr3:uid="{C4F33E66-32D2-45F5-BAF5-1EC4BE084732}" name="Demon" dataDxfId="274">
      <calculatedColumnFormula>CEILING(Demon!$B33 / IF(Demon!$D33&lt; 10.8, $Q$8, $Q$8 / (Demon!$D33/ 10.8)),1)</calculatedColumnFormula>
    </tableColumn>
    <tableColumn id="3" xr3:uid="{8AA51E9F-A3DB-4BFE-9868-5DE1A2DAA61D}" name="Elf" dataDxfId="273">
      <calculatedColumnFormula>CEILING(Elf!$B33/ IF(Elf!$D33 &lt; 10.8, $Q$8, $Q$8 / (Elf!$D33/ 10.8)),1)</calculatedColumnFormula>
    </tableColumn>
    <tableColumn id="4" xr3:uid="{7E00799F-4CA5-4B10-8015-E6417E9A13F5}" name="Beastgirl" dataDxfId="272">
      <calculatedColumnFormula>CEILING(Beastgirl!$B33/ IF(Beastgirl!$D33&lt; 10.8, $Q$8, $Q$8/ (Beastgirl!$D33 / 10.8)),1)</calculatedColumnFormula>
    </tableColumn>
    <tableColumn id="5" xr3:uid="{756A60E9-D2A1-4CB5-A2F4-B9F702A6DA66}" name="Warrior" dataDxfId="271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FAA90807-E273-46EC-90F1-01AA26F4309C}" name="Table712131720232659107110194206218242245263" displayName="Table712131720232659107110194206218242245263" ref="Y103:AC123" totalsRowShown="0" headerRowDxfId="270" dataDxfId="269">
  <autoFilter ref="Y103:AC123" xr:uid="{EDA13428-D09C-44D8-9183-1B8D86AB4919}"/>
  <tableColumns count="5">
    <tableColumn id="1" xr3:uid="{36BC624B-02B7-4AB1-B0BF-0979D48E8294}" name="LV" dataDxfId="268"/>
    <tableColumn id="2" xr3:uid="{F7339817-8D8E-461A-803D-A1EA7F62D850}" name="Demon" dataDxfId="267">
      <calculatedColumnFormula>CEILING(Demon!$B33 / IF(Demon!$D33&lt; 10.8, $AB$8, $AB$8 / (Demon!$D33 / 10.8)),1)</calculatedColumnFormula>
    </tableColumn>
    <tableColumn id="3" xr3:uid="{AC23C59D-4ED6-444D-9FBE-8244BCCC8F1C}" name="Elf" dataDxfId="266">
      <calculatedColumnFormula>CEILING(Elf!$B33 / IF(Elf!$D33 &lt; 10.8, $AB$8, $AB$8 / (Elf!$D33 / 10.8)),1)</calculatedColumnFormula>
    </tableColumn>
    <tableColumn id="4" xr3:uid="{120553A6-CFDC-46B5-8264-3B9D7BDEBCC1}" name="Beastgirl" dataDxfId="265">
      <calculatedColumnFormula>CEILING(Beastgirl!$B33 / IF(Beastgirl!$D33&lt; 10.8, $AB$8, $AB$8 / (Beastgirl!$D33 / 10.8)),1)</calculatedColumnFormula>
    </tableColumn>
    <tableColumn id="5" xr3:uid="{F05C7B07-B977-4DC2-A314-700167B7B4F5}" name="Warrior" dataDxfId="264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34B83023-2C7A-439F-92B0-39786042FAA6}" name="Table596183195207231264" displayName="Table596183195207231264" ref="A2:J8" totalsRowShown="0" headerRowDxfId="263" dataDxfId="262">
  <autoFilter ref="A2:J8" xr:uid="{A4007F8E-460C-4AF9-8478-867288805F1F}"/>
  <tableColumns count="10">
    <tableColumn id="1" xr3:uid="{48263CAC-1172-4749-92D1-7CA76F9338AC}" name="LV" dataDxfId="261"/>
    <tableColumn id="2" xr3:uid="{77AA316B-1E46-428B-9086-93D6E83CC4C4}" name="HP" dataDxfId="260"/>
    <tableColumn id="3" xr3:uid="{CA484AF8-5693-4CCF-8258-E447FB243C35}" name="MP" dataDxfId="259"/>
    <tableColumn id="4" xr3:uid="{A9B1DAED-3837-4CF0-8F42-68A3E6350475}" name="DEF" dataDxfId="258"/>
    <tableColumn id="5" xr3:uid="{EDC6F454-4B3A-43B6-8157-666F2599D633}" name="AGI" dataDxfId="257"/>
    <tableColumn id="6" xr3:uid="{5576DF66-8A36-45EA-A1F5-77C5CC2878A5}" name="STR" dataDxfId="256"/>
    <tableColumn id="7" xr3:uid="{D450E247-1829-433E-BF39-95029D44B2FB}" name="INT" dataDxfId="255"/>
    <tableColumn id="8" xr3:uid="{E00AAFC0-A94C-49F8-8782-CE34587AADAF}" name="DEX" dataDxfId="254"/>
    <tableColumn id="9" xr3:uid="{1A99712F-DC87-464C-894F-4A37730C6A33}" name="XP Given" dataDxfId="253">
      <calculatedColumnFormula>AVERAGE(Warrior!I37:I41)/100 * 75/100</calculatedColumnFormula>
    </tableColumn>
    <tableColumn id="10" xr3:uid="{5FBD5DBB-CE74-49DD-A438-F73619C02460}" name="Gold Given" dataDxfId="252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AB6E9F36-6340-4402-AD51-E11FA7770066}" name="Table5997184196208232265" displayName="Table5997184196208232265" ref="L2:U8" totalsRowShown="0" headerRowDxfId="251" dataDxfId="250">
  <autoFilter ref="L2:U8" xr:uid="{F7A466BE-48D2-4496-98E7-C507BF8B55F9}"/>
  <tableColumns count="10">
    <tableColumn id="1" xr3:uid="{5C20EFB2-E4C1-4C9A-928F-E8E21C9DF541}" name="LV" dataDxfId="249"/>
    <tableColumn id="2" xr3:uid="{6E3AE235-6E40-494F-9E20-0A726B54BD4D}" name="HP" dataDxfId="248"/>
    <tableColumn id="3" xr3:uid="{0CBB14C3-4430-47E3-B8E4-1C484248E01B}" name="MP" dataDxfId="247"/>
    <tableColumn id="4" xr3:uid="{AE662191-4882-439F-B135-07A8AE9A1991}" name="DEF" dataDxfId="246"/>
    <tableColumn id="5" xr3:uid="{D7A59D5F-EA27-457B-8642-259FD47E9E32}" name="AGI" dataDxfId="245"/>
    <tableColumn id="6" xr3:uid="{98857A9F-CEDC-4D9E-8461-176DBC6B05EF}" name="STR" dataDxfId="244"/>
    <tableColumn id="7" xr3:uid="{36B09181-76AB-4147-8296-5319D2825052}" name="INT" dataDxfId="243"/>
    <tableColumn id="8" xr3:uid="{D90C01B6-B72D-4053-AE6B-55C5D1A34FB7}" name="DEX" dataDxfId="242"/>
    <tableColumn id="9" xr3:uid="{B592FED0-40BC-4E8E-B880-8FD4FF34B0F3}" name="XP Given" dataDxfId="241">
      <calculatedColumnFormula>Table596183195207231264[[#This Row],[XP Given]]*1.25</calculatedColumnFormula>
    </tableColumn>
    <tableColumn id="10" xr3:uid="{67EEAF64-6026-48DE-8760-394B79B0E87E}" name="Gold Given" dataDxfId="24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BC43C1-FCCF-4124-8E92-7CD40EF96CFE}" name="Table3841111518" displayName="Table3841111518" ref="AO2:BB52" totalsRowShown="0" headerRowDxfId="1446" dataDxfId="1445">
  <autoFilter ref="AO2:BB52" xr:uid="{F0EC7C17-8385-4166-8335-E2536A83A902}"/>
  <tableColumns count="14">
    <tableColumn id="1" xr3:uid="{717E0F11-A3A9-4173-8843-162A603297A8}" name="Blue Slime" dataDxfId="1444">
      <calculatedColumnFormula>CEILING('Blue Slime'!$Z$5/ IF('Blue Slime'!$X$5&lt; 10.8, Table1[[#This Row],[STR]], Table1[[#This Row],[STR]] / ('Blue Slime'!$X$5 / 10.8)), 1)</calculatedColumnFormula>
    </tableColumn>
    <tableColumn id="2" xr3:uid="{D380A747-9ED2-46B5-B914-05341D20F8C8}" name="Green Slime" dataDxfId="1443">
      <calculatedColumnFormula>CEILING('Green Slime'!$Z$5/ IF('Green Slime'!$X$5&lt; 10.8, Table1[[#This Row],[STR]], Table1[[#This Row],[STR]] / ('Green Slime'!$X$5 / 10.8)), 1)</calculatedColumnFormula>
    </tableColumn>
    <tableColumn id="3" xr3:uid="{F229D069-11E3-4E1A-942E-C6843499AA00}" name="Wolf" dataDxfId="1442">
      <calculatedColumnFormula>CEILING(Wolf!$Z$6/ IF(Wolf!$X$6&lt; 10.8, Table1[[#This Row],[STR]], Table1[[#This Row],[STR]] / (Wolf!$X$6 / 10.8)), 1)</calculatedColumnFormula>
    </tableColumn>
    <tableColumn id="4" xr3:uid="{A08D058C-2CC9-4DE2-98F9-49780F206923}" name="Horned Wolf" dataDxfId="1441">
      <calculatedColumnFormula>CEILING('Horned Wolf'!$Z$5/ IF('Horned Wolf'!$X$5&lt; 10.8, Table1[[#This Row],[STR]], Table1[[#This Row],[STR]] / ('Horned Wolf'!$X$5 / 10.8)), 1)</calculatedColumnFormula>
    </tableColumn>
    <tableColumn id="5" xr3:uid="{2FF23953-DB5D-4F69-A253-E5993CA46CAE}" name="Spider" dataDxfId="1440">
      <calculatedColumnFormula>CEILING(Spider!$Z$7/ IF(Spider!$X$7&lt; 10.8, Table1[[#This Row],[STR]], Table1[[#This Row],[STR]] / (Spider!$X$7 / 10.8)), 1)</calculatedColumnFormula>
    </tableColumn>
    <tableColumn id="6" xr3:uid="{8A4A5B8A-3741-41EB-B7FE-88C1993D985A}" name="Evolved Spider" dataDxfId="1439">
      <calculatedColumnFormula>CEILING('Evolved Spider'!$Z$8/ IF('Evolved Spider'!$X$8&lt; 10.8, Table1[[#This Row],[STR]], Table1[[#This Row],[STR]] / ('Evolved Spider'!$X$8 / 10.8)), 1)</calculatedColumnFormula>
    </tableColumn>
    <tableColumn id="7" xr3:uid="{976B1B5A-89D8-4DF7-AF50-5D8B61BE9978}" name="Arachne" dataDxfId="1438">
      <calculatedColumnFormula>CEILING(Arachne!$Z$4/ IF(Arachne!$X$4&lt; 10.8, Table1[[#This Row],[STR]], Table1[[#This Row],[STR]] / (Arachne!$X$4 / 10.8)), 1)</calculatedColumnFormula>
    </tableColumn>
    <tableColumn id="8" xr3:uid="{62EC0FBC-5A23-4010-8544-1717B6C45B49}" name="Earth Elemental" dataDxfId="1437">
      <calculatedColumnFormula>CEILING('Earth Elemental'!$Z$6/ IF('Earth Elemental'!$X$6&lt; 10.8, Table1[[#This Row],[STR]], Table1[[#This Row],[STR]] / ('Earth Elemental'!$X$6 / 10.8)), 1)</calculatedColumnFormula>
    </tableColumn>
    <tableColumn id="9" xr3:uid="{64DE9425-27DF-45D9-BFA5-6BAAA2CD2CF6}" name="Wind Elemental" dataDxfId="1436">
      <calculatedColumnFormula>CEILING('Wind Elemental'!$Z$6/ IF('Wind Elemental'!$X$6&lt; 10.8, Table1[[#This Row],[STR]], Table1[[#This Row],[STR]] / ('Wind Elemental'!$X$6 / 10.8)), 1)</calculatedColumnFormula>
    </tableColumn>
    <tableColumn id="14" xr3:uid="{60B1C0EE-8045-4F82-89DF-80708A425215}" name="Water Elemental" dataDxfId="1435">
      <calculatedColumnFormula>CEILING('Water Elemental'!$Z$6/ IF('Water Elemental'!$X$6&lt; 10.8, Table1[[#This Row],[STR]], Table1[[#This Row],[STR]] / ('Water Elemental'!$X$6 / 10.8)), 1)</calculatedColumnFormula>
    </tableColumn>
    <tableColumn id="10" xr3:uid="{D02A4EC1-7898-425E-9E13-17E2764DBA01}" name="Fire Elemental" dataDxfId="1434">
      <calculatedColumnFormula>CEILING('Fire Elemental'!$Z$4/ IF('Fire Elemental'!$X$4&lt; 10.8, Table1[[#This Row],[STR]], Table1[[#This Row],[STR]] / ('Fire Elemental'!$X$4 / 10.8)), 1)</calculatedColumnFormula>
    </tableColumn>
    <tableColumn id="11" xr3:uid="{2FAB88B4-94B2-4EA3-8734-620C3B720403}" name="Wyvern" dataDxfId="1433">
      <calculatedColumnFormula>CEILING(Wyvern!$Z$4/ IF(Wyvern!$X$4&lt; 10.8, Table1[[#This Row],[STR]], Table1[[#This Row],[STR]] / (Wyvern!$X$4 / 10.8)), 1)</calculatedColumnFormula>
    </tableColumn>
    <tableColumn id="12" xr3:uid="{8B5193E0-5AE4-4E18-9C01-C81999B2F85C}" name="Evolved Wyvern" dataDxfId="1432">
      <calculatedColumnFormula>CEILING('Evolved Wyvern'!$Z$4/ IF('Evolved Wyvern'!$X$4&lt; 10.8, Table1[[#This Row],[STR]], Table1[[#This Row],[STR]] / ('Evolved Wyvern'!$X$4 / 10.8)), 1)</calculatedColumnFormula>
    </tableColumn>
    <tableColumn id="13" xr3:uid="{38E1B665-D2B7-4B9D-A917-D4A00BB9C647}" name="Dragon" dataDxfId="1431">
      <calculatedColumnFormula>CEILING(Dragon!$Z$4/ IF(Dragon!$X$4&lt; 10.8, Table1[[#This Row],[STR]], Table1[[#This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8A610C3A-D51F-47E8-A3DD-4CBD097ABFEE}" name="Table591098185197209233266" displayName="Table591098185197209233266" ref="W2:AF8" totalsRowShown="0" headerRowDxfId="239" dataDxfId="238">
  <autoFilter ref="W2:AF8" xr:uid="{A4B2637A-997A-4FB9-8FDB-1A1B4934D4B3}"/>
  <tableColumns count="10">
    <tableColumn id="1" xr3:uid="{372BB18F-2655-44A4-B593-439A79DE93E8}" name="LV" dataDxfId="237"/>
    <tableColumn id="2" xr3:uid="{29FDAE34-8B7D-4C08-9E69-38C7B0D15E7B}" name="HP" dataDxfId="236"/>
    <tableColumn id="3" xr3:uid="{232395E2-5CA5-4A7C-9BD9-CFF517103523}" name="MP" dataDxfId="235"/>
    <tableColumn id="4" xr3:uid="{BBEC957F-3DA6-42AE-B7E9-6891938F2D44}" name="DEF" dataDxfId="234"/>
    <tableColumn id="5" xr3:uid="{C3304436-E962-4124-93F3-A8389D168FCA}" name="AGI" dataDxfId="233"/>
    <tableColumn id="6" xr3:uid="{24393490-EDCD-4A75-9ECF-910D305ED4CB}" name="STR" dataDxfId="232"/>
    <tableColumn id="7" xr3:uid="{FE2E4971-AED2-42A7-9371-E2FC028EA912}" name="INT" dataDxfId="231"/>
    <tableColumn id="8" xr3:uid="{DDE83692-DC51-4C3A-9956-F1791F3FEEF1}" name="DEX" dataDxfId="230"/>
    <tableColumn id="9" xr3:uid="{A5B55B02-F05E-4EB2-B4FF-C7B11166C900}" name="XP Given" dataDxfId="229">
      <calculatedColumnFormula>Table596183195207231264[[#This Row],[XP Given]]*1.5</calculatedColumnFormula>
    </tableColumn>
    <tableColumn id="10" xr3:uid="{14086D5F-56A0-4A73-9E93-3B1EC29AFAE4}" name="Gold Given" dataDxfId="228"/>
  </tableColumns>
  <tableStyleInfo name="TableStyleMedium10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AA956BB1-F60B-4A7E-9DAF-A9228147C41A}" name="Table712131754102186198210234267" displayName="Table712131754102186198210234267" ref="C11:G31" totalsRowShown="0" headerRowDxfId="227" dataDxfId="226">
  <autoFilter ref="C11:G31" xr:uid="{B0017D3E-67C7-45BF-93B0-F0622CD26793}"/>
  <tableColumns count="5">
    <tableColumn id="1" xr3:uid="{1B5CB791-509E-4416-9DF9-DC6FD83D18E6}" name="LV" dataDxfId="225"/>
    <tableColumn id="2" xr3:uid="{8A39354B-0ACB-4FB6-9991-8D4B1EC1819C}" name="Demon" dataDxfId="224">
      <calculatedColumnFormula>CEILING(Demon!$B33 / IF(Demon!$D33&lt; 10.8, $F$4, $F$4 / (Demon!$D33 / 10.8)),1)</calculatedColumnFormula>
    </tableColumn>
    <tableColumn id="3" xr3:uid="{4ED43BA1-CBFB-47F7-B561-DED37429FF4D}" name="Elf" dataDxfId="223">
      <calculatedColumnFormula>CEILING(Elf!$B33 / IF(Elf!$D33 &lt; 10.8, $F$4, $F$4 / (Elf!$D33 / 10.8)),1)</calculatedColumnFormula>
    </tableColumn>
    <tableColumn id="4" xr3:uid="{78818A36-F6C3-4527-A6E1-58D86EBB8880}" name="Beastgirl" dataDxfId="222">
      <calculatedColumnFormula>CEILING(Beastgirl!$B33/ IF(Beastgirl!$D33&lt; 10.8,$F$4, $F$4 / (Beastgirl!$D33 / 10.8)),1)</calculatedColumnFormula>
    </tableColumn>
    <tableColumn id="5" xr3:uid="{956C5C3D-620E-4C41-97E2-4F94A5DC77AE}" name="Warrior" dataDxfId="221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1011688E-3BE9-41D5-B2D1-B28117012AF8}" name="Table71213172055103187199211235268" displayName="Table71213172055103187199211235268" ref="C34:G54" totalsRowShown="0" headerRowDxfId="220" dataDxfId="219">
  <autoFilter ref="C34:G54" xr:uid="{3A232077-9A33-4DE3-A076-07BA5CCCB7DA}"/>
  <tableColumns count="5">
    <tableColumn id="1" xr3:uid="{26391C0D-F0AB-4D6B-BFAD-80DDEE2EFA8F}" name="LV" dataDxfId="218"/>
    <tableColumn id="2" xr3:uid="{A7EFF486-A538-4E9A-BA9D-040A6364CCE9}" name="Demon" dataDxfId="217">
      <calculatedColumnFormula>CEILING(Demon!$B33/ IF(Demon!$D33&lt; 10.8, $F$5, $F$5 / (Demon!$D33 / 10.8)),1)</calculatedColumnFormula>
    </tableColumn>
    <tableColumn id="3" xr3:uid="{B00A2012-72C0-4785-BE9A-D85EC0B40902}" name="Elf" dataDxfId="216">
      <calculatedColumnFormula>CEILING(Elf!$B33 / IF(Elf!$D33 &lt; 10.8, $F$5,$F$5 / (Elf!$D33 / 10.8)),1)</calculatedColumnFormula>
    </tableColumn>
    <tableColumn id="4" xr3:uid="{52781840-13E0-45E5-A2CC-07E6DCAD97FB}" name="Beastgirl" dataDxfId="215">
      <calculatedColumnFormula>CEILING(Beastgirl!$B33 / IF(Beastgirl!$D33&lt; 10.8, $F$5, $F$5 / (Beastgirl!$D33 / 10.8)),1)</calculatedColumnFormula>
    </tableColumn>
    <tableColumn id="5" xr3:uid="{940A8955-08C9-44D6-95AF-349201516D4E}" name="Warrior" dataDxfId="214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BBE6B7F3-EB48-48A6-B646-92A129B4E255}" name="Table71213172256104188200212236269" displayName="Table71213172256104188200212236269" ref="N11:R31" totalsRowShown="0" headerRowDxfId="213" dataDxfId="212">
  <autoFilter ref="N11:R31" xr:uid="{37B0C64D-D3B5-484B-AE69-12278F449167}"/>
  <tableColumns count="5">
    <tableColumn id="1" xr3:uid="{22AF4117-24ED-4DB5-A242-0F1B2BB64A46}" name="LV" dataDxfId="211"/>
    <tableColumn id="2" xr3:uid="{AD04490B-941B-48F1-A7CC-013AB953AF3A}" name="Demon" dataDxfId="210">
      <calculatedColumnFormula>CEILING(Demon!$B33 / IF(Demon!$D33&lt; 10.8, $Q$4, $Q$4 / (Demon!$D33/ 10.8)),1)</calculatedColumnFormula>
    </tableColumn>
    <tableColumn id="3" xr3:uid="{BA1AE1DB-A577-4E6B-B4B9-A7DD7B904532}" name="Elf" dataDxfId="209">
      <calculatedColumnFormula>CEILING(Elf!$B33 / IF(Elf!$D33 &lt; 10.8, $Q$4, $Q$4 / (Elf!$D33 / 10.8)),1)</calculatedColumnFormula>
    </tableColumn>
    <tableColumn id="4" xr3:uid="{BB9794D4-1B4D-4704-9CCA-6E970B377737}" name="Beastgirl" dataDxfId="208">
      <calculatedColumnFormula>CEILING(Beastgirl!$B33 / IF(Beastgirl!$D33&lt; 10.8, $Q$4, $Q$4 / (Beastgirl!$D33/ 10.8)),1)</calculatedColumnFormula>
    </tableColumn>
    <tableColumn id="5" xr3:uid="{9F037CEE-730E-4317-862A-059F1006BFB5}" name="Warrior" dataDxfId="207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F3682A65-552F-467A-B0A1-DAE907FC3A43}" name="Table7121317202357105189201213237270" displayName="Table7121317202357105189201213237270" ref="N34:R54" totalsRowShown="0" headerRowDxfId="206" dataDxfId="205">
  <autoFilter ref="N34:R54" xr:uid="{DD79E9E2-C407-427A-8E57-F2CE5EA1E2E4}"/>
  <tableColumns count="5">
    <tableColumn id="1" xr3:uid="{B8512DB6-A07D-498E-90C8-84159410CB31}" name="LV" dataDxfId="204"/>
    <tableColumn id="2" xr3:uid="{8C396C40-B2C0-448B-BE82-F3B8FAD390DE}" name="Demon" dataDxfId="203">
      <calculatedColumnFormula>CEILING(Demon!$B33 / IF(Demon!$D33&lt; 10.8, $Q$5, $Q$5 / (Demon!$D33/ 10.8)),1)</calculatedColumnFormula>
    </tableColumn>
    <tableColumn id="3" xr3:uid="{0C6733E2-D115-4CDA-B226-B9856DE485C4}" name="Elf" dataDxfId="202">
      <calculatedColumnFormula>CEILING(Elf!$B33/ IF(Elf!$D33 &lt; 10.8, $Q$5, $Q$5 / (Elf!$D33 / 10.8)),1)</calculatedColumnFormula>
    </tableColumn>
    <tableColumn id="4" xr3:uid="{F951ED7D-BDEF-4FFA-A151-19D9BE2DB4D0}" name="Beastgirl" dataDxfId="201">
      <calculatedColumnFormula>CEILING(Beastgirl!$B33 / IF(Beastgirl!$D33&lt; 10.8, $Q$5, $Q$5 / (Beastgirl!$D33 / 10.8)),1)</calculatedColumnFormula>
    </tableColumn>
    <tableColumn id="5" xr3:uid="{33BFA008-1643-47EC-8AA8-5EAC53CED8FE}" name="Warrior" dataDxfId="200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71A0534-84D6-4481-8379-077900144E63}" name="Table7121317222558106190202214238271" displayName="Table7121317222558106190202214238271" ref="Y11:AC31" totalsRowShown="0" headerRowDxfId="199" dataDxfId="198">
  <autoFilter ref="Y11:AC31" xr:uid="{666FE881-3B74-45C9-A41D-07E739C00191}"/>
  <tableColumns count="5">
    <tableColumn id="1" xr3:uid="{A889BABA-C54D-429D-AD7C-121E60A2380F}" name="LV" dataDxfId="197"/>
    <tableColumn id="2" xr3:uid="{F84A4CB0-7CCB-4278-B28E-123DA6383D76}" name="Demon" dataDxfId="196">
      <calculatedColumnFormula>CEILING(Demon!$B33 / IF(Demon!$D33&lt; 10.8, $AB$4, $AB$4 / (Demon!$D33 / 10.8)),1)</calculatedColumnFormula>
    </tableColumn>
    <tableColumn id="3" xr3:uid="{49ADD874-BFFF-4A54-9CAE-027A9D820EDE}" name="Elf" dataDxfId="195">
      <calculatedColumnFormula>CEILING(Elf!$B33 / IF(Elf!$D33 &lt; 10.8, $AB$4, $AB$4 / (Elf!$D33 / 10.8)),1)</calculatedColumnFormula>
    </tableColumn>
    <tableColumn id="4" xr3:uid="{AFD0F68B-1E05-467E-8038-B70091411F4B}" name="Beastgirl" dataDxfId="194">
      <calculatedColumnFormula>CEILING(Beastgirl!$B33 / IF(Beastgirl!$D33&lt; 10.8, $AB$4, $AB$4 / (Beastgirl!$D33 / 10.8)),1)</calculatedColumnFormula>
    </tableColumn>
    <tableColumn id="5" xr3:uid="{AEBCA897-8C95-4A37-B461-81B192F4970E}" name="Warrior" dataDxfId="193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96B8BBD-AA35-4658-86BD-30B9813E99F0}" name="Table712131720232659107191203215239272" displayName="Table712131720232659107191203215239272" ref="Y34:AC54" totalsRowShown="0" headerRowDxfId="192" dataDxfId="191">
  <autoFilter ref="Y34:AC54" xr:uid="{E7A5DA1D-6D78-4338-B23D-521BB339CBEE}"/>
  <tableColumns count="5">
    <tableColumn id="1" xr3:uid="{028D3CBE-6A6F-4887-9391-991CB80F5EC3}" name="LV" dataDxfId="190"/>
    <tableColumn id="2" xr3:uid="{2C8C981E-DF7E-426B-B558-A97B8D985784}" name="Demon" dataDxfId="189">
      <calculatedColumnFormula>CEILING(Demon!$B33 / IF(Demon!$D33&lt; 10.8, $AB$5, $AB$5 / (Demon!$D33 / 10.8)),1)</calculatedColumnFormula>
    </tableColumn>
    <tableColumn id="3" xr3:uid="{186DFC27-1A44-43FE-911B-191D7C0CEBF8}" name="Elf" dataDxfId="188">
      <calculatedColumnFormula>CEILING(Elf!$B33 / IF(Elf!$D33 &lt; 10.8, $AB$5, $AB$5 / (Elf!$D33 / 10.8)),1)</calculatedColumnFormula>
    </tableColumn>
    <tableColumn id="4" xr3:uid="{EC521351-1739-4294-8E8C-C422947F7042}" name="Beastgirl" dataDxfId="187">
      <calculatedColumnFormula>CEILING(Beastgirl!$B33 / IF(Beastgirl!$D33&lt; 10.8, $AB$5, $AB$5 / (Beastgirl!$D33 / 10.8)),1)</calculatedColumnFormula>
    </tableColumn>
    <tableColumn id="5" xr3:uid="{AB8F004A-D1C0-4BDA-8B42-B736DDCCBDC6}" name="Warrior" dataDxfId="186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1C57F15-EEFE-47A0-9865-899D345A5316}" name="Table71213172055103108192204216240273" displayName="Table71213172055103108192204216240273" ref="C57:G77" totalsRowShown="0" headerRowDxfId="185" dataDxfId="184">
  <autoFilter ref="C57:G77" xr:uid="{AD61D32D-60AC-43CD-B4EE-A15571FED431}"/>
  <tableColumns count="5">
    <tableColumn id="1" xr3:uid="{C51D12E3-4031-44E8-9DD0-775C573EDE8F}" name="LV" dataDxfId="183"/>
    <tableColumn id="2" xr3:uid="{DF2CF066-FAEF-4368-B98C-DB3431441F96}" name="Demon" dataDxfId="182">
      <calculatedColumnFormula>CEILING(Demon!$B33/ IF(Demon!$D33&lt; 10.8, $F$6, $F$6 / (Demon!$D33 / 10.8)),1)</calculatedColumnFormula>
    </tableColumn>
    <tableColumn id="3" xr3:uid="{6CA567D0-298F-4F7F-B207-EF32A1CC853F}" name="Elf" dataDxfId="181">
      <calculatedColumnFormula>CEILING(Elf!$B33 / IF(Elf!$D33&lt; 10.8, $F$6,$F$6 / (Elf!$D33 / 10.8)),1)</calculatedColumnFormula>
    </tableColumn>
    <tableColumn id="4" xr3:uid="{05DBC901-6D25-4F78-812D-EEDD09AA1C0F}" name="Beastgirl" dataDxfId="180">
      <calculatedColumnFormula>CEILING(Beastgirl!$B33 / IF(Beastgirl!$D33&lt; 10.8, $F$6, $F$6 / (Beastgirl!$D33 / 10.8)),1)</calculatedColumnFormula>
    </tableColumn>
    <tableColumn id="5" xr3:uid="{ABED0703-ACED-408F-B357-B21B053F7668}" name="Warrior" dataDxfId="179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67DD7A2F-690C-41BA-9E6B-DB98AE39D823}" name="Table7121317202357105109193205217241274" displayName="Table7121317202357105109193205217241274" ref="N57:R77" totalsRowShown="0" headerRowDxfId="178" dataDxfId="177">
  <autoFilter ref="N57:R77" xr:uid="{0019471B-D577-480D-8A02-B052E63F0BA8}"/>
  <tableColumns count="5">
    <tableColumn id="1" xr3:uid="{73C7D8C6-B0B0-447B-8EA3-71916AD27E11}" name="LV" dataDxfId="176"/>
    <tableColumn id="2" xr3:uid="{772369AE-18B8-4184-84F6-A1314C137BC0}" name="Demon" dataDxfId="175">
      <calculatedColumnFormula>CEILING(Demon!$B33 / IF(Demon!$D33&lt; 10.8, $Q$6, $Q$6 / (Demon!$D33/ 10.8)),1)</calculatedColumnFormula>
    </tableColumn>
    <tableColumn id="3" xr3:uid="{0ED25C3F-87F4-49CA-82FC-0C720A87A385}" name="Elf" dataDxfId="174">
      <calculatedColumnFormula>CEILING(Elf!$B33/ IF(Elf!$D33 &lt; 10.8, $Q$6, $Q$6 / (Elf!$D33 / 10.8)),1)</calculatedColumnFormula>
    </tableColumn>
    <tableColumn id="4" xr3:uid="{3931E9EA-2C95-42ED-8B39-0312C2FD4F0A}" name="Beastgirl" dataDxfId="173">
      <calculatedColumnFormula>CEILING(Beastgirl!$B33/ IF(Beastgirl!$D33&lt; 10.8, $Q$6, $Q$6 / (Beastgirl!$D33 / 10.8)),1)</calculatedColumnFormula>
    </tableColumn>
    <tableColumn id="5" xr3:uid="{353DA179-0810-4C3F-89F3-E854470A96B0}" name="Warrior" dataDxfId="172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D08255F6-F714-424F-A95A-2F5180E2AC63}" name="Table712131720232659107110194206218242275" displayName="Table712131720232659107110194206218242275" ref="Y57:AC77" totalsRowShown="0" headerRowDxfId="171" dataDxfId="170">
  <autoFilter ref="Y57:AC77" xr:uid="{4D067032-7C62-4BF6-B6AA-F134B80361A1}"/>
  <tableColumns count="5">
    <tableColumn id="1" xr3:uid="{B2C0EC29-EA5C-45AA-89FA-D72930B45E0A}" name="LV" dataDxfId="169"/>
    <tableColumn id="2" xr3:uid="{A07BE589-4A23-4207-BA32-0FC90D365C0A}" name="Demon" dataDxfId="168">
      <calculatedColumnFormula>CEILING(Demon!$B33 / IF(Demon!$D33&lt; 10.8, $AB$6, $AB$6 / (Demon!$D33 / 10.8)),1)</calculatedColumnFormula>
    </tableColumn>
    <tableColumn id="3" xr3:uid="{EF12A14A-5FB4-483B-ABA8-88F5AEE6E8EF}" name="Elf" dataDxfId="167">
      <calculatedColumnFormula>CEILING(Elf!$B33 / IF(Elf!$D33 &lt; 10.8, $AB$6, $AB$6 / (Elf!$D33 / 10.8)),1)</calculatedColumnFormula>
    </tableColumn>
    <tableColumn id="4" xr3:uid="{64290372-134C-4148-8BD4-7488F289FAD2}" name="Beastgirl" dataDxfId="166">
      <calculatedColumnFormula>CEILING(Beastgirl!$B33 / IF(Beastgirl!$D33&lt; 10.8, $AB$6, $AB$6 / (Beastgirl!$D33 / 10.8)),1)</calculatedColumnFormula>
    </tableColumn>
    <tableColumn id="5" xr3:uid="{CDAC0ED8-A104-4C41-9ECF-26D790A667DF}" name="Warrior" dataDxfId="165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1A5897-CD83-4F0F-B591-27A848AA2FD8}" name="Table5" displayName="Table5" ref="A2:J5" totalsRowShown="0" headerRowDxfId="1430" dataDxfId="1429">
  <autoFilter ref="A2:J5" xr:uid="{5883A54F-2AA4-4AF1-AB98-21D2566A34DD}"/>
  <tableColumns count="10">
    <tableColumn id="1" xr3:uid="{B49655EB-082E-446A-B06D-191FC74EDD94}" name="LV" dataDxfId="1428"/>
    <tableColumn id="2" xr3:uid="{138E96C7-2248-496A-A411-E53A197F1635}" name="HP" dataDxfId="1427"/>
    <tableColumn id="3" xr3:uid="{362D6A53-1E9C-4D98-AB87-8ACE6D664D22}" name="MP" dataDxfId="1426">
      <calculatedColumnFormula>INDIRECT("Demon!" &amp; ADDRESS(Table5[[#This Row],[LV]]+2, 3))</calculatedColumnFormula>
    </tableColumn>
    <tableColumn id="4" xr3:uid="{A9498C30-577F-4118-9A34-21FFF4F2FD95}" name="DEF" dataDxfId="1425"/>
    <tableColumn id="5" xr3:uid="{19BBD34C-FAB4-4629-8D2E-9DA6B6296B82}" name="AGI" dataDxfId="1424"/>
    <tableColumn id="6" xr3:uid="{99E8A0FC-3198-4DDE-BB20-FEC46D8DABEA}" name="STR" dataDxfId="1423"/>
    <tableColumn id="7" xr3:uid="{4DE8AE1D-C7DC-49FF-B409-A95F84A8FD64}" name="INT" dataDxfId="1422"/>
    <tableColumn id="8" xr3:uid="{CF3A6BF9-396F-4A18-A063-11E0E829992F}" name="DEX" dataDxfId="1421"/>
    <tableColumn id="9" xr3:uid="{C74E6E49-74C2-4A3E-B1DF-F471ED0BEE14}" name="XP Given" dataDxfId="1420">
      <calculatedColumnFormula>AVERAGE(Warrior!I3:I5) / 25 * 75 / 100</calculatedColumnFormula>
    </tableColumn>
    <tableColumn id="10" xr3:uid="{E673B22B-DF1E-4917-AF4D-A6AE83B363FF}" name="Gold given" dataDxfId="1419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FAEC482F-1219-4A24-A579-C1AA92DC325B}" name="Table71213172055103108192204216240243276" displayName="Table71213172055103108192204216240243276" ref="C80:G100" totalsRowShown="0" headerRowDxfId="164" dataDxfId="163">
  <autoFilter ref="C80:G100" xr:uid="{C8DE7E13-1688-4ED8-AE00-F689711F7374}"/>
  <tableColumns count="5">
    <tableColumn id="1" xr3:uid="{44762F4B-FC5E-41C5-B1F3-E82359349052}" name="LV" dataDxfId="162"/>
    <tableColumn id="2" xr3:uid="{1B266B0D-A718-439E-B6DF-3BCF2D504681}" name="Demon" dataDxfId="161">
      <calculatedColumnFormula>CEILING(Demon!$B33/ IF(Demon!$D33&lt; 10.8, $F$7, $F$7 / (Demon!$D33 / 10.8)),1)</calculatedColumnFormula>
    </tableColumn>
    <tableColumn id="3" xr3:uid="{6C896F6B-A2E6-407D-B7BE-A6C7A2BC845D}" name="Elf" dataDxfId="160">
      <calculatedColumnFormula>CEILING(Elf!$B33 / IF(Elf!$D33&lt; 10.8, $F$7,$F$7 / (Elf!$D33 / 10.8)),1)</calculatedColumnFormula>
    </tableColumn>
    <tableColumn id="4" xr3:uid="{C6546A91-8987-4B7C-B42E-E2254F29EA29}" name="Beastgirl" dataDxfId="159">
      <calculatedColumnFormula>CEILING(Beastgirl!$B33 / IF(Beastgirl!$D33&lt; 10.8, $F$7, $F$7 / (Beastgirl!$D33 / 10.8)),1)</calculatedColumnFormula>
    </tableColumn>
    <tableColumn id="5" xr3:uid="{96F6F415-9E6B-4F1C-A87D-89D92DAA3F37}" name="Warrior" dataDxfId="158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3A50465-42D1-40F5-906A-B1512E18D6D3}" name="Table7121317202357105109193205217241244277" displayName="Table7121317202357105109193205217241244277" ref="N80:R100" totalsRowShown="0" headerRowDxfId="157" dataDxfId="156">
  <autoFilter ref="N80:R100" xr:uid="{12398000-8C51-44F6-A484-3625B38F771E}"/>
  <tableColumns count="5">
    <tableColumn id="1" xr3:uid="{5BB1A25A-680C-4AB4-A736-05FFA1B6348E}" name="LV" dataDxfId="155"/>
    <tableColumn id="2" xr3:uid="{39EE75F6-C35B-442C-8E04-7F83C7551D49}" name="Demon" dataDxfId="154">
      <calculatedColumnFormula>CEILING(Demon!$B33 / IF(Demon!$D33&lt; 10.8, $Q$7, $Q$7 / (Demon!$D33/ 10.8)),1)</calculatedColumnFormula>
    </tableColumn>
    <tableColumn id="3" xr3:uid="{BD1EAE61-FC5A-4757-9B86-86E8DF4FADC3}" name="Elf" dataDxfId="153">
      <calculatedColumnFormula>CEILING(Elf!$B33/ IF(Elf!$D33 &lt; 10.8, $Q$7, $Q$7 / (Elf!$D33/ 10.8)),1)</calculatedColumnFormula>
    </tableColumn>
    <tableColumn id="4" xr3:uid="{FA4AD6E1-791D-4C2E-AE22-D64F55B3ED49}" name="Beastgirl" dataDxfId="152">
      <calculatedColumnFormula>CEILING(Beastgirl!$B33/ IF(Beastgirl!$D33&lt; 10.8, $Q$7, $Q$7/ (Beastgirl!$D33 / 10.8)),1)</calculatedColumnFormula>
    </tableColumn>
    <tableColumn id="5" xr3:uid="{8D59EA07-49A5-4322-8765-6398988FFCD9}" name="Warrior" dataDxfId="151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6651E0BD-B7C2-4177-B9A6-05185724CBA5}" name="Table712131720232659107110194206218242245278" displayName="Table712131720232659107110194206218242245278" ref="Y80:AC100" totalsRowShown="0" headerRowDxfId="150" dataDxfId="149">
  <autoFilter ref="Y80:AC100" xr:uid="{E5B1967C-136B-4D9E-B368-A8191D287BF6}"/>
  <tableColumns count="5">
    <tableColumn id="1" xr3:uid="{E31EAC69-CFDF-4CAD-AD42-9B67D5A263FF}" name="LV" dataDxfId="148"/>
    <tableColumn id="2" xr3:uid="{9BD05797-359C-4000-97A9-1CE0AC49989B}" name="Demon" dataDxfId="147">
      <calculatedColumnFormula>CEILING(Demon!$B33 / IF(Demon!$D33&lt; 10.8, $AB$7, $AB$7 / (Demon!$D33 / 10.8)),1)</calculatedColumnFormula>
    </tableColumn>
    <tableColumn id="3" xr3:uid="{7166A321-1F64-4D63-93E7-92860BD83DAE}" name="Elf" dataDxfId="146">
      <calculatedColumnFormula>CEILING(Elf!$B33 / IF(Elf!$D33 &lt; 10.8, $AB$7, $AB$7 / (Elf!$D33 / 10.8)),1)</calculatedColumnFormula>
    </tableColumn>
    <tableColumn id="4" xr3:uid="{D00BB81F-751B-49EE-A5B2-22D735C6A357}" name="Beastgirl" dataDxfId="145">
      <calculatedColumnFormula>CEILING(Beastgirl!$B33 / IF(Beastgirl!$D33&lt; 10.8, $AB$7, $AB$7 / (Beastgirl!$D33 / 10.8)),1)</calculatedColumnFormula>
    </tableColumn>
    <tableColumn id="5" xr3:uid="{6A736D9F-2D59-4D55-9942-A754B21F0C3E}" name="Warrior" dataDxfId="144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67E9D577-AA7B-4584-90DD-EE1A13EA74B1}" name="Table71213172055103108192204216240243261279" displayName="Table71213172055103108192204216240243261279" ref="C103:G123" totalsRowShown="0" headerRowDxfId="143" dataDxfId="142">
  <autoFilter ref="C103:G123" xr:uid="{6793F298-49B1-4AAB-AB0B-8953708257E4}"/>
  <tableColumns count="5">
    <tableColumn id="1" xr3:uid="{23563AE4-FE1D-4078-9193-36C3F06F3A93}" name="LV" dataDxfId="141"/>
    <tableColumn id="2" xr3:uid="{B70204A9-5DDA-42B3-859E-0ED7692FA56D}" name="Demon" dataDxfId="140">
      <calculatedColumnFormula>CEILING(Demon!$B33/ IF(Demon!$D33&lt; 10.8, $F$8, $F$8 / (Demon!$D33 / 10.8)),1)</calculatedColumnFormula>
    </tableColumn>
    <tableColumn id="3" xr3:uid="{8979A857-B687-463D-B3AA-4BE4BEBAC3AA}" name="Elf" dataDxfId="139">
      <calculatedColumnFormula>CEILING(Elf!$B33 / IF(Elf!$D33&lt; 10.8, $F$8,$F$8 / (Elf!$D33/ 10.8)),1)</calculatedColumnFormula>
    </tableColumn>
    <tableColumn id="4" xr3:uid="{8A80948A-2A83-42E3-BFE9-D78E0CB8F71E}" name="Beastgirl" dataDxfId="138">
      <calculatedColumnFormula>CEILING(Beastgirl!$B33/ IF(Beastgirl!$D33&lt; 10.8, $F$8, $F$8 / (Beastgirl!$D33 / 10.8)),1)</calculatedColumnFormula>
    </tableColumn>
    <tableColumn id="5" xr3:uid="{2DDBFEC8-7A72-4C7F-B4C1-D3BD72DA5F33}" name="Warrior" dataDxfId="137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A7390BE2-FFFA-4552-9D06-0144B683A770}" name="Table7121317202357105109193205217241244262280" displayName="Table7121317202357105109193205217241244262280" ref="N103:R123" totalsRowShown="0" headerRowDxfId="136" dataDxfId="135">
  <autoFilter ref="N103:R123" xr:uid="{4F1691E5-ACD1-40A3-9326-17A5E8F3E983}"/>
  <tableColumns count="5">
    <tableColumn id="1" xr3:uid="{E4708D07-AB61-41F9-9E18-917C1F901FC8}" name="LV" dataDxfId="134"/>
    <tableColumn id="2" xr3:uid="{981C8E09-AD50-4719-AB8D-030D33C0848C}" name="Demon" dataDxfId="133">
      <calculatedColumnFormula>CEILING(Demon!$B33 / IF(Demon!$D33&lt; 10.8, $Q$8, $Q$8 / (Demon!$D33/ 10.8)),1)</calculatedColumnFormula>
    </tableColumn>
    <tableColumn id="3" xr3:uid="{B6C26793-985C-434D-9AAE-D02ED1DE0A64}" name="Elf" dataDxfId="132">
      <calculatedColumnFormula>CEILING(Elf!$B33/ IF(Elf!$D33 &lt; 10.8, $Q$8, $Q$8 / (Elf!$D33/ 10.8)),1)</calculatedColumnFormula>
    </tableColumn>
    <tableColumn id="4" xr3:uid="{14AE2E66-62EB-467C-B0BE-19B35A2ABFF5}" name="Beastgirl" dataDxfId="131">
      <calculatedColumnFormula>CEILING(Beastgirl!$B33/ IF(Beastgirl!$D33&lt; 10.8, $Q$8, $Q$8/ (Beastgirl!$D33 / 10.8)),1)</calculatedColumnFormula>
    </tableColumn>
    <tableColumn id="5" xr3:uid="{DA1E071F-94A2-4A8D-BBE9-F4A05EE5DA9C}" name="Warrior" dataDxfId="130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255FD2EF-19CE-41EC-83DE-74C95C8EC996}" name="Table712131720232659107110194206218242245263281" displayName="Table712131720232659107110194206218242245263281" ref="Y103:AC123" totalsRowShown="0" headerRowDxfId="129" dataDxfId="128">
  <autoFilter ref="Y103:AC123" xr:uid="{D18F0D5D-9530-4292-94DC-444E0AB89767}"/>
  <tableColumns count="5">
    <tableColumn id="1" xr3:uid="{A6576771-9DFA-4AD5-8D3A-779058D644AA}" name="LV" dataDxfId="127"/>
    <tableColumn id="2" xr3:uid="{E33AF341-EC47-44F6-BF98-179227EB11EC}" name="Demon" dataDxfId="126">
      <calculatedColumnFormula>CEILING(Demon!$B33 / IF(Demon!$D33&lt; 10.8, $AB$8, $AB$8 / (Demon!$D33 / 10.8)),1)</calculatedColumnFormula>
    </tableColumn>
    <tableColumn id="3" xr3:uid="{7E5E172C-6441-4282-8BF1-2A617EA2200E}" name="Elf" dataDxfId="125">
      <calculatedColumnFormula>CEILING(Elf!$B33 / IF(Elf!$D33 &lt; 10.8, $AB$8, $AB$8 / (Elf!$D33 / 10.8)),1)</calculatedColumnFormula>
    </tableColumn>
    <tableColumn id="4" xr3:uid="{36CDDCA5-3B0D-40D9-B8B1-93F718EE3E45}" name="Beastgirl" dataDxfId="124">
      <calculatedColumnFormula>CEILING(Beastgirl!$B33 / IF(Beastgirl!$D33&lt; 10.8, $AB$8, $AB$8 / (Beastgirl!$D33 / 10.8)),1)</calculatedColumnFormula>
    </tableColumn>
    <tableColumn id="5" xr3:uid="{030F69D8-00DA-41FE-B5F2-57F243994783}" name="Warrior" dataDxfId="123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A539E85C-EB6F-4C47-A4CF-62EB6285663A}" name="Table596183195207231264282" displayName="Table596183195207231264282" ref="A2:J4" totalsRowShown="0" headerRowDxfId="122" dataDxfId="121">
  <autoFilter ref="A2:J4" xr:uid="{AE2A7208-C4C8-4CDE-9C2D-74D8EE7E035B}"/>
  <tableColumns count="10">
    <tableColumn id="1" xr3:uid="{72BCE920-D42F-4E1E-852A-5AC5D624D8A0}" name="LV" dataDxfId="120"/>
    <tableColumn id="2" xr3:uid="{9DA6935C-90A2-4275-B453-024CA11118A8}" name="HP" dataDxfId="119"/>
    <tableColumn id="3" xr3:uid="{7D62B94E-642F-4A78-89EA-52782A7FA7C9}" name="MP" dataDxfId="118"/>
    <tableColumn id="4" xr3:uid="{C878813B-0671-46AB-9FC2-51354D19325B}" name="DEF" dataDxfId="117"/>
    <tableColumn id="5" xr3:uid="{36067433-328F-4F56-938D-ADAD8E5902A4}" name="AGI" dataDxfId="116"/>
    <tableColumn id="6" xr3:uid="{184DE5FD-F7BF-4BDB-ABF3-C0278E129B64}" name="STR" dataDxfId="115"/>
    <tableColumn id="7" xr3:uid="{82B87FB0-E816-41E7-800B-D45F07C7E8CF}" name="INT" dataDxfId="114"/>
    <tableColumn id="8" xr3:uid="{F372FBAD-50A9-4317-8FF5-F42A4CE8BA7D}" name="DEX" dataDxfId="113"/>
    <tableColumn id="9" xr3:uid="{5358AFC5-6C87-4590-8538-F641EC9AF4DE}" name="XP Given" dataDxfId="112">
      <calculatedColumnFormula>$I$3 + $I$3 * Table596183195207231264282[[#This Row],[LV]] *25 / 100</calculatedColumnFormula>
    </tableColumn>
    <tableColumn id="10" xr3:uid="{DC2738C2-CFEB-4DD4-BF5D-4E3EF234E8EA}" name="Gold Given" dataDxfId="111">
      <calculatedColumnFormula>$J$3 + $J$3 * Table596183195207231264282[[#This Row],[LV]] * 25 / 100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E3896F90-A1A6-41B3-815E-0D846C78EFDF}" name="Table5997184196208232265283" displayName="Table5997184196208232265283" ref="L2:U4" totalsRowShown="0" headerRowDxfId="110" dataDxfId="109">
  <autoFilter ref="L2:U4" xr:uid="{A1DC2E61-D73B-44EF-BE22-028E0A3835EA}"/>
  <tableColumns count="10">
    <tableColumn id="1" xr3:uid="{2629E73A-627F-4689-B603-5D718EA020AD}" name="LV" dataDxfId="108"/>
    <tableColumn id="2" xr3:uid="{96181205-DDB8-4512-8A42-E108EB24585B}" name="HP" dataDxfId="107"/>
    <tableColumn id="3" xr3:uid="{4D39AB99-2FAB-4069-AC96-33C131E62F5A}" name="MP" dataDxfId="106"/>
    <tableColumn id="4" xr3:uid="{BC18C449-016C-4984-8E99-9D7A1DDE62A6}" name="DEF" dataDxfId="105"/>
    <tableColumn id="5" xr3:uid="{46EE69F9-C44A-4709-BCAB-E08EE3E26B24}" name="AGI" dataDxfId="104"/>
    <tableColumn id="6" xr3:uid="{8E25A714-6058-457F-9317-6720BB86CABA}" name="STR" dataDxfId="103"/>
    <tableColumn id="7" xr3:uid="{81C9F269-1E72-4357-80F3-FFEFCDC2B807}" name="INT" dataDxfId="102"/>
    <tableColumn id="8" xr3:uid="{47AF154C-02DB-4E04-992B-3A3FFFEA9155}" name="DEX" dataDxfId="101"/>
    <tableColumn id="9" xr3:uid="{0D8D1B84-1137-40BC-ADAD-6D399419761B}" name="XP Given" dataDxfId="100">
      <calculatedColumnFormula>Table596183195207231264282[[#This Row],[XP Given]]*1.25</calculatedColumnFormula>
    </tableColumn>
    <tableColumn id="10" xr3:uid="{20B0D06F-71DE-4353-8794-66FF8E711FDE}" name="Gold Given" dataDxfId="99">
      <calculatedColumnFormula>Table596183195207231264282[[#This Row],[Gold Given]]*1.25</calculatedColumnFormula>
    </tableColumn>
  </tableColumns>
  <tableStyleInfo name="TableStyleMedium7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D8015FDB-964E-4B82-B62C-F68AEC0D763F}" name="Table591098185197209233266284" displayName="Table591098185197209233266284" ref="W2:AF4" totalsRowShown="0" headerRowDxfId="98" dataDxfId="97">
  <autoFilter ref="W2:AF4" xr:uid="{4637DBFB-628F-4891-959D-D2D4FCC90A1E}"/>
  <tableColumns count="10">
    <tableColumn id="1" xr3:uid="{964DC2C9-5A9E-41DB-BA05-AA4251BFC70E}" name="LV" dataDxfId="96"/>
    <tableColumn id="2" xr3:uid="{7B2FF7D1-A7C4-4719-B92E-34D5DA70A823}" name="HP" dataDxfId="95"/>
    <tableColumn id="3" xr3:uid="{E6889544-758F-4924-8F99-3F6811DDA1C2}" name="MP" dataDxfId="94"/>
    <tableColumn id="4" xr3:uid="{0373D089-82A1-47A9-A668-509F619810D0}" name="DEF" dataDxfId="93"/>
    <tableColumn id="5" xr3:uid="{BD94F20E-FF85-45F0-829D-D337EF2871EB}" name="AGI" dataDxfId="92"/>
    <tableColumn id="6" xr3:uid="{EC31F30F-0C02-42F1-A2C3-D6427246FD4E}" name="STR" dataDxfId="91"/>
    <tableColumn id="7" xr3:uid="{5F1978ED-BAC8-4B69-A1BB-0640D4B7A284}" name="INT" dataDxfId="90"/>
    <tableColumn id="8" xr3:uid="{B2B6971A-5A85-4BC3-B72E-2733D7C7EAE1}" name="DEX" dataDxfId="89"/>
    <tableColumn id="9" xr3:uid="{09B80758-F53E-4500-ABF7-CB2779448F6E}" name="XP Given" dataDxfId="88">
      <calculatedColumnFormula>Table596183195207231264282[[#This Row],[XP Given]]*1.5</calculatedColumnFormula>
    </tableColumn>
    <tableColumn id="10" xr3:uid="{5B1D010E-232C-4ED8-A053-BB9198F3536A}" name="Gold Given" dataDxfId="87">
      <calculatedColumnFormula>Table596183195207231264282[[#This Row],[Gold Given]]*1.5</calculatedColumnFormula>
    </tableColumn>
  </tableColumns>
  <tableStyleInfo name="TableStyleMedium10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97A9527-BF97-4766-8D98-9C73C5238D46}" name="Table712131754102186198210234267285" displayName="Table712131754102186198210234267285" ref="C7:G27" totalsRowShown="0" headerRowDxfId="86" dataDxfId="85">
  <autoFilter ref="C7:G27" xr:uid="{3A7E8A5D-7450-456C-9184-B4CCCF36F76A}"/>
  <tableColumns count="5">
    <tableColumn id="1" xr3:uid="{AF4110F1-9B0B-40A1-9B3E-17D6B7237518}" name="LV" dataDxfId="84"/>
    <tableColumn id="2" xr3:uid="{69A36740-037F-477E-A595-15A957CDB6A7}" name="Demon" dataDxfId="83">
      <calculatedColumnFormula>CEILING(Demon!$B33 / IF(Demon!$D33&lt; 10.8, $F$4, $F$4 / (Demon!$D33 / 10.8)),1)</calculatedColumnFormula>
    </tableColumn>
    <tableColumn id="3" xr3:uid="{905B8030-A635-43B6-AAD9-602C19125CCD}" name="Elf" dataDxfId="82">
      <calculatedColumnFormula>CEILING(Elf!$B33 / IF(Elf!$D33 &lt; 10.8, $F$4, $F$4 / (Elf!$D33 / 10.8)),1)</calculatedColumnFormula>
    </tableColumn>
    <tableColumn id="4" xr3:uid="{807FF619-39AE-4932-9CF6-204DA4BDBBE5}" name="Beastgirl" dataDxfId="81">
      <calculatedColumnFormula>CEILING(Beastgirl!$B33/ IF(Beastgirl!$D33&lt; 10.8,$F$4, $F$4 / (Beastgirl!$D33 / 10.8)),1)</calculatedColumnFormula>
    </tableColumn>
    <tableColumn id="5" xr3:uid="{130C800B-2CA4-45C6-A94C-43DB1F53E183}" name="Warrior" dataDxfId="80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1237F8-8CF5-4428-80EF-8DC480E6A21F}" name="Table59" displayName="Table59" ref="L2:U5" totalsRowShown="0" headerRowDxfId="1418" dataDxfId="1417">
  <autoFilter ref="L2:U5" xr:uid="{184367A7-3E8E-4FA2-9282-B0252EE21AC0}"/>
  <tableColumns count="10">
    <tableColumn id="1" xr3:uid="{9824A6D2-752E-44AF-810B-744047B9CC5F}" name="LV" dataDxfId="1416"/>
    <tableColumn id="2" xr3:uid="{909BD7D3-ED4A-4AB8-953F-B88B7FA94B81}" name="HP" dataDxfId="1415"/>
    <tableColumn id="3" xr3:uid="{B72834BB-CB82-4305-9D1F-FB2DC1A755D8}" name="MP" dataDxfId="1414"/>
    <tableColumn id="4" xr3:uid="{87E90703-4D9F-4DAB-BF7F-B32593A19CAB}" name="DEF" dataDxfId="1413"/>
    <tableColumn id="5" xr3:uid="{31473F57-EF43-4A88-BCCF-89AADD2B6C36}" name="AGI" dataDxfId="1412"/>
    <tableColumn id="6" xr3:uid="{BB54EA23-ED2E-4C9B-A962-6B8B12FEE07C}" name="STR" dataDxfId="1411"/>
    <tableColumn id="7" xr3:uid="{56CDAFBB-99E1-488A-98C2-E5F75B32BECE}" name="INT" dataDxfId="1410"/>
    <tableColumn id="8" xr3:uid="{57168FA0-6DC0-4176-B045-AF9913EA3C6F}" name="DEX" dataDxfId="1409"/>
    <tableColumn id="9" xr3:uid="{14E81CC9-D555-4551-A3CA-EC926CE784C9}" name="XP Given" dataDxfId="1408">
      <calculatedColumnFormula>Table5[[#This Row],[XP Given]] * 1.25</calculatedColumnFormula>
    </tableColumn>
    <tableColumn id="10" xr3:uid="{56C0B5FC-783B-4B11-B725-C28CE5CCA96F}" name="Gold Given" dataDxfId="1407">
      <calculatedColumnFormula xml:space="preserve"> Table5[[#This Row],[Gold given]] * 1.25</calculatedColumnFormula>
    </tableColumn>
  </tableColumns>
  <tableStyleInfo name="TableStyleMedium7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F540B618-F625-4250-B3C0-9E678F9CDA49}" name="Table71213172256104188200212236269287" displayName="Table71213172256104188200212236269287" ref="N7:R27" totalsRowShown="0" headerRowDxfId="79" dataDxfId="78">
  <autoFilter ref="N7:R27" xr:uid="{6AB718C3-886F-4D8C-973A-5D792617685F}"/>
  <tableColumns count="5">
    <tableColumn id="1" xr3:uid="{5A786D72-928D-4809-BB6E-968F89012240}" name="LV" dataDxfId="77"/>
    <tableColumn id="2" xr3:uid="{275786CC-2B54-435F-A3F2-90F42D6344F3}" name="Demon" dataDxfId="76">
      <calculatedColumnFormula>CEILING(Demon!$B33 / IF(Demon!$D33&lt; 10.8, $Q$4, $Q$4 / (Demon!$D33/ 10.8)),1)</calculatedColumnFormula>
    </tableColumn>
    <tableColumn id="3" xr3:uid="{8FEA8112-4FEF-43E9-86ED-F9CCED8C282D}" name="Elf" dataDxfId="75">
      <calculatedColumnFormula>CEILING(Elf!$B33 / IF(Elf!$D33 &lt; 10.8, $Q$4, $Q$4 / (Elf!$D33 / 10.8)),1)</calculatedColumnFormula>
    </tableColumn>
    <tableColumn id="4" xr3:uid="{354BB740-167D-4648-AED7-25FD864311F2}" name="Beastgirl" dataDxfId="74">
      <calculatedColumnFormula>CEILING(Beastgirl!$B33 / IF(Beastgirl!$D33&lt; 10.8, $Q$4, $Q$4 / (Beastgirl!$D33/ 10.8)),1)</calculatedColumnFormula>
    </tableColumn>
    <tableColumn id="5" xr3:uid="{C8767674-FE35-429A-9C23-8F3748A367AD}" name="Warrior" dataDxfId="73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9D1AC19B-4AA4-4E30-ADE3-44F1E92705A6}" name="Table7121317222558106190202214238271289" displayName="Table7121317222558106190202214238271289" ref="Y7:AC27" totalsRowShown="0" headerRowDxfId="72" dataDxfId="71">
  <autoFilter ref="Y7:AC27" xr:uid="{C4891090-59C3-4D53-B157-63F86FB2DD56}"/>
  <tableColumns count="5">
    <tableColumn id="1" xr3:uid="{ACE42269-1D95-4430-BC1E-9CFE09F91D9C}" name="LV" dataDxfId="70"/>
    <tableColumn id="2" xr3:uid="{6F5EDFDE-ABE4-4723-AAF8-AEBBC9E79A59}" name="Demon" dataDxfId="69">
      <calculatedColumnFormula>CEILING(Demon!$B33 / IF(Demon!$D33&lt; 10.8, $AB$4, $AB$4 / (Demon!$D33 / 10.8)),1)</calculatedColumnFormula>
    </tableColumn>
    <tableColumn id="3" xr3:uid="{0E1F8722-61D2-4D67-B624-1083D6692153}" name="Elf" dataDxfId="68">
      <calculatedColumnFormula>CEILING(Elf!$B33 / IF(Elf!$D33 &lt; 10.8, $AB$4, $AB$4 / (Elf!$D33 / 10.8)),1)</calculatedColumnFormula>
    </tableColumn>
    <tableColumn id="4" xr3:uid="{DC8D3C27-9893-43FD-BD4C-D62030A7F202}" name="Beastgirl" dataDxfId="67">
      <calculatedColumnFormula>CEILING(Beastgirl!$B33 / IF(Beastgirl!$D33&lt; 10.8, $AB$4, $AB$4 / (Beastgirl!$D33 / 10.8)),1)</calculatedColumnFormula>
    </tableColumn>
    <tableColumn id="5" xr3:uid="{17E4D1BF-0D0C-47F6-AC6A-22312197D83E}" name="Warrior" dataDxfId="66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861D71F-9405-4964-9C92-05AE354F919D}" name="Table19" displayName="Table19" ref="A1:E50" totalsRowShown="0" headerRowDxfId="65" dataDxfId="64">
  <autoFilter ref="A1:E50" xr:uid="{7259AC5B-B6C5-40B3-944F-17864F0F29E3}"/>
  <tableColumns count="5">
    <tableColumn id="1" xr3:uid="{206FB41E-71BD-4A03-A2E6-CE249CDAE3AE}" name="Rank" dataDxfId="63"/>
    <tableColumn id="2" xr3:uid="{BAEF49B6-614E-4F2C-B749-44A8778894A2}" name="Recommended LV" dataDxfId="62"/>
    <tableColumn id="3" xr3:uid="{47059A39-677A-4B3F-95F1-DDD7E81A975F}" name="Quest description" dataDxfId="61"/>
    <tableColumn id="4" xr3:uid="{CC34F161-68E7-4D03-A6F0-FC625C631687}" name="XP reward" dataDxfId="60">
      <calculatedColumnFormula>INDIRECT("Demon!" &amp; ADDRESS(Table19[[#This Row],[Recommended LV]] + 2, 9)) * 15 / 100</calculatedColumnFormula>
    </tableColumn>
    <tableColumn id="5" xr3:uid="{5CF2D75E-2347-4621-A2A1-2431C8BCB1E1}" name="Gold reward" dataDxfId="59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DA1AD04-2D22-42C6-A5B9-C82E47E9F89E}" name="Table18" displayName="Table18" ref="A2:J42" totalsRowShown="0" headerRowDxfId="58" dataDxfId="57">
  <autoFilter ref="A2:J42" xr:uid="{EC5BA056-8A95-415C-BDD6-750668A03509}"/>
  <tableColumns count="10">
    <tableColumn id="1" xr3:uid="{86FA651A-747A-4F50-B13E-2095A2BFEF45}" name="Set" dataDxfId="56"/>
    <tableColumn id="2" xr3:uid="{87F9C7E8-E5E0-439A-B8FE-AC234A81FCBE}" name="Name" dataDxfId="55"/>
    <tableColumn id="3" xr3:uid="{1917063B-564E-4C4C-B636-8B7498C8F8C2}" name="Type" dataDxfId="54"/>
    <tableColumn id="4" xr3:uid="{B1EEF816-2D81-42FE-BD63-D5B8B48480F8}" name="HP" dataDxfId="53">
      <calculatedColumnFormula>Demon!$B$3 / 7</calculatedColumnFormula>
    </tableColumn>
    <tableColumn id="5" xr3:uid="{FDFCD895-C0EA-4D66-BC07-A1C87FE53039}" name="DEF" dataDxfId="52"/>
    <tableColumn id="6" xr3:uid="{76BC4DCC-98A5-4253-905D-527824B7D06B}" name="AGI" dataDxfId="51"/>
    <tableColumn id="7" xr3:uid="{C37A2EA6-5685-45A8-97F3-E25881ABA37F}" name="STR" dataDxfId="50"/>
    <tableColumn id="8" xr3:uid="{7BB211A5-1DFE-45ED-A1C1-4A3A1BFB6E75}" name="INT" dataDxfId="49"/>
    <tableColumn id="9" xr3:uid="{A7CF4B82-A9AD-45E2-A114-4DC2C3924F42}" name="DEX" dataDxfId="48"/>
    <tableColumn id="11" xr3:uid="{EAC11308-9592-4E22-92CB-9EADE8D8C79C}" name="Price" dataDxfId="47"/>
  </tableColumns>
  <tableStyleInfo name="TableStyleMedium10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AB11BC8-8394-42FC-8F54-5E176138A853}" name="Table1822" displayName="Table1822" ref="L2:U42" totalsRowShown="0" headerRowDxfId="46" dataDxfId="45">
  <autoFilter ref="L2:U42" xr:uid="{3EFD4E14-27D5-4833-B37E-AF1DCBBE7200}"/>
  <tableColumns count="10">
    <tableColumn id="1" xr3:uid="{7109B4DF-FC56-4AB3-A58D-D57E10C1A343}" name="Set" dataDxfId="44"/>
    <tableColumn id="2" xr3:uid="{340DA4FC-154A-4D54-8399-B4737BBE8857}" name="Name" dataDxfId="43"/>
    <tableColumn id="3" xr3:uid="{7EF224A5-81E0-46EE-B937-75147E309031}" name="Type" dataDxfId="42"/>
    <tableColumn id="4" xr3:uid="{44205CB8-601A-44D4-8263-F52A1195D36C}" name="HP" dataDxfId="41">
      <calculatedColumnFormula>Demon!$B$3 / 7</calculatedColumnFormula>
    </tableColumn>
    <tableColumn id="5" xr3:uid="{B8A38D91-8CD7-4D64-A15E-D602DB091F3E}" name="DEF" dataDxfId="40"/>
    <tableColumn id="6" xr3:uid="{3E93C5EE-4B55-4172-AE82-D07728A4B6BB}" name="AGI" dataDxfId="39"/>
    <tableColumn id="7" xr3:uid="{B026450A-011C-462B-9CBD-98C66E0033E1}" name="STR" dataDxfId="38"/>
    <tableColumn id="8" xr3:uid="{0114565C-0F51-423F-8364-9B08AF8F3DD2}" name="INT" dataDxfId="37"/>
    <tableColumn id="9" xr3:uid="{92FFAED3-9254-41A9-A4CE-5743B9A5EDB9}" name="DEX" dataDxfId="36"/>
    <tableColumn id="11" xr3:uid="{9A30397B-3D39-4972-B353-B44958261708}" name="Price" dataDxfId="35"/>
  </tableColumns>
  <tableStyleInfo name="TableStyleMedium14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59DA1F-72ED-4089-8B4D-83E250305833}" name="Table182225" displayName="Table182225" ref="W2:AF42" totalsRowShown="0" headerRowDxfId="34" dataDxfId="33">
  <autoFilter ref="W2:AF42" xr:uid="{7D2D2F23-F52C-4EE4-AB21-1FAB53CBE9AB}"/>
  <tableColumns count="10">
    <tableColumn id="1" xr3:uid="{D97A3938-A354-4709-BC93-4C56CB3F1AB8}" name="Set" dataDxfId="32"/>
    <tableColumn id="2" xr3:uid="{BB055BD9-BC10-4D42-9203-C3BBAD892251}" name="Name" dataDxfId="31"/>
    <tableColumn id="3" xr3:uid="{84BEED9C-C068-4157-B9EF-FA28EF8CE414}" name="Type" dataDxfId="30"/>
    <tableColumn id="4" xr3:uid="{60A3E8AF-D60B-449B-B34C-3AA23612AB0B}" name="HP" dataDxfId="29">
      <calculatedColumnFormula>Demon!$B$3 / 7</calculatedColumnFormula>
    </tableColumn>
    <tableColumn id="5" xr3:uid="{20051650-DB15-46AF-9757-474121B59BAC}" name="DEF" dataDxfId="28"/>
    <tableColumn id="6" xr3:uid="{E940B731-C391-46B0-91F6-565D6E08478B}" name="AGI" dataDxfId="27"/>
    <tableColumn id="7" xr3:uid="{66686161-3D21-49C5-9738-8C6025C4160D}" name="STR" dataDxfId="26"/>
    <tableColumn id="8" xr3:uid="{7F3E109F-2DF2-450C-A935-8390830229BC}" name="INT" dataDxfId="25"/>
    <tableColumn id="9" xr3:uid="{DAEA26A7-4272-4B49-ADBB-7F8D9B4D820F}" name="DEX" dataDxfId="24"/>
    <tableColumn id="11" xr3:uid="{797C3E1C-BDCD-40DA-889E-58EBC7138E03}" name="Price" dataDxfId="23"/>
  </tableColumns>
  <tableStyleInfo name="TableStyleMedium1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623CA22-7738-4DDF-966D-078120C7B0B6}" name="Table18222526" displayName="Table18222526" ref="AH2:AQ42" totalsRowShown="0" headerRowDxfId="22" dataDxfId="21">
  <autoFilter ref="AH2:AQ42" xr:uid="{061E202A-2C15-4554-8D36-6A26AAF9D42F}"/>
  <tableColumns count="10">
    <tableColumn id="1" xr3:uid="{F2FFF3E5-73ED-42E9-8BC2-B84AC1EED26F}" name="Set" dataDxfId="20"/>
    <tableColumn id="2" xr3:uid="{C4747B09-3858-42B2-8372-C433F3F40900}" name="Name" dataDxfId="19"/>
    <tableColumn id="3" xr3:uid="{542EDEA5-0BC2-48AB-B985-E892423C9FB9}" name="Type" dataDxfId="18"/>
    <tableColumn id="4" xr3:uid="{140D9F13-1F72-4969-B318-BE7F5253CFDB}" name="HP" dataDxfId="17">
      <calculatedColumnFormula>Demon!$B$3 / 7</calculatedColumnFormula>
    </tableColumn>
    <tableColumn id="5" xr3:uid="{AC646496-C636-4A5A-A2EF-D988DE6D606E}" name="DEF" dataDxfId="16"/>
    <tableColumn id="6" xr3:uid="{545FDD9C-3227-4AAF-82C1-932D0E3681E5}" name="AGI" dataDxfId="15"/>
    <tableColumn id="7" xr3:uid="{DD7BD6AD-9E0B-4DC9-9E55-7DDBDF51CA4E}" name="STR" dataDxfId="14"/>
    <tableColumn id="8" xr3:uid="{652E5CD2-1E62-4CF6-A887-D7D10905EEDF}" name="INT" dataDxfId="13"/>
    <tableColumn id="9" xr3:uid="{10353248-61F5-41C2-A74D-2CE53B118244}" name="DEX" dataDxfId="12"/>
    <tableColumn id="11" xr3:uid="{03595438-904E-43C8-848C-4F20F501D39A}" name="Price" dataDxfId="11"/>
  </tableColumns>
  <tableStyleInfo name="TableStyleMedium13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DACF7B-7340-440F-BC32-5F629817211C}" name="Table22" displayName="Table22" ref="A1:C13" totalsRowShown="0" headerRowDxfId="10" dataDxfId="9">
  <autoFilter ref="A1:C13" xr:uid="{AA0B8B1B-79D7-4FC9-9FC8-901786C374B9}"/>
  <tableColumns count="3">
    <tableColumn id="1" xr3:uid="{1DF2E559-7DA0-481F-83BF-5EC4DDECB61F}" name="Item name" dataDxfId="8"/>
    <tableColumn id="2" xr3:uid="{1BAA2A43-E4C2-43C8-99A5-82E1E60BF836}" name="Effect" dataDxfId="7"/>
    <tableColumn id="3" xr3:uid="{79D44DB8-BFD7-4CDF-9700-AEFD62387C74}" name="Gold cost" dataDxfId="6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C27561D-5AD8-4E22-A0E8-FB6B878A9F1C}" name="Table27" displayName="Table27" ref="E2:H14" totalsRowShown="0" headerRowDxfId="5" dataDxfId="4">
  <autoFilter ref="E2:H14" xr:uid="{55DF8BAB-965A-4515-B2DA-202FEAA8309A}"/>
  <tableColumns count="4">
    <tableColumn id="1" xr3:uid="{DDA142EE-F1DF-4E91-A736-BE02B38A3A28}" name="Item name" dataDxfId="3"/>
    <tableColumn id="2" xr3:uid="{CBE20C37-5DA7-4015-BF24-28910FE4EA35}" name="Sell price" dataDxfId="2">
      <calculatedColumnFormula>Quests!E$10/5</calculatedColumnFormula>
    </tableColumn>
    <tableColumn id="4" xr3:uid="{873185AA-A093-4929-A24B-4DE1CF2D569E}" name="Map" dataDxfId="1"/>
    <tableColumn id="5" xr3:uid="{9EF50212-79B9-438D-9B75-0DB3EF9771B1}" name="Place" dataDxfId="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682ADA-FB98-4532-9024-CBC6CF68DF1B}" name="Table5910" displayName="Table5910" ref="W2:AF5" totalsRowShown="0" headerRowDxfId="1406" dataDxfId="1405">
  <autoFilter ref="W2:AF5" xr:uid="{88E22341-0381-48AD-8073-EBE4FECCD398}"/>
  <tableColumns count="10">
    <tableColumn id="1" xr3:uid="{FBD56D36-D06C-42B6-8F92-3077B3E3EA6F}" name="LV" dataDxfId="1404"/>
    <tableColumn id="2" xr3:uid="{790AAE1B-F8A2-4B60-9C9E-D596C1F4DFDE}" name="HP" dataDxfId="1403"/>
    <tableColumn id="3" xr3:uid="{B1747DBC-6B9D-47DC-80C4-EF7D47C6E35D}" name="MP" dataDxfId="1402"/>
    <tableColumn id="4" xr3:uid="{41AA5CD3-F1E6-4A0C-ACE8-C55942E35D1A}" name="DEF" dataDxfId="1401"/>
    <tableColumn id="5" xr3:uid="{854E74CD-B19B-4D9B-A5E7-C22FCC9B0352}" name="AGI" dataDxfId="1400"/>
    <tableColumn id="6" xr3:uid="{ED2E6A23-0BA7-4BFD-84FF-D03CC796E577}" name="STR" dataDxfId="1399"/>
    <tableColumn id="7" xr3:uid="{94013694-A643-4BB7-8A82-4849F550FB21}" name="INT" dataDxfId="1398"/>
    <tableColumn id="8" xr3:uid="{347B0CE5-AEFF-4B87-A328-74FF9F0F0F3B}" name="DEX" dataDxfId="1397"/>
    <tableColumn id="9" xr3:uid="{E0C81684-A033-4A1E-AD28-6CB1DA2CE941}" name="XP Given" dataDxfId="1396">
      <calculatedColumnFormula>Table5[[#This Row],[XP Given]] * 1.5</calculatedColumnFormula>
    </tableColumn>
    <tableColumn id="10" xr3:uid="{95134B90-416A-473A-9E19-BBEDB08695DA}" name="Gold Given" dataDxfId="1395">
      <calculatedColumnFormula>Table5[[#This Row],[Gold given]] * 1.5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9F66EB2-E310-49D6-AC2D-6B27B4B2500E}" name="Table38" displayName="Table38" ref="K2:X52" totalsRowShown="0" headerRowDxfId="1655" dataDxfId="1654">
  <autoFilter ref="K2:X52" xr:uid="{A1869952-5132-48E9-ACF3-774AA90A2AD9}"/>
  <tableColumns count="14">
    <tableColumn id="1" xr3:uid="{B2C58872-5CC9-4421-9BE8-AB573D5B643B}" name="Blue Slime" dataDxfId="1653">
      <calculatedColumnFormula>CEILING('Blue Slime'!$B$5/ IF('Blue Slime'!$D$5&lt; 10.8, Table15[[#This Row],[STR]], Table15[[#This Row],[STR]] / ('Blue Slime'!$D$5 / 10.8)), 1)</calculatedColumnFormula>
    </tableColumn>
    <tableColumn id="2" xr3:uid="{D0B0FB46-D6BC-4B5E-808A-C18E3E3F8B33}" name="Green Slime" dataDxfId="1652">
      <calculatedColumnFormula>CEILING('Green Slime'!$B$5/ IF('Green Slime'!$D$5&lt; 10.8, Table15[[#This Row],[STR]], Table15[[#This Row],[STR]] / ('Green Slime'!$D$5 / 10.8)), 1)</calculatedColumnFormula>
    </tableColumn>
    <tableColumn id="3" xr3:uid="{A48917F8-EFC2-4BD3-BD23-6726CA969E88}" name="Wolf" dataDxfId="1651">
      <calculatedColumnFormula>CEILING(Wolf!$B$6/ IF(Wolf!$D$6&lt; 10.8, Table15[[#This Row],[STR]], Table15[[#This Row],[STR]] / (Wolf!$D$6 / 10.8)), 1)</calculatedColumnFormula>
    </tableColumn>
    <tableColumn id="4" xr3:uid="{A433AB36-92A6-43D7-A9AE-E30C96DD91FC}" name="Horned Wolf" dataDxfId="1650">
      <calculatedColumnFormula>CEILING('Horned Wolf'!$B$5/ IF('Horned Wolf'!$D$5&lt; 10.8, Table15[[#This Row],[STR]], Table15[[#This Row],[STR]] / ('Horned Wolf'!$D$5 / 10.8)), 1)</calculatedColumnFormula>
    </tableColumn>
    <tableColumn id="5" xr3:uid="{1D4C4A92-2FE2-4708-8138-DAE60812B0EB}" name="Spider" dataDxfId="1649">
      <calculatedColumnFormula>CEILING(Spider!$B$7/ IF(Spider!$D$7&lt; 10.8, Table15[[#This Row],[STR]], Table15[[#This Row],[STR]] / (Spider!$D$7 / 10.8)), 1)</calculatedColumnFormula>
    </tableColumn>
    <tableColumn id="6" xr3:uid="{21D53A98-41B6-46E9-A5B2-D4970BBF5223}" name="Evolved Spider" dataDxfId="1648">
      <calculatedColumnFormula>CEILING('Evolved Spider'!$B$8/ IF('Evolved Spider'!$D$8&lt; 10.8, Table15[[#This Row],[STR]], Table15[[#This Row],[STR]] / ('Evolved Spider'!$D$8 / 10.8)), 1)</calculatedColumnFormula>
    </tableColumn>
    <tableColumn id="7" xr3:uid="{BBCA0B44-DF10-4503-9DCF-7B193816EF95}" name="Arachne" dataDxfId="1647">
      <calculatedColumnFormula>CEILING(Arachne!$B$4/ IF(Arachne!$D$4&lt; 10.8, Table15[[#This Row],[STR]], Table15[[#This Row],[STR]] / (Arachne!$D$4 / 10.8)), 1)</calculatedColumnFormula>
    </tableColumn>
    <tableColumn id="8" xr3:uid="{92E0C6B1-E7C7-4281-83FE-C880D2EB2E05}" name="Earth Elemental" dataDxfId="1646">
      <calculatedColumnFormula>CEILING('Earth Elemental'!$B$6/ IF('Earth Elemental'!$D$6&lt; 10.8, Table15[[#This Row],[STR]], Table15[[#This Row],[STR]] / ('Earth Elemental'!$D$6 / 10.8)), 1)</calculatedColumnFormula>
    </tableColumn>
    <tableColumn id="9" xr3:uid="{FAB5A7C4-F787-4AF9-95B3-9025EB6EE9EC}" name="Wind Elemental" dataDxfId="1645">
      <calculatedColumnFormula>CEILING('Wind Elemental'!$B$6/ IF('Wind Elemental'!$D$6&lt; 10.8, Table15[[#This Row],[STR]], Table15[[#This Row],[STR]] / ('Wind Elemental'!$D$6 / 10.8)), 1)</calculatedColumnFormula>
    </tableColumn>
    <tableColumn id="14" xr3:uid="{EF441071-B54F-4B44-B9D9-E33D3862B850}" name="Water Elemental" dataDxfId="1644">
      <calculatedColumnFormula>CEILING('Water Elemental'!$B$6/ IF('Water Elemental'!$D$6&lt; 10.8, Table15[[#This Row],[STR]], Table15[[#This Row],[STR]] / ('Water Elemental'!$D$6 / 10.8)), 1)</calculatedColumnFormula>
    </tableColumn>
    <tableColumn id="10" xr3:uid="{36FA6D0F-3C6E-4C17-BBA2-3E117132F7AD}" name="Fire Elemental" dataDxfId="1643">
      <calculatedColumnFormula>CEILING('Fire Elemental'!$B$4/ IF('Fire Elemental'!$D$4&lt; 10.8, Table15[[#This Row],[STR]], Table15[[#This Row],[STR]] / ('Fire Elemental'!$D$4 / 10.8)), 1)</calculatedColumnFormula>
    </tableColumn>
    <tableColumn id="11" xr3:uid="{D14A56E5-19E7-4644-99BA-BE55E55E0145}" name="Wyvern" dataDxfId="1642">
      <calculatedColumnFormula>CEILING(Wyvern!$B$4/ IF(Wyvern!$D$4&lt; 10.8, Table15[[#This Row],[STR]], Table15[[#This Row],[STR]] / (Wyvern!$D$4 / 10.8)), 1)</calculatedColumnFormula>
    </tableColumn>
    <tableColumn id="12" xr3:uid="{F5EB8948-56D8-46BE-A7AD-3750954178CB}" name="Evolved Wyvern" dataDxfId="1641">
      <calculatedColumnFormula>CEILING('Evolved Wyvern'!$B$4/ IF('Evolved Wyvern'!$D$4&lt; 10.8, Table15[[#This Row],[STR]], Table15[[#This Row],[STR]] / ('Evolved Wyvern'!$D$4 / 10.8)), 1)</calculatedColumnFormula>
    </tableColumn>
    <tableColumn id="13" xr3:uid="{F8258276-3524-46A4-99CE-B398BA75F99F}" name="Dragon" dataDxfId="1640">
      <calculatedColumnFormula>CEILING(Dragon!$B$4/ IF(Dragon!$D$4&lt; 10.8, Table15[[#This Row],[STR]], Table15[[#This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70D408-0583-428C-8FE4-284C27EF62DD}" name="Table71213" displayName="Table71213" ref="C8:G18" totalsRowShown="0" headerRowDxfId="1394" dataDxfId="1393">
  <autoFilter ref="C8:G18" xr:uid="{B2A1F12D-0365-4E6A-A03E-7DB94DD83012}"/>
  <tableColumns count="5">
    <tableColumn id="1" xr3:uid="{966CC125-0C26-42BD-A33C-36EC5C31B8D4}" name="LV" dataDxfId="1392"/>
    <tableColumn id="2" xr3:uid="{EF05F1F4-23FB-4957-9F12-CE0BD80EDD58}" name="Demon" dataDxfId="1391">
      <calculatedColumnFormula>CEILING(Demon!$B3 / IF(Demon!$D3&lt; 10.8,$F$3, $F$3 / (Demon!$D3 / 10.8)),1)</calculatedColumnFormula>
    </tableColumn>
    <tableColumn id="3" xr3:uid="{BDBDC7D1-A34D-4102-8572-ACC45BFD9C63}" name="Elf" dataDxfId="1390">
      <calculatedColumnFormula>CEILING(Elf!$B3 / IF(Elf!$D3 &lt; 10.8, $F$3, $F$3 / (Elf!$D3 / 10.8)),1)</calculatedColumnFormula>
    </tableColumn>
    <tableColumn id="4" xr3:uid="{F15AAEB1-1D64-4C43-BA29-F2B73C05E8F9}" name="Beastgirl" dataDxfId="1389">
      <calculatedColumnFormula>CEILING(Beastgirl!$B3 / IF(Beastgirl!$D3&lt; 10.8, $F$3, $F$3 / (Beastgirl!$D3 / 10.8)),1)</calculatedColumnFormula>
    </tableColumn>
    <tableColumn id="5" xr3:uid="{47DEE6E8-357C-4394-AF54-512DD479BC31}" name="Warrior" dataDxfId="1388">
      <calculatedColumnFormula>CEILING(Warrior!$B3 / IF(Warrior!$D3&lt; 10.8,$F$3, $F$3 / (Warrior!$D3 / 10.8)),1)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72E8F69-8B6F-4E44-853A-B005D43E7E8E}" name="Table7121321" displayName="Table7121321" ref="N8:R18" totalsRowShown="0" headerRowDxfId="1387" dataDxfId="1386">
  <autoFilter ref="N8:R18" xr:uid="{D9C48BBF-FE63-40EF-B62A-CE2B31ADD011}"/>
  <tableColumns count="5">
    <tableColumn id="1" xr3:uid="{A7B2BCEE-2670-49F4-9A96-A2F4262059FF}" name="LV" dataDxfId="1385"/>
    <tableColumn id="2" xr3:uid="{FCFE688F-FF88-423B-92CD-134F5CD9D6B2}" name="Demon" dataDxfId="1384">
      <calculatedColumnFormula>CEILING(Demon!$B3 / IF(Demon!$D3&lt; 10.8, $Q$3, $Q$3 / (Demon!$D3 / 10.8)),1)</calculatedColumnFormula>
    </tableColumn>
    <tableColumn id="3" xr3:uid="{43F0B664-920A-4D40-8CE5-9C73F3A05469}" name="Elf" dataDxfId="1383">
      <calculatedColumnFormula>CEILING(Elf!$B3 / IF(Elf!$D3 &lt; 10.8, $Q$3,$Q$3 / (Elf!$D3 / 10.8)),1)</calculatedColumnFormula>
    </tableColumn>
    <tableColumn id="4" xr3:uid="{642A4D66-DE36-46E4-84EF-C347A277C8F7}" name="Beastgirl" dataDxfId="1382">
      <calculatedColumnFormula>CEILING(Beastgirl!$B3 / IF(Beastgirl!$D3&lt; 10.8, $Q$3, $Q$3 / (Beastgirl!$D3 / 10.8)),1)</calculatedColumnFormula>
    </tableColumn>
    <tableColumn id="5" xr3:uid="{33FF704D-4230-4A3C-B9C6-55188BC91C8E}" name="Warrior" dataDxfId="1381">
      <calculatedColumnFormula>CEILING(Warrior!$B3 / IF(Warrior!$D3&lt; 10.8, $Q$3, $Q$3 / (Warrior!$D3 / 10.8)),1)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18C6E3-B815-434F-8135-28704AC5DAB1}" name="Table712132124" displayName="Table712132124" ref="Y8:AC18" totalsRowShown="0" headerRowDxfId="1380" dataDxfId="1379">
  <autoFilter ref="Y8:AC18" xr:uid="{18FE0C23-4261-489F-8200-4D1354D2FA6E}"/>
  <tableColumns count="5">
    <tableColumn id="1" xr3:uid="{E741051B-82CB-4000-A7E5-4244EDAA5893}" name="LV" dataDxfId="1378"/>
    <tableColumn id="2" xr3:uid="{95ABD88C-1A91-40D3-9ADD-933B45D1C92D}" name="Demon" dataDxfId="1377">
      <calculatedColumnFormula>CEILING(Demon!$B3 / IF(Demon!$D3&lt; 10.8, $AB$3, $AB$3 / (Demon!$D3 / 10.8)),1)</calculatedColumnFormula>
    </tableColumn>
    <tableColumn id="3" xr3:uid="{86A77655-74C5-424D-8FE7-97172D58D69F}" name="Elf" dataDxfId="1376">
      <calculatedColumnFormula>CEILING(Elf!$B3 / IF(Elf!$D3 &lt; 10.8, $AB$3,$AB$3 / (Elf!$D3 / 10.8)),1)</calculatedColumnFormula>
    </tableColumn>
    <tableColumn id="4" xr3:uid="{3D4437CB-3BDA-4872-8758-6258673794EF}" name="Beastgirl" dataDxfId="1375">
      <calculatedColumnFormula>CEILING(Beastgirl!$B3 / IF(Beastgirl!$D3&lt; 10.8, $AB$3, $AB$3 / (Beastgirl!$D3 / 10.8)),1)</calculatedColumnFormula>
    </tableColumn>
    <tableColumn id="5" xr3:uid="{E9FA97AA-7BC1-412E-89DA-7C4565A2798A}" name="Warrior" dataDxfId="1374">
      <calculatedColumnFormula>CEILING(Warrior!$B3 / IF(Warrior!$D3&lt; 10.8, $AB$3, $AB$3 / (Warrior!$D3 / 10.8)),1)</calculatedColumnFormula>
    </tableColumn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70688AA-0E3A-40D8-AA85-9E0F1233595D}" name="Table712131754" displayName="Table712131754" ref="C21:G31" totalsRowShown="0" headerRowDxfId="1373" dataDxfId="1372">
  <autoFilter ref="C21:G31" xr:uid="{47B7ADB5-A932-4159-AF85-C5D6357F14C6}"/>
  <tableColumns count="5">
    <tableColumn id="1" xr3:uid="{FCCFFCDD-AAA4-47EF-8484-61BB8DC48527}" name="LV" dataDxfId="1371"/>
    <tableColumn id="2" xr3:uid="{AF413F8B-D77C-4FCB-945B-FF48F3BBBB10}" name="Demon" dataDxfId="1370">
      <calculatedColumnFormula>CEILING(Demon!$B3 / IF(Demon!$D3&lt; 10.8, $F$4, $F$4 / (Demon!$D3 / 10.8)),1)</calculatedColumnFormula>
    </tableColumn>
    <tableColumn id="3" xr3:uid="{3C252235-49E9-44A6-B483-3C80F431344F}" name="Elf" dataDxfId="1369">
      <calculatedColumnFormula>CEILING(Elf!$B3 / IF(Elf!$D3 &lt; 10.8, $F$4, $F$4 / (Elf!$D3 / 10.8)),1)</calculatedColumnFormula>
    </tableColumn>
    <tableColumn id="4" xr3:uid="{AC77274B-CE0E-4878-ABDA-2F581B6581F5}" name="Beastgirl" dataDxfId="1368">
      <calculatedColumnFormula>CEILING(Beastgirl!$B3/ IF(Beastgirl!$D3&lt; 10.8,$F$4, $F$4 / (Beastgirl!$D3 / 10.8)),1)</calculatedColumnFormula>
    </tableColumn>
    <tableColumn id="5" xr3:uid="{4B838275-A1A3-4EB1-9D1E-986E01C47B24}" name="Warrior" dataDxfId="1367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A539516-4FD1-4691-A87D-E2D7B0505CC9}" name="Table71213172055" displayName="Table71213172055" ref="C34:G44" totalsRowShown="0" headerRowDxfId="1366" dataDxfId="1365">
  <autoFilter ref="C34:G44" xr:uid="{E4F08652-CE15-43FA-8439-195143BC9E2F}"/>
  <tableColumns count="5">
    <tableColumn id="1" xr3:uid="{1E6ACDF2-D0DD-4B6C-A64A-53FD4D053190}" name="LV" dataDxfId="1364"/>
    <tableColumn id="2" xr3:uid="{9EE67264-CBF0-4011-930A-6F1710FDB370}" name="Demon" dataDxfId="1363">
      <calculatedColumnFormula>CEILING(Demon!$B3/ IF(Demon!$D3&lt; 10.8, $F$5, $F$5 / (Demon!$D3 / 10.8)),1)</calculatedColumnFormula>
    </tableColumn>
    <tableColumn id="3" xr3:uid="{7D68E06B-F7E2-4376-A6FA-DFE0316FB120}" name="Elf" dataDxfId="1362">
      <calculatedColumnFormula>CEILING(Elf!$B3 / IF(Elf!$D3 &lt; 10.8, $F$5,$F$5 / (Elf!$D3 / 10.8)),1)</calculatedColumnFormula>
    </tableColumn>
    <tableColumn id="4" xr3:uid="{60149E6F-8776-463F-9D00-ABD2AB295C58}" name="Beastgirl" dataDxfId="1361">
      <calculatedColumnFormula>CEILING(Beastgirl!$B3 / IF(Beastgirl!$D3&lt; 10.8, $F$5, $F$5 / (Beastgirl!$D3 / 10.8)),1)</calculatedColumnFormula>
    </tableColumn>
    <tableColumn id="5" xr3:uid="{7FDAAA97-6FC3-4297-8967-EDDA3F92815C}" name="Warrior" dataDxfId="1360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93C87A1-1DE2-4814-BCD6-E82DF36F11DF}" name="Table71213172256" displayName="Table71213172256" ref="N21:R31" totalsRowShown="0" headerRowDxfId="1359" dataDxfId="1358">
  <autoFilter ref="N21:R31" xr:uid="{79DF78B2-942B-4055-B128-D74FACCA95C5}"/>
  <tableColumns count="5">
    <tableColumn id="1" xr3:uid="{7759D2A2-80DD-47D0-864A-C1A178A32E8F}" name="LV" dataDxfId="1357"/>
    <tableColumn id="2" xr3:uid="{59E2F48A-5A2B-447D-BAB7-BF207E1BEAD7}" name="Demon" dataDxfId="1356">
      <calculatedColumnFormula>CEILING(Demon!$B3 / IF(Demon!$D3&lt; 10.8, $Q$4, $Q$4 / (Demon!$D3 / 10.8)),1)</calculatedColumnFormula>
    </tableColumn>
    <tableColumn id="3" xr3:uid="{E05DCDD5-AF57-438C-A131-008F7EEF8051}" name="Elf" dataDxfId="1355">
      <calculatedColumnFormula>CEILING(Elf!$B3 / IF(Elf!$D3 &lt; 10.8, $Q$4, $Q$4 / (Elf!$D3 / 10.8)),1)</calculatedColumnFormula>
    </tableColumn>
    <tableColumn id="4" xr3:uid="{44773B8B-BB80-4CC7-8359-0EC345AEE430}" name="Beastgirl" dataDxfId="1354">
      <calculatedColumnFormula>CEILING(Beastgirl!$B3 / IF(Beastgirl!$D3&lt; 10.8, $Q$4, $Q$4 / (Beastgirl!$D3 / 10.8)),1)</calculatedColumnFormula>
    </tableColumn>
    <tableColumn id="5" xr3:uid="{A535E21E-AE10-4241-8160-DEADAA90FBC9}" name="Warrior" dataDxfId="1353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74677CE-475C-4E31-A316-98558412DBED}" name="Table7121317202357" displayName="Table7121317202357" ref="N34:R44" totalsRowShown="0" headerRowDxfId="1352" dataDxfId="1351">
  <autoFilter ref="N34:R44" xr:uid="{7942B293-788E-4D53-A8C7-FA6E82331644}"/>
  <tableColumns count="5">
    <tableColumn id="1" xr3:uid="{39133FF0-57F8-4074-8A16-E5A07465C038}" name="LV" dataDxfId="1350"/>
    <tableColumn id="2" xr3:uid="{2DC97601-D1C1-4C9D-8C20-C7F87C0A030A}" name="Demon" dataDxfId="1349">
      <calculatedColumnFormula>CEILING(Demon!$B3 / IF(Demon!$D3&lt; 10.8, $Q$5, $Q$5 / (Demon!$D3/ 10.8)),1)</calculatedColumnFormula>
    </tableColumn>
    <tableColumn id="3" xr3:uid="{51566B70-B361-419C-ABAD-AD718C2435E0}" name="Elf" dataDxfId="1348">
      <calculatedColumnFormula>CEILING(Elf!$B3/ IF(Elf!$D3 &lt; 10.8, $Q$5, $Q$5 / (Elf!$D3 / 10.8)),1)</calculatedColumnFormula>
    </tableColumn>
    <tableColumn id="4" xr3:uid="{377C1D70-E8B7-4818-A37B-FF47751829C3}" name="Beastgirl" dataDxfId="1347">
      <calculatedColumnFormula>CEILING(Beastgirl!$B3 / IF(Beastgirl!$D3&lt; 10.8, $Q$5, $Q$5 / (Beastgirl!$D3 / 10.8)),1)</calculatedColumnFormula>
    </tableColumn>
    <tableColumn id="5" xr3:uid="{FE75D0DD-0CE5-44C7-A660-AD40785A96DF}" name="Warrior" dataDxfId="1346">
      <calculatedColumnFormula>CEILING(Warrior!$B3/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56960C5-EA01-4186-AB77-8F48BE6813E6}" name="Table7121317222558" displayName="Table7121317222558" ref="Y21:AC31" totalsRowShown="0" headerRowDxfId="1345" dataDxfId="1344">
  <autoFilter ref="Y21:AC31" xr:uid="{A236E1A4-8410-424D-8C92-063E174C571A}"/>
  <tableColumns count="5">
    <tableColumn id="1" xr3:uid="{2C2CF298-B91E-4145-8F56-244912851E01}" name="LV" dataDxfId="1343"/>
    <tableColumn id="2" xr3:uid="{E1D50DD2-7089-441D-865A-E3E6642967F2}" name="Demon" dataDxfId="1342">
      <calculatedColumnFormula>CEILING(Demon!$B3 / IF(Demon!$D3&lt; 10.8, $AB$4, $AB$4 / (Demon!$D3 / 10.8)),1)</calculatedColumnFormula>
    </tableColumn>
    <tableColumn id="3" xr3:uid="{E424D64F-2907-4EC7-875F-1CE03D053D5D}" name="Elf" dataDxfId="1341">
      <calculatedColumnFormula>CEILING(Elf!$B3 / IF(Elf!$D3 &lt; 10.8, $AB$4, $AB$4 / (Elf!$D3 / 10.8)),1)</calculatedColumnFormula>
    </tableColumn>
    <tableColumn id="4" xr3:uid="{181A3A61-8F48-47CC-A5EB-CE266CE7B9E6}" name="Beastgirl" dataDxfId="1340">
      <calculatedColumnFormula>CEILING(Beastgirl!$B3 / IF(Beastgirl!$D3&lt; 10.8, $AB$4, $AB$4 / (Beastgirl!$D3 / 10.8)),1)</calculatedColumnFormula>
    </tableColumn>
    <tableColumn id="5" xr3:uid="{6FF8275F-492C-43FE-9DC8-24396224BF49}" name="Warrior" dataDxfId="1339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34EB81B-7E5E-4E4F-92CF-9055A6D650CC}" name="Table712131720232659" displayName="Table712131720232659" ref="Y34:AC44" totalsRowShown="0" headerRowDxfId="1338" dataDxfId="1337">
  <autoFilter ref="Y34:AC44" xr:uid="{C752F9D9-2AB0-42C2-B997-0633D9F03095}"/>
  <tableColumns count="5">
    <tableColumn id="1" xr3:uid="{9B393F2D-D65B-495F-8248-0F817D18DC5C}" name="LV" dataDxfId="1336"/>
    <tableColumn id="2" xr3:uid="{8712986D-804D-48CE-860B-A98F63DD870A}" name="Demon" dataDxfId="1335">
      <calculatedColumnFormula>CEILING(Demon!$B3 / IF(Demon!$D3&lt; 10.8, $AB$5, $AB$5 / (Demon!$D3 / 10.8)),1)</calculatedColumnFormula>
    </tableColumn>
    <tableColumn id="3" xr3:uid="{A3101EB3-CC29-4F4E-84FC-F15F65F24980}" name="Elf" dataDxfId="1334">
      <calculatedColumnFormula>CEILING(Elf!$B3 / IF(Elf!$D3 &lt; 10.8, $AB$5, $AB$5 / (Elf!$D3 / 10.8)),1)</calculatedColumnFormula>
    </tableColumn>
    <tableColumn id="4" xr3:uid="{B3A084ED-8480-4025-BA37-8AB76DC471CE}" name="Beastgirl" dataDxfId="1333">
      <calculatedColumnFormula>CEILING(Beastgirl!$B3 / IF(Beastgirl!$D3&lt; 10.8, $AB$5, $AB$5 / (Beastgirl!$D3 / 10.8)),1)</calculatedColumnFormula>
    </tableColumn>
    <tableColumn id="5" xr3:uid="{6D2386D8-4DFB-4951-929A-4528CCD229E3}" name="Warrior" dataDxfId="1332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324B1098-5BB4-470D-B8F1-D3C0AEAB1820}" name="Table584" displayName="Table584" ref="A2:J5" totalsRowShown="0" headerRowDxfId="1331" dataDxfId="1330">
  <autoFilter ref="A2:J5" xr:uid="{FF9A3E17-A567-4848-B65C-611D9F392926}"/>
  <tableColumns count="10">
    <tableColumn id="1" xr3:uid="{25CD2325-4CC2-4445-97AD-C93758F0E0F2}" name="LV" dataDxfId="1329"/>
    <tableColumn id="2" xr3:uid="{8BA67D15-E3D3-45AA-8725-B019B13CEF59}" name="HP" dataDxfId="1328"/>
    <tableColumn id="3" xr3:uid="{629A0F23-0F50-49FD-BA34-D01FEBDB87E6}" name="MP" dataDxfId="1327"/>
    <tableColumn id="4" xr3:uid="{C01186E6-E893-42E7-9CA5-AD956EA95CF1}" name="DEF" dataDxfId="1326"/>
    <tableColumn id="5" xr3:uid="{D508133D-F1E4-4DBB-BAA7-433CD1B143B7}" name="AGI" dataDxfId="1325"/>
    <tableColumn id="6" xr3:uid="{76047C33-E9E5-40FC-8C69-ED8F338FD9B1}" name="STR" dataDxfId="1324"/>
    <tableColumn id="7" xr3:uid="{2AC8C5A3-72A5-4ED9-851E-48A9EE2FAF3F}" name="INT" dataDxfId="1323"/>
    <tableColumn id="8" xr3:uid="{5821D4FB-EDD9-41BC-B402-C6B15506ECB3}" name="DEX" dataDxfId="1322"/>
    <tableColumn id="9" xr3:uid="{952DBCFC-B40D-4B88-AB24-B94BADE3DE64}" name="XP Given" dataDxfId="1321">
      <calculatedColumnFormula>AVERAGE(Warrior!I5:I6)/25*75/100</calculatedColumnFormula>
    </tableColumn>
    <tableColumn id="10" xr3:uid="{65E26A60-F614-4086-A419-BE4B4162C7F6}" name="Gold Given" dataDxfId="13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9FF9A6D-1099-46CA-A922-789BD585EE2F}" name="Table3840" displayName="Table3840" ref="Z2:AM52" totalsRowShown="0" headerRowDxfId="1639" dataDxfId="1638">
  <autoFilter ref="Z2:AM52" xr:uid="{68960E53-17F4-4D9F-8372-92F05EA935DC}"/>
  <tableColumns count="14">
    <tableColumn id="1" xr3:uid="{24B5EE78-5BB2-40B4-947B-358AD44B16BB}" name="Blue Slime" dataDxfId="1637">
      <calculatedColumnFormula>CEILING('Blue Slime'!$M$5/ IF('Blue Slime'!$O$5&lt; 10.8, Table15[[#This Row],[STR]], Table15[[#This Row],[STR]] / ('Blue Slime'!$O$5 / 10.8)), 1)</calculatedColumnFormula>
    </tableColumn>
    <tableColumn id="2" xr3:uid="{BEBF992E-DED1-4319-BA2C-EFDEE69ED1D0}" name="Green Slime" dataDxfId="1636">
      <calculatedColumnFormula>CEILING('Green Slime'!$M$5/ IF('Green Slime'!$O$5&lt; 10.8, Table15[[#This Row],[STR]], Table15[[#This Row],[STR]] / ('Green Slime'!$O$5 / 10.8)), 1)</calculatedColumnFormula>
    </tableColumn>
    <tableColumn id="3" xr3:uid="{06C1C422-A2B2-4557-9EC7-C6B1C812F6EE}" name="Wolf" dataDxfId="1635">
      <calculatedColumnFormula>CEILING(Wolf!$M$6/ IF(Wolf!$O$6&lt; 10.8, Table15[[#This Row],[STR]], Table15[[#This Row],[STR]] / (Wolf!$O$6 / 10.8)), 1)</calculatedColumnFormula>
    </tableColumn>
    <tableColumn id="4" xr3:uid="{2CD993C3-6246-450D-923D-6220D5F469DA}" name="Horned Wolf" dataDxfId="1634">
      <calculatedColumnFormula>CEILING('Horned Wolf'!$M$5/ IF('Horned Wolf'!$O$5&lt; 10.8, Table15[[#This Row],[STR]], Table15[[#This Row],[STR]] / ('Horned Wolf'!$O$5 / 10.8)), 1)</calculatedColumnFormula>
    </tableColumn>
    <tableColumn id="5" xr3:uid="{0F828CD2-0E7A-43C7-A247-7E0915578969}" name="Spider" dataDxfId="1633">
      <calculatedColumnFormula>CEILING(Spider!$M$7/ IF(Spider!$O$7&lt; 10.8, Table15[[#This Row],[STR]], Table15[[#This Row],[STR]] / (Spider!$O$7 / 10.8)), 1)</calculatedColumnFormula>
    </tableColumn>
    <tableColumn id="6" xr3:uid="{E09C395D-B967-443A-8008-A202716A5A56}" name="Evolved Spider" dataDxfId="1632">
      <calculatedColumnFormula>CEILING('Evolved Spider'!$M$8/ IF('Evolved Spider'!$O$8&lt; 10.8, Table15[[#This Row],[STR]], Table15[[#This Row],[STR]] / ('Evolved Spider'!$O$8 / 10.8)), 1)</calculatedColumnFormula>
    </tableColumn>
    <tableColumn id="7" xr3:uid="{0A854E57-AF7C-4A5F-907B-60AE7877DA5D}" name="Arachne" dataDxfId="1631">
      <calculatedColumnFormula>CEILING(Arachne!$M$4/ IF(Arachne!$O$4&lt; 10.8, Table15[[#This Row],[STR]], Table15[[#This Row],[STR]] / (Arachne!$O$4 / 10.8)), 1)</calculatedColumnFormula>
    </tableColumn>
    <tableColumn id="8" xr3:uid="{7FEEA8ED-D3D7-4166-8082-781573BF39C0}" name="Earth Elemental" dataDxfId="1630">
      <calculatedColumnFormula>CEILING('Earth Elemental'!$M$6/ IF('Earth Elemental'!$O$6&lt; 10.8, Table15[[#This Row],[STR]], Table15[[#This Row],[STR]] / ('Earth Elemental'!$O$6 / 10.8)), 1)</calculatedColumnFormula>
    </tableColumn>
    <tableColumn id="9" xr3:uid="{5DFC41EC-A8A0-4D79-A604-AAB1BF6A8A77}" name="Wind Elemental" dataDxfId="1629">
      <calculatedColumnFormula>CEILING('Wind Elemental'!$M$6/ IF('Wind Elemental'!$O$6&lt; 10.8, Table15[[#This Row],[STR]], Table15[[#This Row],[STR]] / ('Wind Elemental'!$O$6 / 10.8)), 1)</calculatedColumnFormula>
    </tableColumn>
    <tableColumn id="14" xr3:uid="{3C416AA9-32DB-48B4-89E7-1637074A27F9}" name="Water Elemental" dataDxfId="1628">
      <calculatedColumnFormula>CEILING('Water Elemental'!$M$6/ IF('Water Elemental'!$O$6&lt; 10.8, Table15[[#This Row],[STR]], Table15[[#This Row],[STR]] / ('Water Elemental'!$O$6 / 10.8)), 1)</calculatedColumnFormula>
    </tableColumn>
    <tableColumn id="10" xr3:uid="{EC6ECCBE-3720-4B58-BA9B-5B6512B98F21}" name="Fire Elemental" dataDxfId="1627">
      <calculatedColumnFormula>CEILING('Fire Elemental'!$M$4/ IF('Fire Elemental'!$O$4&lt; 10.8, Table15[[#This Row],[STR]], Table15[[#This Row],[STR]] / ('Fire Elemental'!$O$4 / 10.8)), 1)</calculatedColumnFormula>
    </tableColumn>
    <tableColumn id="11" xr3:uid="{F31D4290-5253-47DF-95F4-EE25139F2FF4}" name="Wyvern" dataDxfId="1626">
      <calculatedColumnFormula>CEILING(Wyvern!$M$4/ IF(Wyvern!$O$4&lt; 10.8, Table15[[#This Row],[STR]], Table15[[#This Row],[STR]] / (Wyvern!$O$4 / 10.8)), 1)</calculatedColumnFormula>
    </tableColumn>
    <tableColumn id="12" xr3:uid="{025417FB-0D67-41D3-BA14-FA7430F3C78C}" name="Evolved Wyvern" dataDxfId="1625">
      <calculatedColumnFormula>CEILING('Evolved Wyvern'!$M$4/ IF('Evolved Wyvern'!$O$4&lt; 10.8, Table15[[#This Row],[STR]], Table15[[#This Row],[STR]] / ('Evolved Wyvern'!$O$4 / 10.8)), 1)</calculatedColumnFormula>
    </tableColumn>
    <tableColumn id="13" xr3:uid="{308D9BAC-578D-4A70-93C8-001E1D815A6F}" name="Dragon" dataDxfId="1624">
      <calculatedColumnFormula>CEILING(Dragon!$M$4/ IF(Dragon!$O$4&lt; 10.8, Table15[[#This Row],[STR]], Table15[[#This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4E32DEF7-9B9D-4111-97E4-3CE40DB26496}" name="Table5985" displayName="Table5985" ref="L2:U5" totalsRowShown="0" headerRowDxfId="1319" dataDxfId="1318">
  <autoFilter ref="L2:U5" xr:uid="{EE0D277E-B02E-4901-BAAD-A9C8FCB0CAB3}"/>
  <tableColumns count="10">
    <tableColumn id="1" xr3:uid="{2F557762-82B5-4076-8AE9-25CD28C442A1}" name="LV" dataDxfId="1317"/>
    <tableColumn id="2" xr3:uid="{AE08A814-3851-4E41-B2EF-5107EE2AB90F}" name="HP" dataDxfId="1316"/>
    <tableColumn id="3" xr3:uid="{84D57179-CAC9-4C64-8533-24AFDD1F09B1}" name="MP" dataDxfId="1315"/>
    <tableColumn id="4" xr3:uid="{E8CE0BAE-91CB-42EB-9E62-F988FEAF53CF}" name="DEF" dataDxfId="1314"/>
    <tableColumn id="5" xr3:uid="{34137015-A21A-4AF6-8AB0-AD0B154F71D1}" name="AGI" dataDxfId="1313"/>
    <tableColumn id="6" xr3:uid="{0952B089-DB28-447B-B5CB-A1C9AD34433E}" name="STR" dataDxfId="1312"/>
    <tableColumn id="7" xr3:uid="{623A0030-C771-4902-ACE3-F385E13F3EAA}" name="INT" dataDxfId="1311"/>
    <tableColumn id="8" xr3:uid="{3BB294E6-BAEE-4E1B-A1D3-210D7BCE26ED}" name="DEX" dataDxfId="1310"/>
    <tableColumn id="9" xr3:uid="{7957F714-0519-4FBA-974B-322388BF2C4F}" name="XP Given" dataDxfId="1309">
      <calculatedColumnFormula>Table584[[#This Row],[XP Given]] * 1.25</calculatedColumnFormula>
    </tableColumn>
    <tableColumn id="10" xr3:uid="{C2E4BC2B-BCF8-4279-9034-06E65E09976B}" name="Gold Given" dataDxfId="1308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98787118-57C7-45A6-9D6A-4F8BC60346D8}" name="Table591086" displayName="Table591086" ref="W2:AF5" totalsRowShown="0" headerRowDxfId="1307" dataDxfId="1306">
  <autoFilter ref="W2:AF5" xr:uid="{CB76FCFC-4F3A-45F1-91C6-F43EEC517B0B}"/>
  <tableColumns count="10">
    <tableColumn id="1" xr3:uid="{4FF81DB7-CBDE-484D-94A3-FE1D23A57FBB}" name="LV" dataDxfId="1305"/>
    <tableColumn id="2" xr3:uid="{10F0F89B-053A-49D9-A4CA-1DC713C36D23}" name="HP" dataDxfId="1304"/>
    <tableColumn id="3" xr3:uid="{CD8CC9EC-D8C9-4164-8153-27A1C4CF52FC}" name="MP" dataDxfId="1303"/>
    <tableColumn id="4" xr3:uid="{37D7FECD-EC16-4432-8841-C048AB1AE2F4}" name="DEF" dataDxfId="1302"/>
    <tableColumn id="5" xr3:uid="{D7354EAF-BA95-46FB-A628-40D5FF9F35DB}" name="AGI" dataDxfId="1301"/>
    <tableColumn id="6" xr3:uid="{762A4056-DD32-4954-9F45-A13FDA8B95B6}" name="STR" dataDxfId="1300"/>
    <tableColumn id="7" xr3:uid="{5E55A12F-2379-4B8F-9485-FAF817CB1FC7}" name="INT" dataDxfId="1299"/>
    <tableColumn id="8" xr3:uid="{418B9ABB-6332-4A1B-B730-BA0369982F1C}" name="DEX" dataDxfId="1298"/>
    <tableColumn id="9" xr3:uid="{4635E1D7-50EE-4B6C-B24B-08B25B28A53D}" name="XP Given" dataDxfId="1297">
      <calculatedColumnFormula>Table584[[#This Row],[XP Given]] * 1.5</calculatedColumnFormula>
    </tableColumn>
    <tableColumn id="10" xr3:uid="{4CFCC58D-35F0-457A-A621-5857E35790D3}" name="Gold Given" dataDxfId="1296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33D0EAF1-36BC-4E30-8E77-EBFC682A78FA}" name="Table71213175490" displayName="Table71213175490" ref="C8:G18" totalsRowShown="0" headerRowDxfId="1295" dataDxfId="1294">
  <autoFilter ref="C8:G18" xr:uid="{2219720C-734A-484D-95FB-01F634FDC118}"/>
  <tableColumns count="5">
    <tableColumn id="1" xr3:uid="{3830C2D5-B595-41EE-870C-A1033A2A4002}" name="LV" dataDxfId="1293"/>
    <tableColumn id="2" xr3:uid="{8D2BC3E9-7F3E-4D84-A0EC-1D71C74A7CA5}" name="Demon" dataDxfId="1292">
      <calculatedColumnFormula>CEILING(Demon!$B3 / IF(Demon!$D3&lt; 10.8, $F$4, $F$4 / (Demon!$D3 / 10.8)),1)</calculatedColumnFormula>
    </tableColumn>
    <tableColumn id="3" xr3:uid="{395D6BB6-2AB2-4816-BFA3-119F72E3FE8A}" name="Elf" dataDxfId="1291">
      <calculatedColumnFormula>CEILING(Elf!$B3 / IF(Elf!$D3 &lt; 10.8, $F$4, $F$4 / (Elf!$D3 / 10.8)),1)</calculatedColumnFormula>
    </tableColumn>
    <tableColumn id="4" xr3:uid="{1C46BAC6-E4D3-4367-9884-EFDEF18F8D62}" name="Beastgirl" dataDxfId="1290">
      <calculatedColumnFormula>CEILING(Beastgirl!$B3/ IF(Beastgirl!$D3&lt; 10.8,$F$4, $F$4 / (Beastgirl!$D3 / 10.8)),1)</calculatedColumnFormula>
    </tableColumn>
    <tableColumn id="5" xr3:uid="{4BE042C3-0DF2-4221-80F8-1848824AAF37}" name="Warrior" dataDxfId="1289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BE0E379-30CB-429D-B09F-6227AF84BB04}" name="Table7121317205591" displayName="Table7121317205591" ref="C21:G31" totalsRowShown="0" headerRowDxfId="1288" dataDxfId="1287">
  <autoFilter ref="C21:G31" xr:uid="{2E4600CE-5695-4F4B-8B59-F5DFAF5FD6DD}"/>
  <tableColumns count="5">
    <tableColumn id="1" xr3:uid="{39E6D0B6-C978-494A-922D-E5F0883E332B}" name="LV" dataDxfId="1286"/>
    <tableColumn id="2" xr3:uid="{5388BBEA-DC7A-4603-B1BF-8CC773034428}" name="Demon" dataDxfId="1285">
      <calculatedColumnFormula>CEILING(Demon!$B3/ IF(Demon!$D3&lt; 10.8, $F$5, $F$5 / (Demon!$D3 / 10.8)),1)</calculatedColumnFormula>
    </tableColumn>
    <tableColumn id="3" xr3:uid="{86BCD55D-F5D4-419F-A1CB-6001B7FB743F}" name="Elf" dataDxfId="1284">
      <calculatedColumnFormula>CEILING(Elf!$B3 / IF(Elf!$D3&lt; 10.8, $F$5,$F$5 / (Elf!$D3 / 10.8)),1)</calculatedColumnFormula>
    </tableColumn>
    <tableColumn id="4" xr3:uid="{340A2B46-CC47-4AF4-83E6-67F001954FAB}" name="Beastgirl" dataDxfId="1283">
      <calculatedColumnFormula>CEILING(Beastgirl!$B3 / IF(Beastgirl!$D3&lt; 10.8, $F$5, $F$5 / (Beastgirl!$D3 / 10.8)),1)</calculatedColumnFormula>
    </tableColumn>
    <tableColumn id="5" xr3:uid="{0802C414-7DEF-4C94-91BF-51D0BB0E919C}" name="Warrior" dataDxfId="1282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E3DDA46-7DC4-4495-9D7E-14D9AEA78901}" name="Table7121317225692" displayName="Table7121317225692" ref="N8:R18" totalsRowShown="0" headerRowDxfId="1281" dataDxfId="1280">
  <autoFilter ref="N8:R18" xr:uid="{29FE506C-71CE-401D-B5F5-32A9A8BEAE92}"/>
  <tableColumns count="5">
    <tableColumn id="1" xr3:uid="{7564D0CF-A738-497F-843D-6C8731D1D5D1}" name="LV" dataDxfId="1279"/>
    <tableColumn id="2" xr3:uid="{20A1B7D9-0ECE-46F3-B3B3-4809CE1EFC80}" name="Demon" dataDxfId="1278">
      <calculatedColumnFormula>CEILING(Demon!$B3 / IF(Demon!$D3&lt; 10.8, $Q$4, $Q$4 / (Demon!$D3 / 10.8)),1)</calculatedColumnFormula>
    </tableColumn>
    <tableColumn id="3" xr3:uid="{E6D26977-CCC9-450A-9E6D-AE7E6AD745EF}" name="Elf" dataDxfId="1277">
      <calculatedColumnFormula>CEILING(Elf!$B3 / IF(Elf!$D3 &lt; 10.8, $Q$4, $Q$4 / (Elf!$D3 / 10.8)),1)</calculatedColumnFormula>
    </tableColumn>
    <tableColumn id="4" xr3:uid="{EEAC3F7D-A30C-4A42-8E01-442AA857F694}" name="Beastgirl" dataDxfId="1276">
      <calculatedColumnFormula>CEILING(Beastgirl!$B3 / IF(Beastgirl!$D3&lt; 10.8, $Q$4, $Q$4 / (Beastgirl!$D3 / 10.8)),1)</calculatedColumnFormula>
    </tableColumn>
    <tableColumn id="5" xr3:uid="{54001008-21C5-4F82-B287-B687C7AD20AC}" name="Warrior" dataDxfId="1275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9A386062-511D-410B-86BB-B748FBF35F5E}" name="Table712131720235793" displayName="Table712131720235793" ref="N21:R31" totalsRowShown="0" headerRowDxfId="1274" dataDxfId="1273">
  <autoFilter ref="N21:R31" xr:uid="{60AFDBCB-786E-49CB-9B37-B79282776F4E}"/>
  <tableColumns count="5">
    <tableColumn id="1" xr3:uid="{8088E1FA-A5E7-4226-BF5F-060E18128A2D}" name="LV" dataDxfId="1272"/>
    <tableColumn id="2" xr3:uid="{CFBE2ADA-8074-4333-AA1E-C227B7DE401B}" name="Demon" dataDxfId="1271">
      <calculatedColumnFormula>CEILING(Demon!$B3/ IF(Demon!$D3&lt; 10.8, $Q$5, $Q$5 / (Demon!$D3 / 10.8)),1)</calculatedColumnFormula>
    </tableColumn>
    <tableColumn id="3" xr3:uid="{0850F5A1-709A-40C0-8878-7A5F1744A34F}" name="Elf" dataDxfId="1270">
      <calculatedColumnFormula>CEILING(Elf!$B3 / IF(Elf!$D3 &lt; 10.8, $Q$5, $Q$5 / (Elf!$D3 / 10.8)),1)</calculatedColumnFormula>
    </tableColumn>
    <tableColumn id="4" xr3:uid="{B200619C-1A5E-4C05-A518-70BD6C809363}" name="Beastgirl" dataDxfId="1269">
      <calculatedColumnFormula>CEILING(Beastgirl!$B3 / IF(Beastgirl!$D3&lt; 10.8, $Q$5, $Q$5 / (Beastgirl!$D3/ 10.8)),1)</calculatedColumnFormula>
    </tableColumn>
    <tableColumn id="5" xr3:uid="{81DC4FA5-E47F-4476-A8E8-A3F4A60F4CE2}" name="Warrior" dataDxfId="1268">
      <calculatedColumnFormula>CEILING(Warrior!$B3 / IF(Warrior!$D3&lt; 10.8, $Q$5, $Q$5 / (Warrior!$D3/ 10.8)),1)</calculatedColumnFormula>
    </tableColumn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F943F55B-0A63-4DC4-AFCF-4CA4C4D933BC}" name="Table712131722255894" displayName="Table712131722255894" ref="Y8:AC18" totalsRowShown="0" headerRowDxfId="1267" dataDxfId="1266">
  <autoFilter ref="Y8:AC18" xr:uid="{EB80BE54-8D53-4D24-A3C4-EFBE6DC8E887}"/>
  <tableColumns count="5">
    <tableColumn id="1" xr3:uid="{B8B6672E-778C-438C-A02B-215B567D9EA2}" name="LV" dataDxfId="1265"/>
    <tableColumn id="2" xr3:uid="{B907F368-F1C1-4BA8-95A5-6BB10DDD627B}" name="Demon" dataDxfId="1264">
      <calculatedColumnFormula>CEILING(Demon!$B3 / IF(Demon!$D3&lt; 10.8, $AB$4, $AB$4 / (Demon!$D3 / 10.8)),1)</calculatedColumnFormula>
    </tableColumn>
    <tableColumn id="3" xr3:uid="{6E1D885B-A79D-4EC3-A5DF-0A9A6C762C26}" name="Elf" dataDxfId="1263">
      <calculatedColumnFormula>CEILING(Elf!$B3 / IF(Elf!$D3 &lt; 10.8, $AB$4, $AB$4 / (Elf!$D3 / 10.8)),1)</calculatedColumnFormula>
    </tableColumn>
    <tableColumn id="4" xr3:uid="{E6B0931A-64E4-4A73-A1F6-B7C08E1D34C7}" name="Beastgirl" dataDxfId="1262">
      <calculatedColumnFormula>CEILING(Beastgirl!$B3 / IF(Beastgirl!$D3&lt; 10.8, $AB$4, $AB$4 / (Beastgirl!$D3 / 10.8)),1)</calculatedColumnFormula>
    </tableColumn>
    <tableColumn id="5" xr3:uid="{48755990-6EAB-4C85-8A57-5F1BCB370E33}" name="Warrior" dataDxfId="1261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D225905A-3A24-43D3-A17A-52696B5C8A70}" name="Table71213172023265995" displayName="Table71213172023265995" ref="Y21:AC31" totalsRowShown="0" headerRowDxfId="1260" dataDxfId="1259">
  <autoFilter ref="Y21:AC31" xr:uid="{85CD9DCB-F23C-4A14-9D07-6328FFBFAE0A}"/>
  <tableColumns count="5">
    <tableColumn id="1" xr3:uid="{7AACCE60-F0A9-4147-88E2-BF2852997B97}" name="LV" dataDxfId="1258"/>
    <tableColumn id="2" xr3:uid="{983268D6-4D4A-491C-AB70-6EA234297B7C}" name="Demon" dataDxfId="1257">
      <calculatedColumnFormula>CEILING(Demon!$B3 / IF(Demon!$D3&lt; 10.8, $AB$5, $AB$5 / (Demon!$D3 / 10.8)),1)</calculatedColumnFormula>
    </tableColumn>
    <tableColumn id="3" xr3:uid="{0EB16189-98AA-4146-9AB4-2B349860103F}" name="Elf" dataDxfId="1256">
      <calculatedColumnFormula>CEILING(Elf!$B3/ IF(Elf!$D3&lt; 10.8, $AB$5, $AB$5 / (Elf!$D3/ 10.8)),1)</calculatedColumnFormula>
    </tableColumn>
    <tableColumn id="4" xr3:uid="{4CB1D8FD-B0B3-4296-91BD-0C72D7D8CA58}" name="Beastgirl" dataDxfId="1255">
      <calculatedColumnFormula>CEILING(Beastgirl!$B3 / IF(Beastgirl!$D3&lt; 10.8, $AB$5, $AB$5 / (Beastgirl!$D3 / 10.8)),1)</calculatedColumnFormula>
    </tableColumn>
    <tableColumn id="5" xr3:uid="{5BFC0163-37A4-4433-8A6C-9D42B328ED6B}" name="Warrior" dataDxfId="1254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6EB58057-432F-4CF8-8DDE-1ADA4AD4E86D}" name="Table596" displayName="Table596" ref="A2:J6" totalsRowShown="0" headerRowDxfId="1253" dataDxfId="1252">
  <autoFilter ref="A2:J6" xr:uid="{B4B3B199-BF81-461D-A05C-6AA0138304DD}"/>
  <tableColumns count="10">
    <tableColumn id="1" xr3:uid="{5C32C408-FDCF-495F-BBDA-CD34094659C8}" name="LV" dataDxfId="1251"/>
    <tableColumn id="2" xr3:uid="{F41516C1-C1FC-41CF-A638-48F9BDAF5169}" name="HP" dataDxfId="1250"/>
    <tableColumn id="3" xr3:uid="{3A48F337-51F0-44E7-83CC-DC272B952906}" name="MP" dataDxfId="1249"/>
    <tableColumn id="4" xr3:uid="{CEB250F7-AA9F-4F75-8B67-43CC008647EB}" name="DEF" dataDxfId="1248"/>
    <tableColumn id="5" xr3:uid="{56B41C74-CDD7-420E-8B76-A364933C5513}" name="AGI" dataDxfId="1247"/>
    <tableColumn id="6" xr3:uid="{F0BB37B0-4173-40D6-BA6E-EF5AD10DCC22}" name="STR" dataDxfId="1246"/>
    <tableColumn id="7" xr3:uid="{5543EAC9-0E65-420A-B498-8B2E232E9BB6}" name="INT" dataDxfId="1245"/>
    <tableColumn id="8" xr3:uid="{3580554A-765A-4261-8542-EFD162990AA5}" name="DEX" dataDxfId="1244"/>
    <tableColumn id="9" xr3:uid="{59DB3117-2BD9-4841-9283-33C87AEFDBBE}" name="XP Given" dataDxfId="1243">
      <calculatedColumnFormula>AVERAGE(Warrior!I8:I10)/25 * 75/100</calculatedColumnFormula>
    </tableColumn>
    <tableColumn id="10" xr3:uid="{B5BB40AA-9EF8-49B7-98E5-C6FC9D18CE72}" name="Gold Given" dataDxfId="12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A20F142A-D05A-4292-817A-27CF153E7202}" name="Table5997" displayName="Table5997" ref="L2:U6" totalsRowShown="0" headerRowDxfId="1241" dataDxfId="1240">
  <autoFilter ref="L2:U6" xr:uid="{1F65180A-943D-4A4B-AC74-B16CE95E34ED}"/>
  <tableColumns count="10">
    <tableColumn id="1" xr3:uid="{D4F1C221-BEF4-467D-9FA1-F6D6934C62C7}" name="LV" dataDxfId="1239"/>
    <tableColumn id="2" xr3:uid="{C71F4327-67E8-4960-BCC5-7DD3BE1875B8}" name="HP" dataDxfId="1238"/>
    <tableColumn id="3" xr3:uid="{B3C17A3D-307E-45DD-B0CA-3F612A219ED2}" name="MP" dataDxfId="1237"/>
    <tableColumn id="4" xr3:uid="{99761FB8-372F-4152-A06E-39FE5E23F9C0}" name="DEF" dataDxfId="1236"/>
    <tableColumn id="5" xr3:uid="{2211BAA9-87EB-44E0-B11E-A327162EFAAC}" name="AGI" dataDxfId="1235"/>
    <tableColumn id="6" xr3:uid="{A3BA4DC1-FF05-4E91-A1F2-E300DD62C260}" name="STR" dataDxfId="1234"/>
    <tableColumn id="7" xr3:uid="{B90E5656-D367-4720-8016-6ED8C57E7CBF}" name="INT" dataDxfId="1233"/>
    <tableColumn id="8" xr3:uid="{A72A7791-5635-40D0-9549-4CB0D5270E3B}" name="DEX" dataDxfId="1232"/>
    <tableColumn id="9" xr3:uid="{CD37216A-73A5-4EBD-9055-732E9714D2BC}" name="XP Given" dataDxfId="1231">
      <calculatedColumnFormula>Table596[[#This Row],[XP Given]]*1.25</calculatedColumnFormula>
    </tableColumn>
    <tableColumn id="10" xr3:uid="{4156853D-ECE9-4380-96A2-D6CE23C12200}" name="Gold Given" dataDxfId="12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D75C8D1-EC31-49AE-B124-B13416CF8A7A}" name="Table3841" displayName="Table3841" ref="AO2:BB52" totalsRowShown="0" headerRowDxfId="1623" dataDxfId="1622">
  <autoFilter ref="AO2:BB52" xr:uid="{396906CA-84CD-4766-AC86-767F1DBA2880}"/>
  <tableColumns count="14">
    <tableColumn id="1" xr3:uid="{04671EBB-6B78-4110-B942-E640E2529C46}" name="Blue Slime" dataDxfId="1621">
      <calculatedColumnFormula>CEILING('Blue Slime'!$Z$5/ IF('Blue Slime'!$X$5&lt; 10.8, Table15[[#This Row],[STR]], Table15[[#This Row],[STR]] / ('Blue Slime'!$X$5 / 10.8)), 1)</calculatedColumnFormula>
    </tableColumn>
    <tableColumn id="2" xr3:uid="{B292CE05-5829-43F9-A975-C4129467C5DB}" name="Green Slime" dataDxfId="1620">
      <calculatedColumnFormula>CEILING('Green Slime'!$Z$5/ IF('Green Slime'!$X$5&lt; 10.8, Table15[[#This Row],[STR]], Table15[[#This Row],[STR]] / ('Green Slime'!$X$5 / 10.8)), 1)</calculatedColumnFormula>
    </tableColumn>
    <tableColumn id="3" xr3:uid="{D18D0394-CE10-4A5D-BCDB-C4CF8A69F8B6}" name="Wolf" dataDxfId="1619">
      <calculatedColumnFormula>CEILING(Wolf!$Z$6/ IF(Wolf!$X$6&lt; 10.8, Table15[[#This Row],[STR]], Table15[[#This Row],[STR]] / (Wolf!$X$6 / 10.8)), 1)</calculatedColumnFormula>
    </tableColumn>
    <tableColumn id="4" xr3:uid="{4398049C-E6B0-44DA-B36C-F58E3DE61D96}" name="Horned Wolf" dataDxfId="1618">
      <calculatedColumnFormula>CEILING('Horned Wolf'!$Z$5/ IF('Horned Wolf'!$X$5&lt; 10.8, Table15[[#This Row],[STR]], Table15[[#This Row],[STR]] / ('Horned Wolf'!$X$5 / 10.8)), 1)</calculatedColumnFormula>
    </tableColumn>
    <tableColumn id="5" xr3:uid="{78E110DD-BD83-4CD3-AC68-6A70D2A3DCA8}" name="Spider" dataDxfId="1617">
      <calculatedColumnFormula>CEILING(Spider!$Z$7/ IF(Spider!$X$7&lt; 10.8, Table15[[#This Row],[STR]], Table15[[#This Row],[STR]] / (Spider!$X$7 / 10.8)), 1)</calculatedColumnFormula>
    </tableColumn>
    <tableColumn id="6" xr3:uid="{F0FB8D18-DB66-4DA0-B6FB-C306E8E67567}" name="Evolved Spider" dataDxfId="1616">
      <calculatedColumnFormula>CEILING('Evolved Spider'!$Z$8/ IF('Evolved Spider'!$X$8&lt; 10.8, Table15[[#This Row],[STR]], Table15[[#This Row],[STR]] / ('Evolved Spider'!$X$8 / 10.8)), 1)</calculatedColumnFormula>
    </tableColumn>
    <tableColumn id="7" xr3:uid="{544E32AE-A1DA-4896-A745-E6BE30C02878}" name="Arachne" dataDxfId="1615">
      <calculatedColumnFormula>CEILING(Arachne!$Z$4/ IF(Arachne!$X$4&lt; 10.8, Table15[[#This Row],[STR]], Table15[[#This Row],[STR]] / (Arachne!$X$4 / 10.8)), 1)</calculatedColumnFormula>
    </tableColumn>
    <tableColumn id="8" xr3:uid="{EFC489DC-A4EE-491B-A178-C5A9D5C8C334}" name="Earth Elemental" dataDxfId="1614">
      <calculatedColumnFormula>CEILING('Earth Elemental'!$Z$6/ IF('Earth Elemental'!$X$6&lt; 10.8, Table15[[#This Row],[STR]], Table15[[#This Row],[STR]] / ('Earth Elemental'!$X$6 / 10.8)), 1)</calculatedColumnFormula>
    </tableColumn>
    <tableColumn id="9" xr3:uid="{0F8EE977-D878-48A7-B5D7-63E74E9FF1BC}" name="Wind Elemental" dataDxfId="1613">
      <calculatedColumnFormula>CEILING('Wind Elemental'!$Z$6/ IF('Wind Elemental'!$X$6&lt; 10.8, Table15[[#This Row],[STR]], Table15[[#This Row],[STR]] / ('Wind Elemental'!$X$6 / 10.8)), 1)</calculatedColumnFormula>
    </tableColumn>
    <tableColumn id="14" xr3:uid="{82867212-E318-4E94-849F-BCCE5B831344}" name="Water Elemental" dataDxfId="1612">
      <calculatedColumnFormula>CEILING('Water Elemental'!$Z$6/ IF('Water Elemental'!$X$6&lt; 10.8, Table15[[#This Row],[STR]], Table15[[#This Row],[STR]] / ('Water Elemental'!$X$6 / 10.8)), 1)</calculatedColumnFormula>
    </tableColumn>
    <tableColumn id="10" xr3:uid="{3CD77839-1555-4EDD-92AA-4907CB238FD1}" name="Fire Elemental" dataDxfId="1611">
      <calculatedColumnFormula>CEILING('Fire Elemental'!$Z$4/ IF('Fire Elemental'!$X$4&lt; 10.8, Table15[[#This Row],[STR]], Table15[[#This Row],[STR]] / ('Fire Elemental'!$X$4 / 10.8)), 1)</calculatedColumnFormula>
    </tableColumn>
    <tableColumn id="11" xr3:uid="{C73803EC-D238-41FB-9553-069875C0051F}" name="Wyvern" dataDxfId="1610">
      <calculatedColumnFormula>CEILING(Wyvern!$Z$4/ IF(Wyvern!$X$4&lt; 10.8, Table15[[#This Row],[STR]], Table15[[#This Row],[STR]] / (Wyvern!$X$4 / 10.8)), 1)</calculatedColumnFormula>
    </tableColumn>
    <tableColumn id="12" xr3:uid="{9DBF7326-C931-4D1C-ACA9-5BDFF56EB91A}" name="Evolved Wyvern" dataDxfId="1609">
      <calculatedColumnFormula>CEILING('Evolved Wyvern'!$Z$4/ IF('Evolved Wyvern'!$X$4&lt; 10.8, Table15[[#This Row],[STR]], Table15[[#This Row],[STR]] / ('Evolved Wyvern'!$X$4 / 10.8)), 1)</calculatedColumnFormula>
    </tableColumn>
    <tableColumn id="13" xr3:uid="{75DA5E72-BB7B-4095-95A7-CB286C1BFC19}" name="Dragon" dataDxfId="1608">
      <calculatedColumnFormula>CEILING(Dragon!$Z$4/ IF(Dragon!$X$4&lt; 10.8, Table15[[#This Row],[STR]], Table15[[#This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3EC731B3-B398-4E8E-85D9-FED93B3BB001}" name="Table591098" displayName="Table591098" ref="W2:AF6" totalsRowShown="0" headerRowDxfId="1229" dataDxfId="1228">
  <autoFilter ref="W2:AF6" xr:uid="{1E513D54-2435-4461-8554-041D2549A046}"/>
  <tableColumns count="10">
    <tableColumn id="1" xr3:uid="{D9F340AD-404E-47C3-B42F-69DB501F13B8}" name="LV" dataDxfId="1227"/>
    <tableColumn id="2" xr3:uid="{42A18439-CD58-4781-AB9D-FC724D131E72}" name="HP" dataDxfId="1226"/>
    <tableColumn id="3" xr3:uid="{EEAEAEDA-670E-44F8-BECD-46BC642D0C76}" name="MP" dataDxfId="1225"/>
    <tableColumn id="4" xr3:uid="{1C67DECC-A875-4845-93D9-D6B46573F2FD}" name="DEF" dataDxfId="1224"/>
    <tableColumn id="5" xr3:uid="{9305B487-E240-43A3-9E0A-E3791E17E948}" name="AGI" dataDxfId="1223"/>
    <tableColumn id="6" xr3:uid="{A5D116BF-E0FC-4267-B852-BAD4E302903B}" name="STR" dataDxfId="1222"/>
    <tableColumn id="7" xr3:uid="{2FF0B3FD-B041-49FA-A24B-1DA1C7313DFB}" name="INT" dataDxfId="1221"/>
    <tableColumn id="8" xr3:uid="{EBF398F4-D037-4DF9-8207-62C4DA1436B1}" name="DEX" dataDxfId="1220"/>
    <tableColumn id="9" xr3:uid="{E5E42008-0D06-4DC4-8C69-686B55B6DF8A}" name="XP Given" dataDxfId="1219">
      <calculatedColumnFormula>Table596[[#This Row],[XP Given]]*1.5</calculatedColumnFormula>
    </tableColumn>
    <tableColumn id="10" xr3:uid="{BC280D33-B5EE-4AA6-913E-04660641F388}" name="Gold Given" dataDxfId="1218"/>
  </tableColumns>
  <tableStyleInfo name="TableStyleMedium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2D62ED4-699D-43F7-936B-77F10B1AA0F5}" name="Table712131754102" displayName="Table712131754102" ref="C9:G19" totalsRowShown="0" headerRowDxfId="1217" dataDxfId="1216">
  <autoFilter ref="C9:G19" xr:uid="{2BA3BF9E-9FC1-4CD2-A970-80D78E9971B7}"/>
  <tableColumns count="5">
    <tableColumn id="1" xr3:uid="{54AEB8D2-42A2-48A1-B7FA-A37284C64F44}" name="LV" dataDxfId="1215"/>
    <tableColumn id="2" xr3:uid="{17FDDAAC-DE2A-4D21-8406-FA3596E4FC73}" name="Demon" dataDxfId="1214">
      <calculatedColumnFormula>CEILING(Demon!$B3 / IF(Demon!$D3&lt; 10.8, $F$4, $F$4 / (Demon!$D3 / 10.8)),1)</calculatedColumnFormula>
    </tableColumn>
    <tableColumn id="3" xr3:uid="{737E7554-A230-429D-9602-C511FF04262F}" name="Elf" dataDxfId="1213">
      <calculatedColumnFormula>CEILING(Elf!$B3 / IF(Elf!$D3 &lt; 10.8, $F$4, $F$4 / (Elf!$D3/ 10.8)),1)</calculatedColumnFormula>
    </tableColumn>
    <tableColumn id="4" xr3:uid="{82DCF422-C623-45FB-81C4-9A676148ACAE}" name="Beastgirl" dataDxfId="1212">
      <calculatedColumnFormula>CEILING(Beastgirl!$B3/ IF(Beastgirl!$D3&lt; 10.8,$F$4, $F$4 / (Beastgirl!$D3 / 10.8)),1)</calculatedColumnFormula>
    </tableColumn>
    <tableColumn id="5" xr3:uid="{CE0F21C4-3B44-4DE2-9C5B-5D3CDC9F6AAB}" name="Warrior" dataDxfId="1211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B78555E8-C09A-475E-A6AC-073A9BA5CF4E}" name="Table71213172055103" displayName="Table71213172055103" ref="C22:G32" totalsRowShown="0" headerRowDxfId="1210" dataDxfId="1209">
  <autoFilter ref="C22:G32" xr:uid="{98AC3A04-88D3-49D5-86A3-6770E6F9193E}"/>
  <tableColumns count="5">
    <tableColumn id="1" xr3:uid="{AA05DFC6-49B8-4002-9E17-6A86745D91F4}" name="LV" dataDxfId="1208"/>
    <tableColumn id="2" xr3:uid="{6FE4BFCD-1F11-4CD4-9C10-6C3643E22E1E}" name="Demon" dataDxfId="1207">
      <calculatedColumnFormula>CEILING(Demon!$B3/ IF(Demon!$D3&lt; 10.8, $F$5, $F$5 / (Demon!$D3 / 10.8)),1)</calculatedColumnFormula>
    </tableColumn>
    <tableColumn id="3" xr3:uid="{685F43F2-315E-455C-8413-92893F01CCB7}" name="Elf" dataDxfId="1206">
      <calculatedColumnFormula>CEILING(Elf!$B3 / IF(Elf!$D3 &lt; 10.8, $F$5,$F$5 / (Elf!$D3 / 10.8)),1)</calculatedColumnFormula>
    </tableColumn>
    <tableColumn id="4" xr3:uid="{4FF6E70D-9EA1-46AD-825D-4C66257EACA9}" name="Beastgirl" dataDxfId="1205">
      <calculatedColumnFormula>CEILING(Beastgirl!$B3 / IF(Beastgirl!$D3&lt; 10.8, $F$5, $F$5 / (Beastgirl!$D3 / 10.8)),1)</calculatedColumnFormula>
    </tableColumn>
    <tableColumn id="5" xr3:uid="{BCCEEA06-5C07-4CB0-B0EC-7367A07895BF}" name="Warrior" dataDxfId="1204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470B4F9-8AC2-485E-AE63-9CE2FA98A667}" name="Table71213172256104" displayName="Table71213172256104" ref="N9:R19" totalsRowShown="0" headerRowDxfId="1203" dataDxfId="1202">
  <autoFilter ref="N9:R19" xr:uid="{04865715-4C2F-48DF-B677-B0EDC825ABE6}"/>
  <tableColumns count="5">
    <tableColumn id="1" xr3:uid="{49B00F57-C30F-46B3-9592-2FB296F2E456}" name="LV" dataDxfId="1201"/>
    <tableColumn id="2" xr3:uid="{1DCDDFCD-9710-4FCA-976C-75DC36EC7245}" name="Demon" dataDxfId="1200">
      <calculatedColumnFormula>CEILING(Demon!$B3 / IF(Demon!$D3&lt; 10.8, $Q$4, $Q$4 / (Demon!$D3 / 10.8)),1)</calculatedColumnFormula>
    </tableColumn>
    <tableColumn id="3" xr3:uid="{F893A115-3026-4464-A920-B4EF1F2DB9D2}" name="Elf" dataDxfId="1199">
      <calculatedColumnFormula>CEILING(Elf!$B3 / IF(Elf!$D3 &lt; 10.8, $Q$4, $Q$4 / (Elf!$D3 / 10.8)),1)</calculatedColumnFormula>
    </tableColumn>
    <tableColumn id="4" xr3:uid="{D569F4A4-E7D9-4829-B5DE-F7A7680E6A19}" name="Beastgirl" dataDxfId="1198">
      <calculatedColumnFormula>CEILING(Beastgirl!$B3 / IF(Beastgirl!$D3&lt; 10.8, $Q$4, $Q$4 / (Beastgirl!$D3 / 10.8)),1)</calculatedColumnFormula>
    </tableColumn>
    <tableColumn id="5" xr3:uid="{0858336D-2275-4512-8CFE-216C10E19353}" name="Warrior" dataDxfId="1197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4709A4F2-F58C-4F20-AF12-8EFFFF291875}" name="Table7121317202357105" displayName="Table7121317202357105" ref="N22:R32" totalsRowShown="0" headerRowDxfId="1196" dataDxfId="1195">
  <autoFilter ref="N22:R32" xr:uid="{0F560FD4-F276-46A3-AA2B-FEA626C7B8F0}"/>
  <tableColumns count="5">
    <tableColumn id="1" xr3:uid="{FDB0A102-9829-4087-9B4C-92FFE5AEE347}" name="LV" dataDxfId="1194"/>
    <tableColumn id="2" xr3:uid="{8171524E-B9B8-4DDD-B325-D6025DE54CBD}" name="Demon" dataDxfId="1193">
      <calculatedColumnFormula>CEILING(Demon!$B3 / IF(Demon!$D3&lt; 10.8, $Q$5, $Q$5 / (Demon!$D3/ 10.8)),1)</calculatedColumnFormula>
    </tableColumn>
    <tableColumn id="3" xr3:uid="{09918F77-B7F3-46FB-9BD2-691BFEB7BA30}" name="Elf" dataDxfId="1192">
      <calculatedColumnFormula>CEILING(Elf!$B3/ IF(Elf!$D3 &lt; 10.8, $Q$5, $Q$5 / (Elf!$D3 / 10.8)),1)</calculatedColumnFormula>
    </tableColumn>
    <tableColumn id="4" xr3:uid="{4767F591-44BA-4A51-AA88-C6FF80008357}" name="Beastgirl" dataDxfId="1191">
      <calculatedColumnFormula>CEILING(Beastgirl!$B3 / IF(Beastgirl!$D3&lt; 10.8, $Q$5, $Q$5 / (Beastgirl!$D3 / 10.8)),1)</calculatedColumnFormula>
    </tableColumn>
    <tableColumn id="5" xr3:uid="{35F226CB-DC24-4230-B2AE-AEE6BBF32A4B}" name="Warrior" dataDxfId="1190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3936E8A-15DF-4D7A-95D6-CE8DC56D3F7F}" name="Table7121317222558106" displayName="Table7121317222558106" ref="Y9:AC19" totalsRowShown="0" headerRowDxfId="1189" dataDxfId="1188">
  <autoFilter ref="Y9:AC19" xr:uid="{55758AC3-A8DD-4A48-A5E0-96FE7FD72F58}"/>
  <tableColumns count="5">
    <tableColumn id="1" xr3:uid="{66FCA594-62D3-4225-BDE8-690D8EFABFEA}" name="LV" dataDxfId="1187"/>
    <tableColumn id="2" xr3:uid="{9D06D1F0-6FC7-4B08-A1E2-BB5D73FCE252}" name="Demon" dataDxfId="1186">
      <calculatedColumnFormula>CEILING(Demon!$B3 / IF(Demon!$D3&lt; 10.8, $AB$4, $AB$4 / (Demon!$D3 / 10.8)),1)</calculatedColumnFormula>
    </tableColumn>
    <tableColumn id="3" xr3:uid="{F3E61A62-9B3A-4391-BDB7-5F024E7C4DB3}" name="Elf" dataDxfId="1185">
      <calculatedColumnFormula>CEILING(Elf!$B3 / IF(Elf!$D3&lt; 10.8, $AB$4, $AB$4 / (Elf!$D3 / 10.8)),1)</calculatedColumnFormula>
    </tableColumn>
    <tableColumn id="4" xr3:uid="{7AB8EACF-E229-41F5-8ABA-9840CA8783F1}" name="Beastgirl" dataDxfId="1184">
      <calculatedColumnFormula>CEILING(Beastgirl!$B3 / IF(Beastgirl!$D3&lt; 10.8, $AB$4, $AB$4 / (Beastgirl!$D3 / 10.8)),1)</calculatedColumnFormula>
    </tableColumn>
    <tableColumn id="5" xr3:uid="{DB3162B5-B8C3-41AE-9DD0-482FF41AF903}" name="Warrior" dataDxfId="1183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C00CBB63-60D2-4FAB-BDB4-6D9599B425EF}" name="Table712131720232659107" displayName="Table712131720232659107" ref="Y22:AC32" totalsRowShown="0" headerRowDxfId="1182" dataDxfId="1181">
  <autoFilter ref="Y22:AC32" xr:uid="{C34FFB82-D77E-47E5-9EC2-18618E208C7E}"/>
  <tableColumns count="5">
    <tableColumn id="1" xr3:uid="{16B8CA4D-6AD1-4E8F-8741-ABEA8F4A4029}" name="LV" dataDxfId="1180"/>
    <tableColumn id="2" xr3:uid="{D99E0780-562A-4819-97D0-8BD2492A4116}" name="Demon" dataDxfId="1179">
      <calculatedColumnFormula>CEILING(Demon!$B3 / IF(Demon!$D3&lt; 10.8, $AB$5, $AB$5 / (Demon!$D3 / 10.8)),1)</calculatedColumnFormula>
    </tableColumn>
    <tableColumn id="3" xr3:uid="{2A392F52-94B9-4B79-98B9-06BE6733077F}" name="Elf" dataDxfId="1178">
      <calculatedColumnFormula>CEILING(Elf!$B3 / IF(Elf!$D3 &lt; 10.8, $AB$5, $AB$5 / (Elf!$D3 / 10.8)),1)</calculatedColumnFormula>
    </tableColumn>
    <tableColumn id="4" xr3:uid="{BE225CFF-A25D-4ACC-992F-7AF7F29F36FB}" name="Beastgirl" dataDxfId="1177">
      <calculatedColumnFormula>CEILING(Beastgirl!$B3 / IF(Beastgirl!$D3&lt; 10.8, $AB$5, $AB$5 / (Beastgirl!$D3 / 10.8)),1)</calculatedColumnFormula>
    </tableColumn>
    <tableColumn id="5" xr3:uid="{8EC64561-F8AE-4305-B87D-1B06BF9EB52D}" name="Warrior" dataDxfId="1176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DA0C5083-BF7A-4470-8AF6-01FCFCEDCC24}" name="Table71213172055103108" displayName="Table71213172055103108" ref="C35:G45" totalsRowShown="0" headerRowDxfId="1175" dataDxfId="1174">
  <autoFilter ref="C35:G45" xr:uid="{99349E94-FF8B-4116-8351-401F3B3AF770}"/>
  <tableColumns count="5">
    <tableColumn id="1" xr3:uid="{8A1DB1A8-D98A-4D27-A583-1EB40AF3130B}" name="LV" dataDxfId="1173"/>
    <tableColumn id="2" xr3:uid="{65FE918E-60BE-4037-9563-1DADE830A23D}" name="Demon" dataDxfId="1172">
      <calculatedColumnFormula>CEILING(Demon!$B3/ IF(Demon!$D3&lt; 10.8, $F$6, $F$6 / (Demon!$D3 / 10.8)),1)</calculatedColumnFormula>
    </tableColumn>
    <tableColumn id="3" xr3:uid="{4FD48122-D40B-4715-BD77-0EA25A172F10}" name="Elf" dataDxfId="1171">
      <calculatedColumnFormula>CEILING(Elf!$B3 / IF(Elf!$D3&lt; 10.8, $F$6,$F$6 / (Elf!$D3 / 10.8)),1)</calculatedColumnFormula>
    </tableColumn>
    <tableColumn id="4" xr3:uid="{B9A76DA1-4B2F-4D55-8273-4FC242ED59B2}" name="Beastgirl" dataDxfId="1170">
      <calculatedColumnFormula>CEILING(Beastgirl!$B3/ IF(Beastgirl!$D3&lt; 10.8, $F$6, $F$6 / (Beastgirl!$D3/ 10.8)),1)</calculatedColumnFormula>
    </tableColumn>
    <tableColumn id="5" xr3:uid="{2597A9F8-F091-47DA-A5DF-D849CFFE16E4}" name="Warrior" dataDxfId="1169">
      <calculatedColumnFormula>CEILING(Warrior!$B3 / IF(Warrior!$D3&lt; 10.8, $F$6, $F$6 / (Warrior!$D3 / 10.8)),1)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F1B2545C-0D75-46B4-A613-DBB7E5869B2E}" name="Table7121317202357105109" displayName="Table7121317202357105109" ref="N35:R45" totalsRowShown="0" headerRowDxfId="1168" dataDxfId="1167">
  <autoFilter ref="N35:R45" xr:uid="{3A18F3D8-8ADA-441C-A3D2-7342944AF573}"/>
  <tableColumns count="5">
    <tableColumn id="1" xr3:uid="{B96FDB00-86E0-4D00-9807-1DEC9B20A74C}" name="LV" dataDxfId="1166"/>
    <tableColumn id="2" xr3:uid="{BC7EC1E4-0406-45A5-88B5-EA8F6B585F55}" name="Demon" dataDxfId="1165">
      <calculatedColumnFormula>CEILING(Demon!$B3 / IF(Demon!$D3&lt; 10.8, $Q$6, $Q$6 / (Demon!$D3/ 10.8)),1)</calculatedColumnFormula>
    </tableColumn>
    <tableColumn id="3" xr3:uid="{AE5E9A42-8E6F-4DB1-8B5A-2D43402E9F45}" name="Elf" dataDxfId="1164">
      <calculatedColumnFormula>CEILING(Elf!$B3/ IF(Elf!$D3 &lt; 10.8, $Q$6, $Q$6 / (Elf!$D3 / 10.8)),1)</calculatedColumnFormula>
    </tableColumn>
    <tableColumn id="4" xr3:uid="{A9A8E07D-168D-4260-ABDB-24B5E594F54B}" name="Beastgirl" dataDxfId="1163">
      <calculatedColumnFormula>CEILING(Beastgirl!$B3/ IF(Beastgirl!$D3&lt; 10.8, $Q$6, $Q$6 / (Beastgirl!$D3 / 10.8)),1)</calculatedColumnFormula>
    </tableColumn>
    <tableColumn id="5" xr3:uid="{26A9F24F-6CE4-4668-96F7-5B89F2E3F2B0}" name="Warrior" dataDxfId="1162">
      <calculatedColumnFormula>CEILING(Warrior!$B3 / IF(Warrior!$D3&lt; 10.8, $Q$6, $Q$6 / (Warrior!$D3 / 10.8)),1)</calculatedColumn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61B6493-B3E3-4385-8F86-1FC445FF79CF}" name="Table712131720232659107110" displayName="Table712131720232659107110" ref="Y35:AC45" totalsRowShown="0" headerRowDxfId="1161" dataDxfId="1160">
  <autoFilter ref="Y35:AC45" xr:uid="{671F0900-AB1F-4EB3-83C1-2CC8116FB8BF}"/>
  <tableColumns count="5">
    <tableColumn id="1" xr3:uid="{30387687-FBAF-46B3-9E66-BDCD80C0B00D}" name="LV" dataDxfId="1159"/>
    <tableColumn id="2" xr3:uid="{C73B395E-F7B4-456D-9A80-1BBED0108D7F}" name="Demon" dataDxfId="1158">
      <calculatedColumnFormula>CEILING(Demon!$B3 / IF(Demon!$D3&lt; 10.8, $AB$6, $AB$6 / (Demon!$D3 / 10.8)),1)</calculatedColumnFormula>
    </tableColumn>
    <tableColumn id="3" xr3:uid="{7F49BF50-6204-414A-8FDF-45E2B4477B26}" name="Elf" dataDxfId="1157">
      <calculatedColumnFormula>CEILING(Elf!$B3 / IF(Elf!$D3 &lt; 10.8, $AB$6, $AB$6 / (Elf!$D3 / 10.8)),1)</calculatedColumnFormula>
    </tableColumn>
    <tableColumn id="4" xr3:uid="{6264E1B8-2117-4DBE-842A-F18540CC4434}" name="Beastgirl" dataDxfId="1156">
      <calculatedColumnFormula>CEILING(Beastgirl!$B4 / IF(Beastgirl!$D4&lt; 10.8, $AB$6, $AB$6 / (Beastgirl!$D4 / 10.8)),1)</calculatedColumnFormula>
    </tableColumn>
    <tableColumn id="5" xr3:uid="{20AA452D-32D4-436E-8FE4-9337195438D6}" name="Warrior" dataDxfId="1155">
      <calculatedColumnFormula>CEILING(Warrior!$B4 / IF(Warrior!$D4&lt; 10.8, $AB$6, $AB$6 / (Warrior!$D4 / 10.8)),1)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7F263D-0F48-4FA3-8692-124AD7945E14}" name="Table14" displayName="Table14" ref="A1:I52" totalsRowShown="0" headerRowDxfId="1607" dataDxfId="1606">
  <autoFilter ref="A1:I52" xr:uid="{4FA2909B-B6D7-4033-AAE5-70918EEF969E}"/>
  <tableColumns count="9">
    <tableColumn id="1" xr3:uid="{271E5779-1110-49B5-8A49-BC3D592FA408}" name="Level" dataDxfId="1605"/>
    <tableColumn id="2" xr3:uid="{6D52DB8A-2BD5-4B6D-86B0-52F4DEDE37A0}" name="HP" dataDxfId="1604"/>
    <tableColumn id="3" xr3:uid="{4D2BDB4F-AAD6-4245-9899-A0769008047A}" name="MP" dataDxfId="1603">
      <calculatedColumnFormula xml:space="preserve"> 2*Table14[[#This Row],[INT]]</calculatedColumnFormula>
    </tableColumn>
    <tableColumn id="4" xr3:uid="{89B124CB-86D2-43EE-B1ED-C89AA7BB24BF}" name="DEF" dataDxfId="1602"/>
    <tableColumn id="5" xr3:uid="{2F433CDD-DC01-4696-89ED-F9EE6063C2D0}" name="AGI" dataDxfId="1601"/>
    <tableColumn id="6" xr3:uid="{E609921F-5A8A-45E2-A918-9E736E1FBEF3}" name="STR" dataDxfId="1600"/>
    <tableColumn id="7" xr3:uid="{D2377E1A-7943-41ED-9E08-7AD58E395592}" name="INT" dataDxfId="1599"/>
    <tableColumn id="8" xr3:uid="{79674DC3-FCB7-4356-9BA0-596C462CE743}" name="DEX" dataDxfId="1598"/>
    <tableColumn id="9" xr3:uid="{64730F7A-F1A9-41E9-9127-B90BA3F50462}" name="XP needed to level up" dataDxfId="1597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E1CB0DE-1291-4641-8749-951BEFB70401}" name="Table584111" displayName="Table584111" ref="A2:J5" totalsRowShown="0" headerRowDxfId="1154" dataDxfId="1153">
  <autoFilter ref="A2:J5" xr:uid="{F0D0A050-923B-4916-AB95-897364FB8FCE}"/>
  <tableColumns count="10">
    <tableColumn id="1" xr3:uid="{3F76250A-D8F4-40B3-A7D3-CD803E70FA32}" name="LV" dataDxfId="1152"/>
    <tableColumn id="2" xr3:uid="{6DFF8748-0FDE-4AE6-8277-06FFE35B2F11}" name="HP" dataDxfId="1151"/>
    <tableColumn id="3" xr3:uid="{31D941FF-F004-4FC2-BCD8-1D25CDA403DE}" name="MP" dataDxfId="1150"/>
    <tableColumn id="4" xr3:uid="{A81865CA-7DD2-4EA2-9240-3B7618884F16}" name="DEF" dataDxfId="1149"/>
    <tableColumn id="5" xr3:uid="{50B6491A-F12D-42A6-AF44-DDF87EE0AE8C}" name="AGI" dataDxfId="1148"/>
    <tableColumn id="6" xr3:uid="{A463B31D-D9DD-4C01-B5FB-0EB3E46E2D8D}" name="STR" dataDxfId="1147"/>
    <tableColumn id="7" xr3:uid="{C59579BC-090C-4BF1-AFBB-302C4ECFFCF0}" name="INT" dataDxfId="1146"/>
    <tableColumn id="8" xr3:uid="{C0D0D10E-C9F5-4D9E-B6BB-8D81CD424B04}" name="DEX" dataDxfId="1145"/>
    <tableColumn id="9" xr3:uid="{9E78569A-8E75-4C60-993A-02404E74F87B}" name="XP Given" dataDxfId="1144">
      <calculatedColumnFormula>AVERAGE(Warrior!I10:I11)/25 * 75/100</calculatedColumnFormula>
    </tableColumn>
    <tableColumn id="10" xr3:uid="{BC1BB30D-A91D-4547-9D22-C97C2C084FEF}" name="Gold Given" dataDxfId="114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18E7C78-0782-4A2D-ADB2-9AD930F25057}" name="Table5985112" displayName="Table5985112" ref="L2:U5" totalsRowShown="0" headerRowDxfId="1142" dataDxfId="1141">
  <autoFilter ref="L2:U5" xr:uid="{90EBD1A6-FBC8-4A24-86F2-C760B184BF9C}"/>
  <tableColumns count="10">
    <tableColumn id="1" xr3:uid="{17610004-32E7-4C20-B8B2-B59870631A22}" name="LV" dataDxfId="1140"/>
    <tableColumn id="2" xr3:uid="{89656917-BB59-42DF-9B08-EE0A333E86F6}" name="HP" dataDxfId="1139"/>
    <tableColumn id="3" xr3:uid="{2C109C20-ABC2-4B33-A00E-FC7327B2C5CE}" name="MP" dataDxfId="1138"/>
    <tableColumn id="4" xr3:uid="{F05965DA-DBAD-497E-A608-7063B42DC109}" name="DEF" dataDxfId="1137"/>
    <tableColumn id="5" xr3:uid="{54F9BF6D-0387-4B48-B505-F50852813147}" name="AGI" dataDxfId="1136"/>
    <tableColumn id="6" xr3:uid="{482C6D5D-3E3B-4756-9225-9617AAE40472}" name="STR" dataDxfId="1135"/>
    <tableColumn id="7" xr3:uid="{F0500D11-E781-4315-A6AE-B2B61BE2F0D2}" name="INT" dataDxfId="1134"/>
    <tableColumn id="8" xr3:uid="{45A01E52-8A6A-42E1-B1ED-DE0E0EFF57B7}" name="DEX" dataDxfId="1133"/>
    <tableColumn id="9" xr3:uid="{A0BED1ED-04FD-4ED2-9CB7-C64916001B60}" name="XP Given" dataDxfId="1132">
      <calculatedColumnFormula>Table584111[[#This Row],[XP Given]] * 1.25</calculatedColumnFormula>
    </tableColumn>
    <tableColumn id="10" xr3:uid="{D1021B7B-A94B-419A-A0D7-EF8B5221AEA1}" name="Gold Given" dataDxfId="1131">
      <calculatedColumnFormula>Table584111[[#This Row],[Gold Given]] * 1.5</calculatedColumnFormula>
    </tableColumn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9F251375-5D94-4433-A4AB-2003ED800185}" name="Table591086113" displayName="Table591086113" ref="W2:AF5" totalsRowShown="0" headerRowDxfId="1130" dataDxfId="1129">
  <autoFilter ref="W2:AF5" xr:uid="{F18C4589-A53A-449E-A7FE-5D1758B81410}"/>
  <tableColumns count="10">
    <tableColumn id="1" xr3:uid="{6604B204-EC31-457A-863C-02234FCC2443}" name="LV" dataDxfId="1128"/>
    <tableColumn id="2" xr3:uid="{7501D4C7-1FA9-4E8B-8C67-32A5C6E36E88}" name="HP" dataDxfId="1127"/>
    <tableColumn id="3" xr3:uid="{E40EF65A-D9C8-4C2B-88E1-2C770B609FB9}" name="MP" dataDxfId="1126"/>
    <tableColumn id="4" xr3:uid="{836D5B5F-4262-40F2-BF86-0D0645342495}" name="DEF" dataDxfId="1125"/>
    <tableColumn id="5" xr3:uid="{CCA8D5B7-6B6F-47C6-B1D0-2F9625A493E7}" name="AGI" dataDxfId="1124"/>
    <tableColumn id="6" xr3:uid="{29E009F7-4EB3-4901-B604-4F259EE8C9C8}" name="STR" dataDxfId="1123"/>
    <tableColumn id="7" xr3:uid="{C9E7D828-2039-437A-A356-B8DED120FCCD}" name="INT" dataDxfId="1122"/>
    <tableColumn id="8" xr3:uid="{AE66563B-E13C-49F0-9810-A11CD346CEC7}" name="DEX" dataDxfId="1121"/>
    <tableColumn id="9" xr3:uid="{B71C2A46-FE5D-430D-BA27-8E6040AA01E8}" name="XP Given" dataDxfId="1120">
      <calculatedColumnFormula>Table584111[[#This Row],[XP Given]] * 1.5</calculatedColumnFormula>
    </tableColumn>
    <tableColumn id="10" xr3:uid="{E6780247-3B61-4602-B5D7-0D5154B14B26}" name="Gold Given" dataDxfId="1119">
      <calculatedColumnFormula>Table584111[[#This Row],[Gold Given]] * 1.5</calculatedColumnFormula>
    </tableColumn>
  </tableColumns>
  <tableStyleInfo name="TableStyleMedium10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D402AEE1-F857-49B6-9929-B3632D53606F}" name="Table71213175490114" displayName="Table71213175490114" ref="C8:G18" totalsRowShown="0" headerRowDxfId="1118" dataDxfId="1117">
  <autoFilter ref="C8:G18" xr:uid="{0E5A806A-E9D0-48E3-97A9-1CC2B1ACD1B1}"/>
  <tableColumns count="5">
    <tableColumn id="1" xr3:uid="{69684C6E-15DA-4616-B992-A4641F36F114}" name="LV" dataDxfId="1116"/>
    <tableColumn id="2" xr3:uid="{CDD74205-1421-4902-B411-1E17003940EA}" name="Demon" dataDxfId="1115">
      <calculatedColumnFormula>CEILING(Demon!$B3 / IF(Demon!$D3&lt; 10.8, $F$4, $F$4 / (Demon!$D3 / 10.8)),1)</calculatedColumnFormula>
    </tableColumn>
    <tableColumn id="3" xr3:uid="{4BA1BD76-1344-41F7-9A53-B738BB490B9D}" name="Elf" dataDxfId="1114">
      <calculatedColumnFormula>CEILING(Elf!$B3 / IF(Elf!$D3 &lt; 10.8, $F$4, $F$4 / (Elf!$D3 / 10.8)),1)</calculatedColumnFormula>
    </tableColumn>
    <tableColumn id="4" xr3:uid="{1ED6615F-8D73-4BE5-9F72-C39AE344C367}" name="Beastgirl" dataDxfId="1113">
      <calculatedColumnFormula>CEILING(Beastgirl!$B3/ IF(Beastgirl!$D3&lt; 10.8,$F$4, $F$4 / (Beastgirl!$D3 / 10.8)),1)</calculatedColumnFormula>
    </tableColumn>
    <tableColumn id="5" xr3:uid="{9BA2D7DE-6164-46BB-9132-3AF979D103AA}" name="Warrior" dataDxfId="1112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2603FFF6-D493-4CD6-B99A-C839F3E8C7AD}" name="Table7121317205591115" displayName="Table7121317205591115" ref="C21:G31" totalsRowShown="0" headerRowDxfId="1111" dataDxfId="1110">
  <autoFilter ref="C21:G31" xr:uid="{663D008D-795B-42C4-BE23-1E5758657D58}"/>
  <tableColumns count="5">
    <tableColumn id="1" xr3:uid="{F0EC3989-9F5A-42D2-BA69-F502D2C7D931}" name="LV" dataDxfId="1109"/>
    <tableColumn id="2" xr3:uid="{235E8264-F1D5-41E2-BA76-5598D4FEE330}" name="Demon" dataDxfId="1108">
      <calculatedColumnFormula>CEILING(Demon!$B3/ IF(Demon!$D3&lt; 10.8, $F$5, $F$5 / (Demon!$D3 / 10.8)),1)</calculatedColumnFormula>
    </tableColumn>
    <tableColumn id="3" xr3:uid="{3A192441-9C21-46C0-BEE4-31CC165C9F7D}" name="Elf" dataDxfId="1107">
      <calculatedColumnFormula>CEILING(Elf!$B3 / IF(Elf!$D3 &lt; 10.8, $F$5,$F$5 / (Elf!$D3 / 10.8)),1)</calculatedColumnFormula>
    </tableColumn>
    <tableColumn id="4" xr3:uid="{C4BD988B-BC58-476E-8AC8-39E453C9C44C}" name="Beastgirl" dataDxfId="1106">
      <calculatedColumnFormula>CEILING(Beastgirl!$B3 / IF(Beastgirl!$D3&lt; 10.8, $F$5, $F$5 / (Beastgirl!$D3 / 10.8)),1)</calculatedColumnFormula>
    </tableColumn>
    <tableColumn id="5" xr3:uid="{5C66DC0D-04A4-4F8C-8F41-9FF4D6C075E2}" name="Warrior" dataDxfId="1105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DE15B7C-733C-4F86-A14F-104508A7809E}" name="Table7121317225692116" displayName="Table7121317225692116" ref="N8:R18" totalsRowShown="0" headerRowDxfId="1104" dataDxfId="1103">
  <autoFilter ref="N8:R18" xr:uid="{CC4C70F0-05B3-4634-8176-1C87DAC53DF5}"/>
  <tableColumns count="5">
    <tableColumn id="1" xr3:uid="{652B1CFE-EE9A-4330-80FA-3BA2F91274D9}" name="LV" dataDxfId="1102"/>
    <tableColumn id="2" xr3:uid="{C79AEA58-1219-40F4-93EF-F2A3DD378570}" name="Demon" dataDxfId="1101">
      <calculatedColumnFormula>CEILING(Demon!$B3 / IF(Demon!$D3&lt; 10.8, $Q$4, $Q$4 / (Demon!$D3 / 10.8)),1)</calculatedColumnFormula>
    </tableColumn>
    <tableColumn id="3" xr3:uid="{DE9DF28C-B973-4B39-9E2C-D1E940F9ED14}" name="Elf" dataDxfId="1100">
      <calculatedColumnFormula>CEILING(Elf!$B3 / IF(Elf!$D3 &lt; 10.8, $Q$4, $Q$4 / (Elf!$D3 / 10.8)),1)</calculatedColumnFormula>
    </tableColumn>
    <tableColumn id="4" xr3:uid="{40CE6168-5CC3-4DAA-8F27-00961F97E6A1}" name="Beastgirl" dataDxfId="1099">
      <calculatedColumnFormula>CEILING(Beastgirl!$B3 / IF(Beastgirl!$D3&lt; 10.8, $Q$4, $Q$4 / (Beastgirl!$D3 / 10.8)),1)</calculatedColumnFormula>
    </tableColumn>
    <tableColumn id="5" xr3:uid="{6818E1BF-F226-4007-B82E-B9A146A700C3}" name="Warrior" dataDxfId="1098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4021E657-20C4-4226-8FEE-3A2E06CC1287}" name="Table712131720235793117" displayName="Table712131720235793117" ref="N21:R31" totalsRowShown="0" headerRowDxfId="1097" dataDxfId="1096">
  <autoFilter ref="N21:R31" xr:uid="{440CE8F1-7831-485A-B4ED-F7DD9A93FBB4}"/>
  <tableColumns count="5">
    <tableColumn id="1" xr3:uid="{7DB3C812-9CDF-4A85-A20E-0DAAF39ECDBB}" name="LV" dataDxfId="1095"/>
    <tableColumn id="2" xr3:uid="{06705453-954A-40E6-A7DD-EF649EE6E8A8}" name="Demon" dataDxfId="1094">
      <calculatedColumnFormula>CEILING(Demon!$B3/ IF(Demon!$D3&lt; 10.8, $Q$5, $Q$5 / (Demon!$D3 / 10.8)),1)</calculatedColumnFormula>
    </tableColumn>
    <tableColumn id="3" xr3:uid="{A766D555-B340-45ED-A114-C0B0A648AC7C}" name="Elf" dataDxfId="1093">
      <calculatedColumnFormula>CEILING(Elf!$B3 / IF(Elf!$D3 &lt; 10.8, $Q$5, $Q$5 / (Elf!$D3 / 10.8)),1)</calculatedColumnFormula>
    </tableColumn>
    <tableColumn id="4" xr3:uid="{A3F505B3-C145-4866-9581-24594BAE40DC}" name="Beastgirl" dataDxfId="1092">
      <calculatedColumnFormula>CEILING(Beastgirl!$B3 / IF(Beastgirl!$D3&lt; 10.8, $Q$5, $Q$5 / (Beastgirl!$D3 / 10.8)),1)</calculatedColumnFormula>
    </tableColumn>
    <tableColumn id="5" xr3:uid="{5AD01438-3E8E-4E0C-9D1E-C58E6F43DDE6}" name="Warrior" dataDxfId="1091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163AEA5D-CED6-4E04-84B4-81F656855C45}" name="Table712131722255894118" displayName="Table712131722255894118" ref="Y8:AC18" totalsRowShown="0" headerRowDxfId="1090" dataDxfId="1089">
  <autoFilter ref="Y8:AC18" xr:uid="{AADAA396-404D-4703-97CB-59AA04D368B6}"/>
  <tableColumns count="5">
    <tableColumn id="1" xr3:uid="{E8F7EA16-6318-4330-BED5-3753180AAF5E}" name="LV" dataDxfId="1088"/>
    <tableColumn id="2" xr3:uid="{54532DD6-6F5A-4476-A542-58433316CC61}" name="Demon" dataDxfId="1087">
      <calculatedColumnFormula>CEILING(Demon!$B3 / IF(Demon!$D3&lt; 10.8, $AB$4, $AB$4 / (Demon!$D3 / 10.8)),1)</calculatedColumnFormula>
    </tableColumn>
    <tableColumn id="3" xr3:uid="{6DB808FA-3D01-4090-832E-0D7B01DDFD91}" name="Elf" dataDxfId="1086">
      <calculatedColumnFormula>CEILING(Elf!$B3 / IF(Elf!$D3 &lt; 10.8, $AB$4, $AB$4 / (Elf!$D3 / 10.8)),1)</calculatedColumnFormula>
    </tableColumn>
    <tableColumn id="4" xr3:uid="{A6BEFCA0-86DF-4237-8B3C-2521ECC436A5}" name="Beastgirl" dataDxfId="1085">
      <calculatedColumnFormula>CEILING(Beastgirl!$B3/ IF(Beastgirl!$D3&lt; 10.8, $AB$4, $AB$4 / (Beastgirl!$D3 / 10.8)),1)</calculatedColumnFormula>
    </tableColumn>
    <tableColumn id="5" xr3:uid="{13FD5D87-008D-4030-BDFE-DA92091E285A}" name="Warrior" dataDxfId="1084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23A07544-8C56-4FDB-8B82-6C7B5C98363B}" name="Table71213172023265995119" displayName="Table71213172023265995119" ref="Y21:AC31" totalsRowShown="0" headerRowDxfId="1083" dataDxfId="1082">
  <autoFilter ref="Y21:AC31" xr:uid="{4E3EE1FC-3C5C-412B-9ABE-45BC5EC62B4D}"/>
  <tableColumns count="5">
    <tableColumn id="1" xr3:uid="{C52F39E0-DA82-4060-B1C1-86700CF48F4C}" name="LV" dataDxfId="1081"/>
    <tableColumn id="2" xr3:uid="{F6DBA690-8F9C-44E3-8A51-A0CEF49E04FD}" name="Demon" dataDxfId="1080">
      <calculatedColumnFormula>CEILING(Demon!$B3 / IF(Demon!$D3&lt; 10.8, $AB$5, $AB$5 / (Demon!$D3 / 10.8)),1)</calculatedColumnFormula>
    </tableColumn>
    <tableColumn id="3" xr3:uid="{8BA34790-2677-46DE-906E-96CB31F4B371}" name="Elf" dataDxfId="1079">
      <calculatedColumnFormula>CEILING(Elf!$B3/ IF(Elf!$D3 &lt; 10.8, $AB$5, $AB$5 / (Elf!$D3 / 10.8)),1)</calculatedColumnFormula>
    </tableColumn>
    <tableColumn id="4" xr3:uid="{4D8BBB3D-D55D-4E9F-9EFD-7688A514297D}" name="Beastgirl" dataDxfId="1078">
      <calculatedColumnFormula>CEILING(Beastgirl!$B3 / IF(Beastgirl!$D3&lt; 10.8, $AB$5, $AB$5 / (Beastgirl!$D3 / 10.8)),1)</calculatedColumnFormula>
    </tableColumn>
    <tableColumn id="5" xr3:uid="{55E33126-88D8-4889-AA87-E77A5C30D9BE}" name="Warrior" dataDxfId="1077">
      <calculatedColumnFormula>CEILING(Warrior!$B3/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548B6661-8C24-42F0-913B-7CDBCAFF769D}" name="Table596120" displayName="Table596120" ref="A2:J7" totalsRowShown="0" headerRowDxfId="1076" dataDxfId="1075">
  <autoFilter ref="A2:J7" xr:uid="{4DA6B726-77EE-43F5-8974-13B89275FD1F}"/>
  <tableColumns count="10">
    <tableColumn id="1" xr3:uid="{0FA22593-57F1-4CB9-BFE5-957CAD6CFCFE}" name="LV" dataDxfId="1074"/>
    <tableColumn id="2" xr3:uid="{04A4308E-C6DB-4838-AD08-8BB666C31F15}" name="HP" dataDxfId="1073"/>
    <tableColumn id="3" xr3:uid="{BD87F1BF-6D7A-4BC9-A9D0-943109EF1483}" name="MP" dataDxfId="1072"/>
    <tableColumn id="4" xr3:uid="{531BB505-DF2B-4EBD-9196-F78854488D3B}" name="DEF" dataDxfId="1071"/>
    <tableColumn id="5" xr3:uid="{AEDDB3F5-D1DE-4646-B28D-D027EC9B92D0}" name="AGI" dataDxfId="1070"/>
    <tableColumn id="6" xr3:uid="{1F63767F-DC6E-4529-A686-85766385E9FA}" name="STR" dataDxfId="1069"/>
    <tableColumn id="7" xr3:uid="{E82A54F7-1354-4398-82C5-B977A95DDBA7}" name="INT" dataDxfId="1068"/>
    <tableColumn id="8" xr3:uid="{A6E65E23-D1F0-4C8E-BC6C-92916650B85C}" name="DEX" dataDxfId="1067"/>
    <tableColumn id="9" xr3:uid="{EA57DDFB-CC15-455F-8F95-ECF48D6F5AC0}" name="XP Given" dataDxfId="1066">
      <calculatedColumnFormula>AVERAGE(Warrior!I12:I15)/50 * 75/100</calculatedColumnFormula>
    </tableColumn>
    <tableColumn id="10" xr3:uid="{1C033D29-ABD5-4259-8EFC-0F03B24BB2E6}" name="Gold Given" dataDxfId="10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C65D90-BFAF-4ADF-B02E-68C220B5075D}" name="Table387" displayName="Table387" ref="K2:X52" totalsRowShown="0" headerRowDxfId="1596" dataDxfId="1595">
  <autoFilter ref="K2:X52" xr:uid="{26C4F1E8-AC94-4AA9-A298-45F2AD462C59}"/>
  <tableColumns count="14">
    <tableColumn id="1" xr3:uid="{4F004F36-DD5A-4AD4-8407-A8A100A722FF}" name="Blue Slime" dataDxfId="1594">
      <calculatedColumnFormula>CEILING('Blue Slime'!$B$5/ IF('Blue Slime'!$D$5&lt; 10.8, Table14[[#This Row],[STR]], Table14[[#This Row],[STR]] / ('Blue Slime'!$D$5 / 10.8)), 1)</calculatedColumnFormula>
    </tableColumn>
    <tableColumn id="2" xr3:uid="{F37A3C62-ECDF-40E1-AB27-93E5FF90513E}" name="Green Slime" dataDxfId="1593">
      <calculatedColumnFormula>CEILING('Green Slime'!$B$5/ IF('Green Slime'!$D$5&lt; 10.8, Table14[[#This Row],[STR]], Table14[[#This Row],[STR]] / ('Green Slime'!$D$5 / 10.8)), 1)</calculatedColumnFormula>
    </tableColumn>
    <tableColumn id="3" xr3:uid="{D6BB6CFA-89CE-4B03-8FAB-CF36F0E9A046}" name="Wolf" dataDxfId="1592">
      <calculatedColumnFormula>CEILING(Wolf!$B$6/ IF(Wolf!$D$6&lt; 10.8, Table14[[#This Row],[STR]], Table14[[#This Row],[STR]] / (Wolf!$D$6 / 10.8)), 1)</calculatedColumnFormula>
    </tableColumn>
    <tableColumn id="4" xr3:uid="{FEF665B8-1F3A-4140-992B-6E15018ADEE7}" name="Horned Wolf" dataDxfId="1591">
      <calculatedColumnFormula>CEILING('Horned Wolf'!$B$5/ IF('Horned Wolf'!$D$5&lt; 10.8, Table14[[#This Row],[STR]], Table14[[#This Row],[STR]] / ('Horned Wolf'!$D$5 / 10.8)), 1)</calculatedColumnFormula>
    </tableColumn>
    <tableColumn id="5" xr3:uid="{94A6807F-97B9-4FB2-A12F-CCA6BC6458B8}" name="Spider" dataDxfId="1590">
      <calculatedColumnFormula>CEILING(Spider!$B$7/ IF(Spider!$D$7&lt; 10.8, Table14[[#This Row],[STR]], Table14[[#This Row],[STR]] / (Spider!$D$7 / 10.8)), 1)</calculatedColumnFormula>
    </tableColumn>
    <tableColumn id="6" xr3:uid="{B6D9EA53-422D-4655-B8E7-5524361A5ABF}" name="Evolved Spider" dataDxfId="1589">
      <calculatedColumnFormula>CEILING('Evolved Spider'!$B$8/ IF('Evolved Spider'!$D$8&lt; 10.8, Table14[[#This Row],[STR]], Table14[[#This Row],[STR]] / ('Evolved Spider'!$D$8 / 10.8)), 1)</calculatedColumnFormula>
    </tableColumn>
    <tableColumn id="7" xr3:uid="{2EFEF25D-7A49-4C59-998C-FB8668D9FE00}" name="Arachne" dataDxfId="1588">
      <calculatedColumnFormula>CEILING(Arachne!$B$4/ IF(Arachne!$D$4&lt; 10.8, Table14[[#This Row],[STR]], Table14[[#This Row],[STR]] / (Arachne!$D$4 / 10.8)), 1)</calculatedColumnFormula>
    </tableColumn>
    <tableColumn id="8" xr3:uid="{186EEEA6-CBB6-452B-977E-5076F962A741}" name="Earth Elemental" dataDxfId="1587">
      <calculatedColumnFormula>CEILING('Earth Elemental'!$B$6/ IF('Earth Elemental'!$D$6&lt; 10.8, Table14[[#This Row],[STR]], Table14[[#This Row],[STR]] / ('Earth Elemental'!$D$6 / 10.8)), 1)</calculatedColumnFormula>
    </tableColumn>
    <tableColumn id="9" xr3:uid="{9D8D2CC1-70EB-43C7-A371-3DD0688DEEB5}" name="Wind Elemental" dataDxfId="1586">
      <calculatedColumnFormula>CEILING('Wind Elemental'!$B$6/ IF('Wind Elemental'!$D$6&lt; 10.8, Table14[[#This Row],[STR]], Table14[[#This Row],[STR]] / ('Wind Elemental'!$D$6 / 10.8)), 1)</calculatedColumnFormula>
    </tableColumn>
    <tableColumn id="14" xr3:uid="{D2226C52-3C01-49DA-BF24-E98177DC59D0}" name="Water Elemental" dataDxfId="1585">
      <calculatedColumnFormula>CEILING('Water Elemental'!$B$6/ IF('Water Elemental'!$D$6&lt; 10.8, Table14[[#This Row],[STR]], Table14[[#This Row],[STR]] / ('Water Elemental'!$D$6 / 10.8)), 1)</calculatedColumnFormula>
    </tableColumn>
    <tableColumn id="10" xr3:uid="{EF6F3779-5E8C-47C8-8AC3-6E4182159370}" name="Fire Elemental" dataDxfId="1584">
      <calculatedColumnFormula>CEILING('Fire Elemental'!$B$4/ IF('Fire Elemental'!$D$4&lt; 10.8, Table14[[#This Row],[STR]], Table14[[#This Row],[STR]] / ('Fire Elemental'!$D$4 / 10.8)), 1)</calculatedColumnFormula>
    </tableColumn>
    <tableColumn id="11" xr3:uid="{943909B9-1D73-4672-8CA3-D7DEBB156BB4}" name="Wyvern" dataDxfId="1583">
      <calculatedColumnFormula>CEILING(Wyvern!$B$4/ IF(Wyvern!$D$4&lt; 10.8, Table14[[#This Row],[STR]], Table14[[#This Row],[STR]] / (Wyvern!$D$4 / 10.8)), 1)</calculatedColumnFormula>
    </tableColumn>
    <tableColumn id="12" xr3:uid="{B0AD8E2F-CDA3-450B-B5A5-A7F0855E4F23}" name="Evolved Wyvern" dataDxfId="1582">
      <calculatedColumnFormula>CEILING('Evolved Wyvern'!$B$4/ IF('Evolved Wyvern'!$D$4&lt; 10.8, Table14[[#This Row],[STR]], Table14[[#This Row],[STR]] / ('Evolved Wyvern'!$D$4 / 10.8)), 1)</calculatedColumnFormula>
    </tableColumn>
    <tableColumn id="13" xr3:uid="{DC3D2571-0654-408B-9BD7-1BAE9CB0FAA5}" name="Dragon" dataDxfId="1581">
      <calculatedColumnFormula>CEILING(Dragon!$B$4/ IF(Dragon!$D$4&lt; 10.8, Table14[[#This Row],[STR]], Table14[[#This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20D3125B-3631-4953-A2D0-B3E4D643971F}" name="Table5997121" displayName="Table5997121" ref="L2:U7" totalsRowShown="0" headerRowDxfId="1064" dataDxfId="1063">
  <autoFilter ref="L2:U7" xr:uid="{0C249FBB-459B-4246-B3E7-06ED15D03401}"/>
  <tableColumns count="10">
    <tableColumn id="1" xr3:uid="{DB85678B-3A05-48DC-A997-A0C26384A5F4}" name="LV" dataDxfId="1062"/>
    <tableColumn id="2" xr3:uid="{1C53506C-03EA-4286-9C2C-092DE942F792}" name="HP" dataDxfId="1061"/>
    <tableColumn id="3" xr3:uid="{BF92E0B1-4EE8-4C8C-B358-7C6ABC32EC41}" name="MP" dataDxfId="1060"/>
    <tableColumn id="4" xr3:uid="{CC49E8F1-18CD-47A5-B780-D5C1F5B3A58B}" name="DEF" dataDxfId="1059"/>
    <tableColumn id="5" xr3:uid="{B59694E2-6F72-4661-B1F7-E53F553658B5}" name="AGI" dataDxfId="1058"/>
    <tableColumn id="6" xr3:uid="{72595C04-D4A8-44D3-9CE5-C341AAFD0DF1}" name="STR" dataDxfId="1057"/>
    <tableColumn id="7" xr3:uid="{EFF387FB-2CBB-42BD-8190-D5C56B02BB90}" name="INT" dataDxfId="1056"/>
    <tableColumn id="8" xr3:uid="{A6A56AD8-6C94-47E7-962F-E95CAA2022EF}" name="DEX" dataDxfId="1055"/>
    <tableColumn id="9" xr3:uid="{11792529-16CF-4207-B168-6823944763BD}" name="XP Given" dataDxfId="1054">
      <calculatedColumnFormula>Table596120[[#This Row],[XP Given]] * 1.25</calculatedColumnFormula>
    </tableColumn>
    <tableColumn id="10" xr3:uid="{8998C466-AE3A-41F3-9D49-3DECF93D62F0}" name="Gold Given" dataDxfId="1053">
      <calculatedColumnFormula>Table596120[[#This Row],[Gold Given]] * 1.25</calculatedColumnFormula>
    </tableColumn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5F6724D-3D96-47E2-B14A-B9C24AAB9C25}" name="Table591098122" displayName="Table591098122" ref="W2:AF7" totalsRowShown="0" headerRowDxfId="1052" dataDxfId="1051">
  <autoFilter ref="W2:AF7" xr:uid="{5761EBA0-69C8-4309-BC8B-CDCC1B1D8FAB}"/>
  <tableColumns count="10">
    <tableColumn id="1" xr3:uid="{CE69B469-735F-4BFD-A8B6-FBE59720C4FB}" name="LV" dataDxfId="1050"/>
    <tableColumn id="2" xr3:uid="{CA51216C-9DAA-4389-BF00-7A77E79AC8B8}" name="HP" dataDxfId="1049"/>
    <tableColumn id="3" xr3:uid="{1A7B1895-F6D2-4787-B31D-46628C45A7E1}" name="MP" dataDxfId="1048"/>
    <tableColumn id="4" xr3:uid="{5295B311-E19E-4411-9862-A52519CCEFAC}" name="DEF" dataDxfId="1047"/>
    <tableColumn id="5" xr3:uid="{8527EFF5-7447-4396-985D-968801CBF18E}" name="AGI" dataDxfId="1046"/>
    <tableColumn id="6" xr3:uid="{43E4BF07-72C3-4A59-B66D-B696B58B4C5B}" name="STR" dataDxfId="1045"/>
    <tableColumn id="7" xr3:uid="{C73D4358-4C1E-4178-AA8D-657D0060D5CF}" name="INT" dataDxfId="1044"/>
    <tableColumn id="8" xr3:uid="{65629F01-BE1D-4F9B-B623-C0944982ED79}" name="DEX" dataDxfId="1043"/>
    <tableColumn id="9" xr3:uid="{CB2EC3DC-366F-4869-8CE5-E6219C168977}" name="XP Given" dataDxfId="1042">
      <calculatedColumnFormula>Table596120[[#This Row],[XP Given]] * 1.5</calculatedColumnFormula>
    </tableColumn>
    <tableColumn id="10" xr3:uid="{B5E08E10-05D3-4564-9FA8-C372B22BA5B0}" name="Gold Given" dataDxfId="1041">
      <calculatedColumnFormula>Table596120[[#This Row],[Gold Given]] * 1.5</calculatedColumnFormula>
    </tableColumn>
  </tableColumns>
  <tableStyleInfo name="TableStyleMedium10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3F7E2799-F334-4780-8873-DD36CCD5C4C3}" name="Table712131754102123" displayName="Table712131754102123" ref="C10:G20" totalsRowShown="0" headerRowDxfId="1040" dataDxfId="1039">
  <autoFilter ref="C10:G20" xr:uid="{6BE93DE7-44F6-4D7F-8D58-5BD3A0787227}"/>
  <tableColumns count="5">
    <tableColumn id="1" xr3:uid="{3B8B092F-9BE9-43A4-8F65-EC3827692FAE}" name="LV" dataDxfId="1038"/>
    <tableColumn id="2" xr3:uid="{B56021A1-CC6B-4A4B-88F9-78764EA38EDE}" name="Demon" dataDxfId="1037">
      <calculatedColumnFormula>CEILING(Demon!$B13 / IF(Demon!$D13&lt; 10.8, $F$4, $F$4 / (Demon!$D13 / 10.8)),1)</calculatedColumnFormula>
    </tableColumn>
    <tableColumn id="3" xr3:uid="{09C28867-4A2B-4AA4-937B-89B993395DF7}" name="Elf" dataDxfId="1036">
      <calculatedColumnFormula>CEILING(Elf!$B13 / IF(Elf!$D13 &lt; 10.8, $F$4, $F$4 / (Elf!$D13/ 10.8)),1)</calculatedColumnFormula>
    </tableColumn>
    <tableColumn id="4" xr3:uid="{0BD9CD95-CF99-4259-9BC1-29D83412F9EF}" name="Beastgirl" dataDxfId="1035">
      <calculatedColumnFormula>CEILING(Beastgirl!$B13/ IF(Beastgirl!$D13&lt; 10.8,$F$4, $F$4 / (Beastgirl!$D13 / 10.8)),1)</calculatedColumnFormula>
    </tableColumn>
    <tableColumn id="5" xr3:uid="{F13F763F-943F-4869-B678-33C247D13DB2}" name="Warrior" dataDxfId="1034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D8AF32ED-D526-4E10-98F2-487F8083C5D4}" name="Table71213172055103124" displayName="Table71213172055103124" ref="C23:G33" totalsRowShown="0" headerRowDxfId="1033" dataDxfId="1032">
  <autoFilter ref="C23:G33" xr:uid="{F7D610E4-519F-4D3F-A890-1823F8A4FEFA}"/>
  <tableColumns count="5">
    <tableColumn id="1" xr3:uid="{254A11D9-FDF5-41E3-8207-D8524B9EA31F}" name="LV" dataDxfId="1031"/>
    <tableColumn id="2" xr3:uid="{65A8E716-3CE1-4682-9012-7B9B2B45F323}" name="Demon" dataDxfId="1030">
      <calculatedColumnFormula>CEILING(Demon!$B13/ IF(Demon!$D13&lt; 10.8, $F$5, $F$5 / (Demon!$D13 / 10.8)),1)</calculatedColumnFormula>
    </tableColumn>
    <tableColumn id="3" xr3:uid="{58BF76B1-8D4B-4CA3-929B-311100C118CE}" name="Elf" dataDxfId="1029">
      <calculatedColumnFormula>CEILING(Elf!$B13 / IF(Elf!$D13 &lt; 10.8, $F$5,$F$5 / (Elf!$D13 / 10.8)),1)</calculatedColumnFormula>
    </tableColumn>
    <tableColumn id="4" xr3:uid="{5B8AB4A6-0E9A-4C53-BADB-BA9941F1E402}" name="Beastgirl" dataDxfId="1028">
      <calculatedColumnFormula>CEILING(Beastgirl!$B13 / IF(Beastgirl!$D13&lt; 10.8, $F$5, $F$5 / (Beastgirl!$D13 / 10.8)),1)</calculatedColumnFormula>
    </tableColumn>
    <tableColumn id="5" xr3:uid="{729A4C40-85D0-4AB4-B0E6-8A5EBFEB08B0}" name="Warrior" dataDxfId="1027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9C3F0377-A130-42AD-B8CA-577FA7F3C81D}" name="Table71213172256104125" displayName="Table71213172256104125" ref="N10:R20" totalsRowShown="0" headerRowDxfId="1026" dataDxfId="1025">
  <autoFilter ref="N10:R20" xr:uid="{963E3DD2-0836-4FD6-A7F3-A568ECC5146C}"/>
  <tableColumns count="5">
    <tableColumn id="1" xr3:uid="{687FD7F9-EFBA-49FD-B334-FBE6D5EAF4C0}" name="LV" dataDxfId="1024"/>
    <tableColumn id="2" xr3:uid="{30893526-0686-4E76-8FFA-135B9AA7E69A}" name="Demon" dataDxfId="1023">
      <calculatedColumnFormula>CEILING(Demon!$B13 / IF(Demon!$D13&lt; 10.8, $Q$4, $Q$4 / (Demon!$D13 / 10.8)),1)</calculatedColumnFormula>
    </tableColumn>
    <tableColumn id="3" xr3:uid="{836EEEC5-E898-4EBE-934B-5491F06844E0}" name="Elf" dataDxfId="1022">
      <calculatedColumnFormula>CEILING(Elf!$B13 / IF(Elf!$D13 &lt; 10.8, $Q$4, $Q$4 / (Elf!$D13 / 10.8)),1)</calculatedColumnFormula>
    </tableColumn>
    <tableColumn id="4" xr3:uid="{E128A7B6-5E09-4AFF-90DB-ABB577B4A893}" name="Beastgirl" dataDxfId="1021">
      <calculatedColumnFormula>CEILING(Beastgirl!$B13 / IF(Beastgirl!$D13&lt; 10.8, $Q$4, $Q$4 / (Beastgirl!$D13 / 10.8)),1)</calculatedColumnFormula>
    </tableColumn>
    <tableColumn id="5" xr3:uid="{96E5183E-CA0D-4923-A95B-4E6D777EBCFF}" name="Warrior" dataDxfId="1020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6386599-27A0-4B12-9A48-E99255AE8615}" name="Table7121317202357105126" displayName="Table7121317202357105126" ref="N23:R33" totalsRowShown="0" headerRowDxfId="1019" dataDxfId="1018">
  <autoFilter ref="N23:R33" xr:uid="{99D75E09-270F-4690-8363-B58ABD564E19}"/>
  <tableColumns count="5">
    <tableColumn id="1" xr3:uid="{6354BD6B-939D-43FE-816D-199D75EC28DA}" name="LV" dataDxfId="1017"/>
    <tableColumn id="2" xr3:uid="{ECDCC632-E9EB-4525-8115-818433690A8B}" name="Demon" dataDxfId="1016">
      <calculatedColumnFormula>CEILING(Demon!$B13 / IF(Demon!$D13&lt; 10.8, $Q$5, $Q$5 / (Demon!$D13/ 10.8)),1)</calculatedColumnFormula>
    </tableColumn>
    <tableColumn id="3" xr3:uid="{26BEF8AB-6B55-463F-84E0-4EB56D85EED1}" name="Elf" dataDxfId="1015">
      <calculatedColumnFormula>CEILING(Elf!$B13/ IF(Elf!$D13 &lt; 10.8, $Q$5, $Q$5 / (Elf!$D13 / 10.8)),1)</calculatedColumnFormula>
    </tableColumn>
    <tableColumn id="4" xr3:uid="{1C6FA21B-E624-4D0E-ACF6-7E876CDE56C8}" name="Beastgirl" dataDxfId="1014">
      <calculatedColumnFormula>CEILING(Beastgirl!$B13 / IF(Beastgirl!$D13&lt; 10.8, $Q$5, $Q$5 / (Beastgirl!$D13 / 10.8)),1)</calculatedColumnFormula>
    </tableColumn>
    <tableColumn id="5" xr3:uid="{10E33BD0-B96C-4767-8226-094698577A34}" name="Warrior" dataDxfId="1013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EAE0700A-F543-41BC-B53C-737EDF11643D}" name="Table7121317222558106127" displayName="Table7121317222558106127" ref="Y10:AC20" totalsRowShown="0" headerRowDxfId="1012" dataDxfId="1011">
  <autoFilter ref="Y10:AC20" xr:uid="{B2B83A2F-3C0F-4647-9C35-5DD5F5A6D437}"/>
  <tableColumns count="5">
    <tableColumn id="1" xr3:uid="{EDD0A907-2C08-4203-B610-506CDCDD0247}" name="LV" dataDxfId="1010"/>
    <tableColumn id="2" xr3:uid="{571EB1DF-A5EB-41B9-B162-9082F9EB9065}" name="Demon" dataDxfId="1009">
      <calculatedColumnFormula>CEILING(Demon!$B13 / IF(Demon!$D13&lt; 10.8, $AB$4, $AB$4 / (Demon!$D13 / 10.8)),1)</calculatedColumnFormula>
    </tableColumn>
    <tableColumn id="3" xr3:uid="{D3D1BC95-5787-4E58-B885-C8141863EC7B}" name="Elf" dataDxfId="1008">
      <calculatedColumnFormula>CEILING(Elf!$B13 / IF(Elf!$D13 &lt; 10.8, $AB$4, $AB$4 / (Elf!$D13 / 10.8)),1)</calculatedColumnFormula>
    </tableColumn>
    <tableColumn id="4" xr3:uid="{939D4C81-A39A-4FEA-A065-AF576C187995}" name="Beastgirl" dataDxfId="1007">
      <calculatedColumnFormula>CEILING(Beastgirl!$B13 / IF(Beastgirl!$D13&lt; 10.8, $AB$4, $AB$4 / (Beastgirl!$D13 / 10.8)),1)</calculatedColumnFormula>
    </tableColumn>
    <tableColumn id="5" xr3:uid="{DB6B70F8-1D23-4622-87FC-6CC9E1A92136}" name="Warrior" dataDxfId="1006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13E0835A-E0CE-4276-8B3D-3B5FE135D89A}" name="Table712131720232659107128" displayName="Table712131720232659107128" ref="Y23:AC33" totalsRowShown="0" headerRowDxfId="1005" dataDxfId="1004">
  <autoFilter ref="Y23:AC33" xr:uid="{98E65C1E-E8D8-4DA1-AB6C-89C3754D77B2}"/>
  <tableColumns count="5">
    <tableColumn id="1" xr3:uid="{9AD51125-1BA4-4D68-BD3B-4113D1B307EC}" name="LV" dataDxfId="1003"/>
    <tableColumn id="2" xr3:uid="{526CB857-4BB1-49EB-B316-1D21AF48D4F5}" name="Demon" dataDxfId="1002">
      <calculatedColumnFormula>CEILING(Demon!$B13 / IF(Demon!$D13&lt; 10.8, $AB$5, $AB$5 / (Demon!$D13 / 10.8)),1)</calculatedColumnFormula>
    </tableColumn>
    <tableColumn id="3" xr3:uid="{0769CFB3-4492-41D1-8337-399DCE7FC990}" name="Elf" dataDxfId="1001">
      <calculatedColumnFormula>CEILING(Elf!$B13 / IF(Elf!$D13 &lt; 10.8, $AB$5, $AB$5 / (Elf!$D13 / 10.8)),1)</calculatedColumnFormula>
    </tableColumn>
    <tableColumn id="4" xr3:uid="{332ACC7E-45D2-4211-9927-A69681BD94B7}" name="Beastgirl" dataDxfId="1000">
      <calculatedColumnFormula>CEILING(Beastgirl!$B13 / IF(Beastgirl!$D13&lt; 10.8, $AB$5, $AB$5 / (Beastgirl!$D13 / 10.8)),1)</calculatedColumnFormula>
    </tableColumn>
    <tableColumn id="5" xr3:uid="{636F6D32-CC98-4E66-BA85-7EDE817030AE}" name="Warrior" dataDxfId="999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7F42CFD8-C8CF-48DE-8900-EBCF7A527F19}" name="Table71213172055103108129" displayName="Table71213172055103108129" ref="C36:G46" totalsRowShown="0" headerRowDxfId="998" dataDxfId="997">
  <autoFilter ref="C36:G46" xr:uid="{D767C67E-8CCF-4DF0-8D49-F8E6470BEBF5}"/>
  <tableColumns count="5">
    <tableColumn id="1" xr3:uid="{5BEF7F27-6FD0-42ED-8B88-F86D77A5E098}" name="LV" dataDxfId="996"/>
    <tableColumn id="2" xr3:uid="{70BAB8E6-318C-4FA6-99BB-E28CDC9602CD}" name="Demon" dataDxfId="995">
      <calculatedColumnFormula>CEILING(Demon!$B13/ IF(Demon!$D13&lt; 10.8, $F$6, $F$6 / (Demon!$D13 / 10.8)),1)</calculatedColumnFormula>
    </tableColumn>
    <tableColumn id="3" xr3:uid="{783B6FC5-B935-43A1-AD03-EBABC73A278F}" name="Elf" dataDxfId="994">
      <calculatedColumnFormula>CEILING(Elf!$B13 / IF(Elf!$D13&lt; 10.8, $F$6,$F$6 / (Elf!$D13 / 10.8)),1)</calculatedColumnFormula>
    </tableColumn>
    <tableColumn id="4" xr3:uid="{4901BB6F-96A8-4120-AD00-6C36CB22C8C0}" name="Beastgirl" dataDxfId="993">
      <calculatedColumnFormula>CEILING(Beastgirl!$B13 / IF(Beastgirl!$D13&lt; 10.8, $F$6, $F$6 / (Beastgirl!$D13 / 10.8)),1)</calculatedColumnFormula>
    </tableColumn>
    <tableColumn id="5" xr3:uid="{F770B0EF-160D-4E4F-ACCC-02C12382F5B9}" name="Warrior" dataDxfId="992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A09A0EBD-F218-44B9-9BFE-9E3706DDAA82}" name="Table7121317202357105109130" displayName="Table7121317202357105109130" ref="N36:R46" totalsRowShown="0" headerRowDxfId="991" dataDxfId="990">
  <autoFilter ref="N36:R46" xr:uid="{0A074F61-1FC6-4EAD-90F3-572F72962530}"/>
  <tableColumns count="5">
    <tableColumn id="1" xr3:uid="{FE35F8AC-29AB-49A6-9703-5A9F66AB44CE}" name="LV" dataDxfId="989"/>
    <tableColumn id="2" xr3:uid="{830E85C2-3F76-4648-941A-56239A5A288B}" name="Demon" dataDxfId="988">
      <calculatedColumnFormula>CEILING(Demon!$B13 / IF(Demon!$D13&lt; 10.8, $Q$6, $Q$6 / (Demon!$D13/ 10.8)),1)</calculatedColumnFormula>
    </tableColumn>
    <tableColumn id="3" xr3:uid="{59D88E6D-EBDF-4C1D-80C1-2974FF3A110F}" name="Elf" dataDxfId="987">
      <calculatedColumnFormula>CEILING(Elf!$B13/ IF(Elf!$D13 &lt; 10.8, $Q$6, $Q$6 / (Elf!$D13 / 10.8)),1)</calculatedColumnFormula>
    </tableColumn>
    <tableColumn id="4" xr3:uid="{BAD01718-E121-4A10-B35D-7D5EEEDB68F3}" name="Beastgirl" dataDxfId="986">
      <calculatedColumnFormula>CEILING(Beastgirl!$B13/ IF(Beastgirl!$D13&lt; 10.8, $Q$6, $Q$6 / (Beastgirl!$D13 / 10.8)),1)</calculatedColumnFormula>
    </tableColumn>
    <tableColumn id="5" xr3:uid="{EC00986E-E160-4755-A0A2-4D2D3289A79C}" name="Warrior" dataDxfId="985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9EC8DD-8E8A-4DFF-8058-0F55A1EF0CDD}" name="Table38408" displayName="Table38408" ref="Z2:AM52" totalsRowShown="0" headerRowDxfId="1580" dataDxfId="1579">
  <autoFilter ref="Z2:AM52" xr:uid="{BBA99B6F-B262-47A0-87C4-9DB25DD2F171}"/>
  <tableColumns count="14">
    <tableColumn id="1" xr3:uid="{0C6D9BC9-5386-4A03-A6DC-94CB6709375E}" name="Blue Slime" dataDxfId="1578">
      <calculatedColumnFormula>CEILING('Blue Slime'!$M$5/ IF('Blue Slime'!$O$5&lt; 10.8, Table14[[#This Row],[STR]], Table14[[#This Row],[STR]] / ('Blue Slime'!$O$5 / 10.8)), 1)</calculatedColumnFormula>
    </tableColumn>
    <tableColumn id="2" xr3:uid="{DBF19D17-BFD0-423A-A938-BFB34C8D11E1}" name="Green Slime" dataDxfId="1577">
      <calculatedColumnFormula>CEILING('Green Slime'!$M$5/ IF('Green Slime'!$O$5&lt; 10.8, Table14[[#This Row],[STR]], Table14[[#This Row],[STR]] / ('Green Slime'!$O$5 / 10.8)), 1)</calculatedColumnFormula>
    </tableColumn>
    <tableColumn id="3" xr3:uid="{3655021D-B059-4BF4-BE59-8436FFAB6A6C}" name="Wolf" dataDxfId="1576">
      <calculatedColumnFormula>CEILING(Wolf!$M$6/ IF(Wolf!$O$6&lt; 10.8, Table14[[#This Row],[STR]], Table14[[#This Row],[STR]] / (Wolf!$O$6 / 10.8)), 1)</calculatedColumnFormula>
    </tableColumn>
    <tableColumn id="4" xr3:uid="{7A54A251-A740-4BB5-905F-F9EE21B3E576}" name="Horned Wolf" dataDxfId="1575">
      <calculatedColumnFormula>CEILING('Horned Wolf'!$M$5/ IF('Horned Wolf'!$O$5&lt; 10.8, Table14[[#This Row],[STR]], Table14[[#This Row],[STR]] / ('Horned Wolf'!$O$5 / 10.8)), 1)</calculatedColumnFormula>
    </tableColumn>
    <tableColumn id="5" xr3:uid="{1F068828-F7C4-485A-95B0-57F1C62D978C}" name="Spider" dataDxfId="1574">
      <calculatedColumnFormula>CEILING(Spider!$M$7/ IF(Spider!$O$7&lt; 10.8, Table14[[#This Row],[STR]], Table14[[#This Row],[STR]] / (Spider!$O$7 / 10.8)), 1)</calculatedColumnFormula>
    </tableColumn>
    <tableColumn id="6" xr3:uid="{1F74AF28-BAF9-4488-932D-3EDAB0781944}" name="Evolved Spider" dataDxfId="1573">
      <calculatedColumnFormula>CEILING('Evolved Spider'!$M$8/ IF('Evolved Spider'!$O$8&lt; 10.8, Table14[[#This Row],[STR]], Table14[[#This Row],[STR]] / ('Evolved Spider'!$O$8 / 10.8)), 1)</calculatedColumnFormula>
    </tableColumn>
    <tableColumn id="7" xr3:uid="{644CE882-6F76-4190-A11E-CAFFEEBA824C}" name="Arachne" dataDxfId="1572">
      <calculatedColumnFormula>CEILING(Arachne!$M$4/ IF(Arachne!$O$4&lt; 10.8, Table14[[#This Row],[STR]], Table14[[#This Row],[STR]] / (Arachne!$O$4 / 10.8)), 1)</calculatedColumnFormula>
    </tableColumn>
    <tableColumn id="8" xr3:uid="{E47759AC-D791-4E0E-BFAF-21977B0FDE0E}" name="Earth Elemental" dataDxfId="1571">
      <calculatedColumnFormula>CEILING('Earth Elemental'!$M$6/ IF('Earth Elemental'!$O$6&lt; 10.8, Table14[[#This Row],[STR]], Table14[[#This Row],[STR]] / ('Earth Elemental'!$O$6 / 10.8)), 1)</calculatedColumnFormula>
    </tableColumn>
    <tableColumn id="9" xr3:uid="{22FD887C-7788-4599-BECC-038180CAF4FD}" name="Wind Elemental" dataDxfId="1570">
      <calculatedColumnFormula>CEILING('Wind Elemental'!$M$6/ IF('Wind Elemental'!$O$6&lt; 10.8, Table14[[#This Row],[STR]], Table14[[#This Row],[STR]] / ('Wind Elemental'!$O$6 / 10.8)), 1)</calculatedColumnFormula>
    </tableColumn>
    <tableColumn id="14" xr3:uid="{89D21F00-BE69-4955-BACF-733BAD026776}" name="Water Elemental" dataDxfId="1569">
      <calculatedColumnFormula>CEILING('Water Elemental'!$M$6/ IF('Water Elemental'!$O$6&lt; 10.8, Table14[[#This Row],[STR]], Table14[[#This Row],[STR]] / ('Water Elemental'!$O$6 / 10.8)), 1)</calculatedColumnFormula>
    </tableColumn>
    <tableColumn id="10" xr3:uid="{7B679762-045E-401B-B637-87FBBFE09FC8}" name="Fire Elemental" dataDxfId="1568">
      <calculatedColumnFormula>CEILING('Fire Elemental'!$M$4/ IF('Fire Elemental'!$O$4&lt; 10.8, Table14[[#This Row],[STR]], Table14[[#This Row],[STR]] / ('Fire Elemental'!$O$4 / 10.8)), 1)</calculatedColumnFormula>
    </tableColumn>
    <tableColumn id="11" xr3:uid="{97237FAF-8E03-4ABF-B569-4B3AF23D839A}" name="Wyvern" dataDxfId="1567">
      <calculatedColumnFormula>CEILING(Wyvern!$M$4/ IF(Wyvern!$O$4&lt; 10.8, Table14[[#This Row],[STR]], Table14[[#This Row],[STR]] / (Wyvern!$O$4 / 10.8)), 1)</calculatedColumnFormula>
    </tableColumn>
    <tableColumn id="12" xr3:uid="{F5C4AD64-3D37-45F3-8932-211308C2462F}" name="Evolved Wyvern" dataDxfId="1566">
      <calculatedColumnFormula>CEILING('Evolved Wyvern'!$M$4/ IF('Evolved Wyvern'!$O$4&lt; 10.8, Table14[[#This Row],[STR]], Table14[[#This Row],[STR]] / ('Evolved Wyvern'!$O$4 / 10.8)), 1)</calculatedColumnFormula>
    </tableColumn>
    <tableColumn id="13" xr3:uid="{A9557510-26D5-4F04-B9F2-0E1BE667224A}" name="Dragon" dataDxfId="1565">
      <calculatedColumnFormula>CEILING(Dragon!$M$4/ IF(Dragon!$O$4&lt; 10.8, Table14[[#This Row],[STR]], Table14[[#This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3EF9732B-C436-4DE4-B2A7-87BA4BA3F966}" name="Table712131720232659107110131" displayName="Table712131720232659107110131" ref="Y36:AC46" totalsRowShown="0" headerRowDxfId="984" dataDxfId="983">
  <autoFilter ref="Y36:AC46" xr:uid="{CBBE7238-5C49-49DE-874F-7F916C6E7CCC}"/>
  <tableColumns count="5">
    <tableColumn id="1" xr3:uid="{39A6EA2E-DDCB-4A92-B989-9DEDC07D2F50}" name="LV" dataDxfId="982"/>
    <tableColumn id="2" xr3:uid="{9F9FC797-8165-472C-A4A7-71E4A6FBADFF}" name="Demon" dataDxfId="981">
      <calculatedColumnFormula>CEILING(Demon!$B13 / IF(Demon!$D13&lt; 10.8, $AB$6, $AB$6 / (Demon!$D13 / 10.8)),1)</calculatedColumnFormula>
    </tableColumn>
    <tableColumn id="3" xr3:uid="{B750AE86-E292-410A-BF56-E18BEA37A322}" name="Elf" dataDxfId="980">
      <calculatedColumnFormula>CEILING(Elf!$B13 / IF(Elf!$D13 &lt; 10.8, $AB$6, $AB$6 / (Elf!$D13 / 10.8)),1)</calculatedColumnFormula>
    </tableColumn>
    <tableColumn id="4" xr3:uid="{1740B29B-7A98-4C31-B2DE-E59555C5B2DB}" name="Beastgirl" dataDxfId="979">
      <calculatedColumnFormula>CEILING(Beastgirl!$B13/ IF(Beastgirl!$D13&lt; 10.8, $AB$6, $AB$6 / (Beastgirl!$D13 / 10.8)),1)</calculatedColumnFormula>
    </tableColumn>
    <tableColumn id="5" xr3:uid="{D9DA6CB1-15E3-4427-B96C-B6BA7754C981}" name="Warrior" dataDxfId="978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7B33BCA8-6D33-4773-AE73-520E615587CC}" name="Table71213172055103108129144" displayName="Table71213172055103108129144" ref="C49:G59" totalsRowShown="0" headerRowDxfId="977" dataDxfId="976">
  <autoFilter ref="C49:G59" xr:uid="{1F24DDDD-2F85-4913-941E-9B534C417F13}"/>
  <tableColumns count="5">
    <tableColumn id="1" xr3:uid="{2696092A-CBDD-4811-BE6E-9890A1EEF603}" name="LV" dataDxfId="975"/>
    <tableColumn id="2" xr3:uid="{06B3F154-0D3D-46D1-A313-C8964A6B97B7}" name="Demon" dataDxfId="974">
      <calculatedColumnFormula>CEILING(Demon!$B13/ IF(Demon!$D13&lt; 10.8, $F$7, $F$7 / (Demon!$D13 / 10.8)),1)</calculatedColumnFormula>
    </tableColumn>
    <tableColumn id="3" xr3:uid="{EB0CEAD0-1F38-4FA7-BEFE-8B0B9B5EED2D}" name="Elf" dataDxfId="973">
      <calculatedColumnFormula>CEILING(Elf!B13 / IF(Elf!$D13&lt; 10.8, $F$7,$F$7 / (Elf!$D13 / 10.8)),1)</calculatedColumnFormula>
    </tableColumn>
    <tableColumn id="4" xr3:uid="{5E22A289-1814-4FE3-9238-6FD8BFA4BD42}" name="Beastgirl" dataDxfId="972">
      <calculatedColumnFormula>CEILING(Beastgirl!$B13 / IF(Beastgirl!$D13&lt; 10.8, $F$7, $F$7 / (Beastgirl!$D13 / 10.8)),1)</calculatedColumnFormula>
    </tableColumn>
    <tableColumn id="5" xr3:uid="{9D251FEA-2F49-4FF0-A1D6-6652A842B091}" name="Warrior" dataDxfId="971">
      <calculatedColumnFormula>CEILING(Warrior!$B13 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B3936B1D-435F-41C1-9778-77C6255B7BC1}" name="Table7121317202357105109130145" displayName="Table7121317202357105109130145" ref="N49:R59" totalsRowShown="0" headerRowDxfId="970" dataDxfId="969">
  <autoFilter ref="N49:R59" xr:uid="{C6430700-EB64-49DF-B579-CF77FB7DBED9}"/>
  <tableColumns count="5">
    <tableColumn id="1" xr3:uid="{7FA4810F-7827-4298-9599-9A346618FA2C}" name="LV" dataDxfId="968"/>
    <tableColumn id="2" xr3:uid="{1CB24CCA-949F-496E-89EC-B6CDF88E0A4C}" name="Demon" dataDxfId="967">
      <calculatedColumnFormula>CEILING(Demon!$B13 / IF(Demon!$D13&lt; 10.8, $Q$7, $Q$7 / (Demon!$D13/ 10.8)),1)</calculatedColumnFormula>
    </tableColumn>
    <tableColumn id="3" xr3:uid="{2994536B-60A6-46B5-849D-9DBF23FE090B}" name="Elf" dataDxfId="966">
      <calculatedColumnFormula>CEILING(Elf!$B13/ IF(Elf!$D13 &lt; 10.8, $Q$7, $Q$7 / (Elf!$D13 / 10.8)),1)</calculatedColumnFormula>
    </tableColumn>
    <tableColumn id="4" xr3:uid="{CD4DC071-207E-438B-82B4-CA8E144E0734}" name="Beastgirl" dataDxfId="965">
      <calculatedColumnFormula>CEILING(Beastgirl!$B13/ IF(Beastgirl!$D13&lt; 10.8, $Q$7, $Q$7 / (Beastgirl!$D13 / 10.8)),1)</calculatedColumnFormula>
    </tableColumn>
    <tableColumn id="5" xr3:uid="{35461C76-93E8-498E-B663-7AEF1D8E320B}" name="Warrior" dataDxfId="964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45FFFB77-4A1B-4821-888B-E9305B44DF28}" name="Table712131720232659107110131146" displayName="Table712131720232659107110131146" ref="Y49:AC59" totalsRowShown="0" headerRowDxfId="963" dataDxfId="962">
  <autoFilter ref="Y49:AC59" xr:uid="{FE93408F-CCBA-49C8-BD73-2DC0BD14EAE7}"/>
  <tableColumns count="5">
    <tableColumn id="1" xr3:uid="{FC1F333D-BBD1-4C76-8911-D34507F0EBB5}" name="LV" dataDxfId="961"/>
    <tableColumn id="2" xr3:uid="{73132778-035D-402E-B631-4AD5F22CBD3A}" name="Demon" dataDxfId="960">
      <calculatedColumnFormula>CEILING(Demon!$B13 / IF(Demon!$D13&lt; 10.8, $AB$7, $AB$7 / (Demon!$D13 / 10.8)),1)</calculatedColumnFormula>
    </tableColumn>
    <tableColumn id="3" xr3:uid="{2ADCF922-D9DA-4841-AC18-7AAB96EFA260}" name="Elf" dataDxfId="959">
      <calculatedColumnFormula>CEILING(Elf!$B13/ IF(Elf!$D13 &lt; 10.8, $AB$7, $AB$7 / (Elf!$D13 / 10.8)),1)</calculatedColumnFormula>
    </tableColumn>
    <tableColumn id="4" xr3:uid="{BF3FDC21-6EBB-43F5-A086-342E6D7D529B}" name="Beastgirl" dataDxfId="958">
      <calculatedColumnFormula>CEILING(Beastgirl!$B13 / IF(Beastgirl!$D13&lt; 10.8, $AB$7, $AB$7 / (Beastgirl!$D13 / 10.8)),1)</calculatedColumnFormula>
    </tableColumn>
    <tableColumn id="5" xr3:uid="{7F2874F8-26FA-4137-A737-5F2FFBF95EBF}" name="Warrior" dataDxfId="957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7123A201-E8EA-4EA0-949C-55C13D1B8FEB}" name="Table596120147" displayName="Table596120147" ref="A2:J8" totalsRowShown="0" headerRowDxfId="956" dataDxfId="955">
  <autoFilter ref="A2:J8" xr:uid="{ED74AEFA-DD3C-488F-ABD8-83DBE66B6BF6}"/>
  <tableColumns count="10">
    <tableColumn id="1" xr3:uid="{116C8E1D-B092-4731-985E-72E55F44BC45}" name="LV" dataDxfId="954"/>
    <tableColumn id="2" xr3:uid="{2E8C868A-AF0C-491D-9732-CE63F6C71BBE}" name="HP" dataDxfId="953"/>
    <tableColumn id="3" xr3:uid="{B66C29D9-231A-4ADB-ABF4-27562C44C0B2}" name="MP" dataDxfId="952"/>
    <tableColumn id="4" xr3:uid="{D9021DD9-CB33-4495-908D-6DE021363943}" name="DEF" dataDxfId="951"/>
    <tableColumn id="5" xr3:uid="{CD4A5073-B47B-40F2-A3A8-86EE5DF45ABD}" name="AGI" dataDxfId="950"/>
    <tableColumn id="6" xr3:uid="{230CB467-FE64-44C5-B0B5-A0B59C560A49}" name="STR" dataDxfId="949"/>
    <tableColumn id="7" xr3:uid="{92299265-2143-4DC5-9E0A-A6E4FF1E4911}" name="INT" dataDxfId="948"/>
    <tableColumn id="8" xr3:uid="{7DBF44F1-F04B-4A33-B14A-A93FBCB55A07}" name="DEX" dataDxfId="947"/>
    <tableColumn id="9" xr3:uid="{032BAE41-C8F5-4F7F-8613-94ABE56999A3}" name="XP Given" dataDxfId="946">
      <calculatedColumnFormula>AVERAGE(Warrior!I16:I20)/50 * 75/100</calculatedColumnFormula>
    </tableColumn>
    <tableColumn id="10" xr3:uid="{A17601DD-F124-4284-875D-63F99D9D9177}" name="Gold Given" dataDxfId="945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9CDC77B1-D04E-4F0B-AD7F-BFA74A0B5F1B}" name="Table5997121148" displayName="Table5997121148" ref="L2:U8" totalsRowShown="0" headerRowDxfId="944" dataDxfId="943">
  <autoFilter ref="L2:U8" xr:uid="{A1F4AC0E-B8F7-4093-91B3-172701CA4C87}"/>
  <tableColumns count="10">
    <tableColumn id="1" xr3:uid="{39370BBE-5C6C-47D4-B40C-C8AC55108BB0}" name="LV" dataDxfId="942"/>
    <tableColumn id="2" xr3:uid="{81C847C0-D7A2-4B31-B10E-98399B1E8B97}" name="HP" dataDxfId="941"/>
    <tableColumn id="3" xr3:uid="{49DE7F32-E341-4E79-B5BA-52B4B0B6F0A1}" name="MP" dataDxfId="940"/>
    <tableColumn id="4" xr3:uid="{04F640D9-46CD-4AC3-8805-A7F934510FBC}" name="DEF" dataDxfId="939"/>
    <tableColumn id="5" xr3:uid="{827B250F-1FEA-451D-9ED1-18BAF821462C}" name="AGI" dataDxfId="938"/>
    <tableColumn id="6" xr3:uid="{33380AF7-A85E-4545-8C2C-063F639EE23E}" name="STR" dataDxfId="937"/>
    <tableColumn id="7" xr3:uid="{50F60900-B6D6-478F-B63C-567600324D57}" name="INT" dataDxfId="936"/>
    <tableColumn id="8" xr3:uid="{719055DD-6BF3-468D-A171-C4E8BE70A79B}" name="DEX" dataDxfId="935"/>
    <tableColumn id="9" xr3:uid="{59EACAD9-43C7-4F73-A19A-29B19C52434B}" name="XP Given" dataDxfId="934">
      <calculatedColumnFormula>Table596120147[[#This Row],[XP Given]] * 1.25</calculatedColumnFormula>
    </tableColumn>
    <tableColumn id="10" xr3:uid="{900530D0-BB4B-4E38-A495-0A3B1D966FB8}" name="Gold Given" dataDxfId="933">
      <calculatedColumnFormula>Table596120147[[#This Row],[Gold Given]] * 1.5</calculatedColumnFormula>
    </tableColumn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E2FD8DFB-3C0B-47E2-8455-85F39516B4A0}" name="Table591098122149" displayName="Table591098122149" ref="W2:AF8" totalsRowShown="0" headerRowDxfId="932" dataDxfId="931">
  <autoFilter ref="W2:AF8" xr:uid="{D4099D71-A9D6-47B7-BBE3-AE85B4DD42E9}"/>
  <tableColumns count="10">
    <tableColumn id="1" xr3:uid="{8684AAEB-2092-4C9E-8327-3FCD1735DAA5}" name="LV" dataDxfId="930"/>
    <tableColumn id="2" xr3:uid="{3CF2CBAE-0974-4B6A-A625-B2F5417E4E63}" name="HP" dataDxfId="929"/>
    <tableColumn id="3" xr3:uid="{BC4224A4-2E97-460B-94F5-A7863E7D597A}" name="MP" dataDxfId="928"/>
    <tableColumn id="4" xr3:uid="{A810903B-ADED-41D7-9B99-CE992F2075CD}" name="DEF" dataDxfId="927"/>
    <tableColumn id="5" xr3:uid="{0CC51A17-9A03-41D8-BFEA-81383228805A}" name="AGI" dataDxfId="926"/>
    <tableColumn id="6" xr3:uid="{2754C59D-5C4A-417E-90A0-F05A70EA7D45}" name="STR" dataDxfId="925"/>
    <tableColumn id="7" xr3:uid="{DCCB2405-5BF5-4577-B785-2187C6F19D4F}" name="INT" dataDxfId="924"/>
    <tableColumn id="8" xr3:uid="{20F1345D-32E8-497B-A379-F6C3CBB4C4BA}" name="DEX" dataDxfId="923"/>
    <tableColumn id="9" xr3:uid="{8E136E1D-4C45-43CA-BCEA-50A64257958A}" name="XP Given" dataDxfId="922">
      <calculatedColumnFormula>Table596120147[[#This Row],[XP Given]] * 1.5</calculatedColumnFormula>
    </tableColumn>
    <tableColumn id="10" xr3:uid="{B87894CA-DCAB-4901-95B6-930CA075260C}" name="Gold Given" dataDxfId="921">
      <calculatedColumnFormula>Table596120147[[#This Row],[Gold Given]] * 1.5</calculatedColumnFormula>
    </tableColumn>
  </tableColumns>
  <tableStyleInfo name="TableStyleMedium10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C0975322-474E-47D4-AD71-51A005DBE76B}" name="Table712131754102123150" displayName="Table712131754102123150" ref="C11:G21" totalsRowShown="0" headerRowDxfId="920" dataDxfId="919">
  <autoFilter ref="C11:G21" xr:uid="{F8728579-6D99-44C2-9B4A-ED5CE755ADFB}"/>
  <tableColumns count="5">
    <tableColumn id="1" xr3:uid="{AE5F5E8F-A2FB-4599-B61E-B54ADE51A353}" name="LV" dataDxfId="918"/>
    <tableColumn id="2" xr3:uid="{99C85212-8148-4B7E-96AC-255E8B763CAF}" name="Demon" dataDxfId="917">
      <calculatedColumnFormula>CEILING(Demon!$B13 / IF(Demon!$D13&lt; 10.8, $F$4, $F$4 / (Demon!$D13 / 10.8)),1)</calculatedColumnFormula>
    </tableColumn>
    <tableColumn id="3" xr3:uid="{4D87A419-338A-4285-8BAC-0B7111383094}" name="Elf" dataDxfId="916">
      <calculatedColumnFormula>CEILING(Elf!$B13 / IF(Elf!$D13 &lt; 10.8, $F$4, $F$4 / (Elf!$D13 / 10.8)),1)</calculatedColumnFormula>
    </tableColumn>
    <tableColumn id="4" xr3:uid="{90ADAF47-3414-4915-89ED-2E7415A8638C}" name="Beastgirl" dataDxfId="915">
      <calculatedColumnFormula>CEILING(Beastgirl!$B13/ IF(Beastgirl!$D13&lt; 10.8,$F$4, $F$4 / (Beastgirl!$D13/ 10.8)),1)</calculatedColumnFormula>
    </tableColumn>
    <tableColumn id="5" xr3:uid="{84434AD9-BA2C-40B8-87B7-5278741130B4}" name="Warrior" dataDxfId="914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F5A8B967-B993-4019-93D9-D01FD8BEC40F}" name="Table71213172055103124151" displayName="Table71213172055103124151" ref="C24:G34" totalsRowShown="0" headerRowDxfId="913" dataDxfId="912">
  <autoFilter ref="C24:G34" xr:uid="{15B8D131-78A5-46E1-B7DE-9AACA5156C89}"/>
  <tableColumns count="5">
    <tableColumn id="1" xr3:uid="{EC059163-D63C-4E87-8DB4-8931571C5AB4}" name="LV" dataDxfId="911"/>
    <tableColumn id="2" xr3:uid="{544747A2-0242-462C-A3CA-B872953AF79C}" name="Demon" dataDxfId="910">
      <calculatedColumnFormula>CEILING(Demon!$B13/ IF(Demon!$D13&lt; 10.8, $F$5, $F$5 / (Demon!$D13 / 10.8)),1)</calculatedColumnFormula>
    </tableColumn>
    <tableColumn id="3" xr3:uid="{5FA4B26E-5971-42DB-AEC2-6585F6E159E1}" name="Elf" dataDxfId="909">
      <calculatedColumnFormula>CEILING(Elf!$B13 / IF(Elf!$D13 &lt; 10.8, $F$5,$F$5 / (Elf!$D13 / 10.8)),1)</calculatedColumnFormula>
    </tableColumn>
    <tableColumn id="4" xr3:uid="{EC27CEF6-DFD6-4D2F-9A8B-AAEED3FF8267}" name="Beastgirl" dataDxfId="908">
      <calculatedColumnFormula>CEILING(Beastgirl!$B13 / IF(Beastgirl!$D13&lt; 10.8, $F$5, $F$5 / (Beastgirl!$D13 / 10.8)),1)</calculatedColumnFormula>
    </tableColumn>
    <tableColumn id="5" xr3:uid="{0109FA2C-5CCE-42B8-9742-9ECA57F29634}" name="Warrior" dataDxfId="907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3F7D7307-73B6-4DCA-A4F8-C0E9B0E5FDAC}" name="Table71213172256104125152" displayName="Table71213172256104125152" ref="N11:R21" totalsRowShown="0" headerRowDxfId="906" dataDxfId="905">
  <autoFilter ref="N11:R21" xr:uid="{E6164A54-686C-415F-8387-05062636A7F1}"/>
  <tableColumns count="5">
    <tableColumn id="1" xr3:uid="{9269DC0D-7749-48A2-A9EB-74458CDF2B2D}" name="LV" dataDxfId="904"/>
    <tableColumn id="2" xr3:uid="{45D26E87-4CAD-44D5-B805-B4A7DF0116AB}" name="Demon" dataDxfId="903">
      <calculatedColumnFormula>CEILING(Demon!$B13 / IF(Demon!$D13&lt; 10.8, $Q$4, $Q$4 / (Demon!$D13 / 10.8)),1)</calculatedColumnFormula>
    </tableColumn>
    <tableColumn id="3" xr3:uid="{3DAF441A-DF05-44B3-8751-87126BA5A5C5}" name="Elf" dataDxfId="902">
      <calculatedColumnFormula>CEILING(Elf!$B13 / IF(Elf!$D13 &lt; 10.8, $Q$4, $Q$4 / (Elf!$D13 / 10.8)),1)</calculatedColumnFormula>
    </tableColumn>
    <tableColumn id="4" xr3:uid="{1A9625DE-FB55-4B50-B681-22550D9ACEB0}" name="Beastgirl" dataDxfId="901">
      <calculatedColumnFormula>CEILING(Beastgirl!$B13 / IF(Beastgirl!$D13&lt; 10.8, $Q$4, $Q$4 / (Beastgirl!$D13 / 10.8)),1)</calculatedColumnFormula>
    </tableColumn>
    <tableColumn id="5" xr3:uid="{4FB54B03-13D5-4B45-8A1A-0CE9F0767B48}" name="Warrior" dataDxfId="900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5CEB03-71C6-46E5-85B7-27182BFCDEF9}" name="Table384111" displayName="Table384111" ref="AO2:BB52" totalsRowShown="0" headerRowDxfId="1564" dataDxfId="1563">
  <autoFilter ref="AO2:BB52" xr:uid="{ACF85C29-0515-4037-8BFB-94F9A9FD0FE0}"/>
  <tableColumns count="14">
    <tableColumn id="1" xr3:uid="{B1118BD2-680F-4AA4-869C-8B773DF68045}" name="Blue Slime" dataDxfId="1562">
      <calculatedColumnFormula>CEILING('Blue Slime'!$Z$5/ IF('Blue Slime'!$X$5&lt; 10.8, Table14[[#This Row],[STR]], Table14[[#This Row],[STR]] / ('Blue Slime'!$X$5 / 10.8)), 1)</calculatedColumnFormula>
    </tableColumn>
    <tableColumn id="2" xr3:uid="{E3A19790-0C1C-4353-A95A-7C34F51635F0}" name="Green Slime" dataDxfId="1561">
      <calculatedColumnFormula>CEILING('Green Slime'!$Z$5/ IF('Green Slime'!$X$5&lt; 10.8, Table14[[#This Row],[STR]], Table14[[#This Row],[STR]] / ('Green Slime'!$X$5 / 10.8)), 1)</calculatedColumnFormula>
    </tableColumn>
    <tableColumn id="3" xr3:uid="{CEBF1C2E-CF74-4441-A5C2-2540BF8D348F}" name="Wolf" dataDxfId="1560">
      <calculatedColumnFormula>CEILING(Wolf!$Z$6/ IF(Wolf!$X$6&lt; 10.8, Table14[[#This Row],[STR]], Table14[[#This Row],[STR]] / (Wolf!$X$6 / 10.8)), 1)</calculatedColumnFormula>
    </tableColumn>
    <tableColumn id="4" xr3:uid="{038DF80F-2325-4F0D-B6AA-7EE1210413ED}" name="Horned Wolf" dataDxfId="1559">
      <calculatedColumnFormula>CEILING('Horned Wolf'!$Z$5/ IF('Horned Wolf'!$X$5&lt; 10.8, Table14[[#This Row],[STR]], Table14[[#This Row],[STR]] / ('Horned Wolf'!$X$5 / 10.8)), 1)</calculatedColumnFormula>
    </tableColumn>
    <tableColumn id="5" xr3:uid="{9B5CD690-F8C4-4A8E-A5CB-35CC66FC479C}" name="Spider" dataDxfId="1558">
      <calculatedColumnFormula>CEILING(Spider!$Z$7/ IF(Spider!$X$7&lt; 10.8, Table14[[#This Row],[STR]], Table14[[#This Row],[STR]] / (Spider!$X$7 / 10.8)), 1)</calculatedColumnFormula>
    </tableColumn>
    <tableColumn id="6" xr3:uid="{20985C23-AD74-4586-9054-61B706EAD9EA}" name="Evolved Spider" dataDxfId="1557">
      <calculatedColumnFormula>CEILING('Evolved Spider'!$Z$8/ IF('Evolved Spider'!$X$8&lt; 10.8, Table14[[#This Row],[STR]], Table14[[#This Row],[STR]] / ('Evolved Spider'!$X$8 / 10.8)), 1)</calculatedColumnFormula>
    </tableColumn>
    <tableColumn id="7" xr3:uid="{94454933-FC90-4DAC-B37F-6CB3F256BF9E}" name="Arachne" dataDxfId="1556">
      <calculatedColumnFormula>CEILING(Arachne!$Z$4/ IF(Arachne!$X$4&lt; 10.8, Table14[[#This Row],[STR]], Table14[[#This Row],[STR]] / (Arachne!$X$4 / 10.8)), 1)</calculatedColumnFormula>
    </tableColumn>
    <tableColumn id="8" xr3:uid="{F33AF27F-988E-484F-86B7-340B40017041}" name="Earth Elemental" dataDxfId="1555">
      <calculatedColumnFormula>CEILING('Earth Elemental'!$Z$6/ IF('Earth Elemental'!$X$6&lt; 10.8, Table14[[#This Row],[STR]], Table14[[#This Row],[STR]] / ('Earth Elemental'!$X$6 / 10.8)), 1)</calculatedColumnFormula>
    </tableColumn>
    <tableColumn id="9" xr3:uid="{43B00AAD-7922-4345-B533-94378BCA5B3C}" name="Wind Elemental" dataDxfId="1554">
      <calculatedColumnFormula>CEILING('Wind Elemental'!$Z$6/ IF('Wind Elemental'!$X$6&lt; 10.8, Table14[[#This Row],[STR]], Table14[[#This Row],[STR]] / ('Wind Elemental'!$X$6 / 10.8)), 1)</calculatedColumnFormula>
    </tableColumn>
    <tableColumn id="14" xr3:uid="{7D2F8F03-D6B0-4476-8DC9-D53E4F90C707}" name="Water Elemental" dataDxfId="1553">
      <calculatedColumnFormula>CEILING('Water Elemental'!$Z$6/ IF('Water Elemental'!$X$6&lt; 10.8, Table14[[#This Row],[STR]], Table14[[#This Row],[STR]] / ('Water Elemental'!$X$6 / 10.8)), 1)</calculatedColumnFormula>
    </tableColumn>
    <tableColumn id="10" xr3:uid="{5DCAF70C-3CE3-4186-9393-BB102C018C91}" name="Fire Elemental" dataDxfId="1552">
      <calculatedColumnFormula>CEILING('Fire Elemental'!$Z$4/ IF('Fire Elemental'!$X$4&lt; 10.8, Table14[[#This Row],[STR]], Table14[[#This Row],[STR]] / ('Fire Elemental'!$X$4 / 10.8)), 1)</calculatedColumnFormula>
    </tableColumn>
    <tableColumn id="11" xr3:uid="{B2E1E16A-8EA2-4B6D-82A8-2BE9958A2924}" name="Wyvern" dataDxfId="1551">
      <calculatedColumnFormula>CEILING(Wyvern!$Z$4/ IF(Wyvern!$X$4&lt; 10.8, Table14[[#This Row],[STR]], Table14[[#This Row],[STR]] / (Wyvern!$X$4 / 10.8)), 1)</calculatedColumnFormula>
    </tableColumn>
    <tableColumn id="12" xr3:uid="{D12FD711-D89B-4CF6-B61F-A3756708872A}" name="Evolved Wyvern" dataDxfId="1550">
      <calculatedColumnFormula>CEILING('Evolved Wyvern'!$Z$4/ IF('Evolved Wyvern'!$X$4&lt; 10.8, Table14[[#This Row],[STR]], Table14[[#This Row],[STR]] / ('Evolved Wyvern'!$X$4 / 10.8)), 1)</calculatedColumnFormula>
    </tableColumn>
    <tableColumn id="13" xr3:uid="{DA9FF6F1-334B-4028-B931-988F9CFFAF6E}" name="Dragon" dataDxfId="1549">
      <calculatedColumnFormula>CEILING(Dragon!$Z$4/ IF(Dragon!$X$4&lt; 10.8, Table14[[#This Row],[STR]], Table14[[#This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C6032D52-D31F-4D27-8569-D2778856B578}" name="Table7121317202357105126153" displayName="Table7121317202357105126153" ref="N24:R34" totalsRowShown="0" headerRowDxfId="899" dataDxfId="898">
  <autoFilter ref="N24:R34" xr:uid="{5DD121A1-3FC3-4B71-80B4-3D20ED64F1B8}"/>
  <tableColumns count="5">
    <tableColumn id="1" xr3:uid="{EF9B66CA-9234-451D-886E-45A6640E3C98}" name="LV" dataDxfId="897"/>
    <tableColumn id="2" xr3:uid="{E161B142-2BF3-40A5-856D-B9AD0889CBAC}" name="Demon" dataDxfId="896">
      <calculatedColumnFormula>CEILING(Demon!$B13 / IF(Demon!$D13&lt; 10.8, $Q$5, $Q$5 / (Demon!$D13/ 10.8)),1)</calculatedColumnFormula>
    </tableColumn>
    <tableColumn id="3" xr3:uid="{B292870C-FCFB-496A-BF7F-C258C135743E}" name="Elf" dataDxfId="895">
      <calculatedColumnFormula>CEILING(Elf!$B13/ IF(Elf!$D13 &lt; 10.8, $Q$5, $Q$5 / (Elf!$D13 / 10.8)),1)</calculatedColumnFormula>
    </tableColumn>
    <tableColumn id="4" xr3:uid="{1442EDFF-F4A0-4575-8F59-58387149CD82}" name="Beastgirl" dataDxfId="894">
      <calculatedColumnFormula>CEILING(Beastgirl!$B13 / IF(Beastgirl!$D13&lt; 10.8, $Q$5, $Q$5 / (Beastgirl!$D13 / 10.8)),1)</calculatedColumnFormula>
    </tableColumn>
    <tableColumn id="5" xr3:uid="{507CC54E-CE66-42C5-AA0E-F73C56644FAE}" name="Warrior" dataDxfId="893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DBACF8A8-6352-46C2-81C5-FAD2C69A37CF}" name="Table7121317222558106127154" displayName="Table7121317222558106127154" ref="Y11:AC21" totalsRowShown="0" headerRowDxfId="892" dataDxfId="891">
  <autoFilter ref="Y11:AC21" xr:uid="{33AD4751-E3A2-4738-9D3D-97EBF59BE3EF}"/>
  <tableColumns count="5">
    <tableColumn id="1" xr3:uid="{23794AE1-B123-490B-B6F3-E64BB29239D3}" name="LV" dataDxfId="890"/>
    <tableColumn id="2" xr3:uid="{C5B4E362-57B5-4D03-A86F-574CB6B585C6}" name="Demon" dataDxfId="889">
      <calculatedColumnFormula>CEILING(Demon!$B13 / IF(Demon!$D13&lt; 10.8, $AB$4, $AB$4 / (Demon!$D13 / 10.8)),1)</calculatedColumnFormula>
    </tableColumn>
    <tableColumn id="3" xr3:uid="{1B76ABCD-48EE-4FBF-92A5-A65B88654AFC}" name="Elf" dataDxfId="888">
      <calculatedColumnFormula>CEILING(Elf!$B13 / IF(Elf!$D13 &lt; 10.8, $AB$4, $AB$4 / (Elf!$D13 / 10.8)),1)</calculatedColumnFormula>
    </tableColumn>
    <tableColumn id="4" xr3:uid="{065E6B01-4A07-4B32-B345-CEE00ACB1719}" name="Beastgirl" dataDxfId="887">
      <calculatedColumnFormula>CEILING(Beastgirl!$B13 / IF(Beastgirl!$D13&lt; 10.8, $AB$4, $AB$4 / (Beastgirl!$D13 / 10.8)),1)</calculatedColumnFormula>
    </tableColumn>
    <tableColumn id="5" xr3:uid="{3278D094-AF9F-4347-88F0-D9DAA8963ACC}" name="Warrior" dataDxfId="886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72FDE9B2-A7D1-4794-ABB7-24DAC24B93EB}" name="Table712131720232659107128155" displayName="Table712131720232659107128155" ref="Y24:AC34" totalsRowShown="0" headerRowDxfId="885" dataDxfId="884">
  <autoFilter ref="Y24:AC34" xr:uid="{DEF288C7-32C8-4ABE-9418-60286521E948}"/>
  <tableColumns count="5">
    <tableColumn id="1" xr3:uid="{B2A1D927-F958-49CA-8ADB-7F3F2607123A}" name="LV" dataDxfId="883"/>
    <tableColumn id="2" xr3:uid="{E254E6A6-7050-4C41-9B59-A306ADE3E549}" name="Demon" dataDxfId="882">
      <calculatedColumnFormula>CEILING(Demon!$B13 / IF(Demon!$D13&lt; 10.8, $AB$5, $AB$5 / (Demon!$D13 / 10.8)),1)</calculatedColumnFormula>
    </tableColumn>
    <tableColumn id="3" xr3:uid="{6CDFBCFC-638C-43C7-B254-CA437E8DF631}" name="Elf" dataDxfId="881">
      <calculatedColumnFormula>CEILING(Elf!$B13 / IF(Elf!$D13 &lt; 10.8, $AB$5, $AB$5 / (Elf!$D13 / 10.8)),1)</calculatedColumnFormula>
    </tableColumn>
    <tableColumn id="4" xr3:uid="{29E58E9F-29BD-4C18-B198-587E2963467D}" name="Beastgirl" dataDxfId="880">
      <calculatedColumnFormula>CEILING(Beastgirl!$B13 / IF(Beastgirl!$D13&lt; 10.8, $AB$5, $AB$5 / (Beastgirl!$D13 / 10.8)),1)</calculatedColumnFormula>
    </tableColumn>
    <tableColumn id="5" xr3:uid="{7B0A7121-59CD-4B89-9E78-2F6635558BC2}" name="Warrior" dataDxfId="879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ACD13E-B328-465A-950A-724BBBC4EB5A}" name="Table71213172055103108129156" displayName="Table71213172055103108129156" ref="C37:G47" totalsRowShown="0" headerRowDxfId="878" dataDxfId="877">
  <autoFilter ref="C37:G47" xr:uid="{6071112B-67EE-4527-848C-0D4A2B6C9C2F}"/>
  <tableColumns count="5">
    <tableColumn id="1" xr3:uid="{746575FE-4FFB-4C6A-A2E5-E86786ECCDCD}" name="LV" dataDxfId="876"/>
    <tableColumn id="2" xr3:uid="{FEAB2F33-95D8-4D76-B14D-EC77B05554F3}" name="Demon" dataDxfId="875">
      <calculatedColumnFormula>CEILING(Demon!$B13/ IF(Demon!$D13&lt; 10.8, $F$6, $F$6 / (Demon!$D13 / 10.8)),1)</calculatedColumnFormula>
    </tableColumn>
    <tableColumn id="3" xr3:uid="{EA8CF29E-F144-4F9A-AC7B-C76A3FBA08AD}" name="Elf" dataDxfId="874">
      <calculatedColumnFormula>CEILING(Elf!$B13 / IF(Elf!$D13&lt; 10.8, $F$6,$F$6 / (Elf!$D13 / 10.8)),1)</calculatedColumnFormula>
    </tableColumn>
    <tableColumn id="4" xr3:uid="{3753FB82-8588-4369-847E-0C2DC7090573}" name="Beastgirl" dataDxfId="873">
      <calculatedColumnFormula>CEILING(Beastgirl!$B13 / IF(Beastgirl!$D13&lt; 10.8, $F$6, $F$6 / (Beastgirl!$D13/ 10.8)),1)</calculatedColumnFormula>
    </tableColumn>
    <tableColumn id="5" xr3:uid="{E904A1CD-B729-4090-9410-648F215AAEF5}" name="Warrior" dataDxfId="872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6AFA9AE7-1B47-4A83-9E5A-1044A14B0052}" name="Table7121317202357105109130157" displayName="Table7121317202357105109130157" ref="N37:R47" totalsRowShown="0" headerRowDxfId="871" dataDxfId="870">
  <autoFilter ref="N37:R47" xr:uid="{AA08E790-7C3F-4B18-B49C-3C4D88168BD2}"/>
  <tableColumns count="5">
    <tableColumn id="1" xr3:uid="{FC68585C-618E-4911-9814-913C97B90501}" name="LV" dataDxfId="869"/>
    <tableColumn id="2" xr3:uid="{6110A836-8D65-42F6-A4D6-BB9058D9FD99}" name="Demon" dataDxfId="868">
      <calculatedColumnFormula>CEILING(Demon!$B13 / IF(Demon!$D13&lt; 10.8, $Q$6, $Q$6 / (Demon!$D13/ 10.8)),1)</calculatedColumnFormula>
    </tableColumn>
    <tableColumn id="3" xr3:uid="{1BCE03B3-088B-43A0-9F59-144AB745734F}" name="Elf" dataDxfId="867">
      <calculatedColumnFormula>CEILING(Elf!$B13/ IF(Elf!$D13 &lt; 10.8, $Q$6, $Q$6 / (Elf!$D13 / 10.8)),1)</calculatedColumnFormula>
    </tableColumn>
    <tableColumn id="4" xr3:uid="{BE70E221-C808-4F3E-BD28-81663FF7F4A3}" name="Beastgirl" dataDxfId="866">
      <calculatedColumnFormula>CEILING(Beastgirl!$B13/ IF(Beastgirl!$D13&lt; 10.8, $Q$6, $Q$6 / (Beastgirl!$D13 / 10.8)),1)</calculatedColumnFormula>
    </tableColumn>
    <tableColumn id="5" xr3:uid="{0D72EC9F-6F5F-462F-9E82-45682653A4DE}" name="Warrior" dataDxfId="865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96C50C7-0CE3-4E6C-B593-A8AEE61688E0}" name="Table712131720232659107110131158" displayName="Table712131720232659107110131158" ref="Y37:AC47" totalsRowShown="0" headerRowDxfId="864" dataDxfId="863">
  <autoFilter ref="Y37:AC47" xr:uid="{7B071484-470E-4D1A-BEFA-E9D11D8E3E98}"/>
  <tableColumns count="5">
    <tableColumn id="1" xr3:uid="{A765955B-A52A-4746-A291-8501F0B21713}" name="LV" dataDxfId="862"/>
    <tableColumn id="2" xr3:uid="{E458D23B-B38E-4155-8D00-28AD7CE3F004}" name="Demon" dataDxfId="861">
      <calculatedColumnFormula>CEILING(Demon!$B13 / IF(Demon!$D13&lt; 10.8, $AB$6, $AB$6 / (Demon!$D13 / 10.8)),1)</calculatedColumnFormula>
    </tableColumn>
    <tableColumn id="3" xr3:uid="{04E526BF-F0BC-4C9E-BB46-26BC8E8C078F}" name="Elf" dataDxfId="860">
      <calculatedColumnFormula>CEILING(Elf!$B13 / IF(Elf!$D13 &lt; 10.8, $AB$6, $AB$6 / (Elf!$D13 / 10.8)),1)</calculatedColumnFormula>
    </tableColumn>
    <tableColumn id="4" xr3:uid="{AF727D70-AC9A-4E22-934B-32B976067A23}" name="Beastgirl" dataDxfId="859">
      <calculatedColumnFormula>CEILING(Beastgirl!$B13 / IF(Beastgirl!$D13&lt; 10.8, $AB$6, $AB$6 / (Beastgirl!$D13 / 10.8)),1)</calculatedColumnFormula>
    </tableColumn>
    <tableColumn id="5" xr3:uid="{23A9CD4C-5E41-4DC6-A34C-B60E5D69BC43}" name="Warrior" dataDxfId="858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70D09F20-E6B6-4635-BBF1-57AFE7C15739}" name="Table71213172055103108129144159" displayName="Table71213172055103108129144159" ref="C50:G60" totalsRowShown="0" headerRowDxfId="857" dataDxfId="856">
  <autoFilter ref="C50:G60" xr:uid="{435767DD-EEC8-486C-8588-EEB761A50A5E}"/>
  <tableColumns count="5">
    <tableColumn id="1" xr3:uid="{FC88786F-40FE-4AF2-89B4-302D28322135}" name="LV" dataDxfId="855"/>
    <tableColumn id="2" xr3:uid="{655D04D1-9B9B-48A0-884B-FB0D0CE79CA5}" name="Demon" dataDxfId="854">
      <calculatedColumnFormula>CEILING(Demon!$B13/ IF(Demon!$D13&lt; 10.8, $F$7, $F$7 / (Demon!$D13 / 10.8)),1)</calculatedColumnFormula>
    </tableColumn>
    <tableColumn id="3" xr3:uid="{3421A6E2-1923-4749-BFFE-61D0DB724721}" name="Elf" dataDxfId="853">
      <calculatedColumnFormula>CEILING(Elf!B13 / IF(Elf!$D13&lt; 10.8, $F$7,$F$7 / (Elf!$D13 / 10.8)),1)</calculatedColumnFormula>
    </tableColumn>
    <tableColumn id="4" xr3:uid="{B3B34B25-E217-4586-B97C-8195A6C2C7EF}" name="Beastgirl" dataDxfId="852">
      <calculatedColumnFormula>CEILING(Beastgirl!$B13 / IF(Beastgirl!$D13&lt; 10.8, $F$7, $F$7 / (Beastgirl!$D13 / 10.8)),1)</calculatedColumnFormula>
    </tableColumn>
    <tableColumn id="5" xr3:uid="{D26BA92D-0965-45D5-A898-E75555D0A9B0}" name="Warrior" dataDxfId="851">
      <calculatedColumnFormula>CEILING(Warrior!$B13/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717577F4-C9F2-4A15-BAD0-574749B6C2D4}" name="Table7121317202357105109130145160" displayName="Table7121317202357105109130145160" ref="N50:R60" totalsRowShown="0" headerRowDxfId="850" dataDxfId="849">
  <autoFilter ref="N50:R60" xr:uid="{A807C8EF-216B-4001-A6B3-2FE4907EB7B0}"/>
  <tableColumns count="5">
    <tableColumn id="1" xr3:uid="{3EF57E69-4E84-4010-AC25-6435C14A9FE2}" name="LV" dataDxfId="848"/>
    <tableColumn id="2" xr3:uid="{31E758CA-83F1-4739-8B15-F9271F28F64A}" name="Demon" dataDxfId="847">
      <calculatedColumnFormula>CEILING(Demon!$B13 / IF(Demon!$D13&lt; 10.8, $Q$7, $Q$7 / (Demon!$D13/ 10.8)),1)</calculatedColumnFormula>
    </tableColumn>
    <tableColumn id="3" xr3:uid="{4128BCD2-EF2A-4755-BD94-CD16C2CCA4DC}" name="Elf" dataDxfId="846">
      <calculatedColumnFormula>CEILING(Elf!$B13/ IF(Elf!$D13 &lt; 10.8, $Q$7, $Q$7 / (Elf!$D13 / 10.8)),1)</calculatedColumnFormula>
    </tableColumn>
    <tableColumn id="4" xr3:uid="{C92BF448-9DEA-4FB0-933B-4ECF106F6A22}" name="Beastgirl" dataDxfId="845">
      <calculatedColumnFormula>CEILING(Beastgirl!$B13/ IF(Beastgirl!$D13&lt; 10.8, $Q$7, $Q$7 / (Beastgirl!$D13 / 10.8)),1)</calculatedColumnFormula>
    </tableColumn>
    <tableColumn id="5" xr3:uid="{83BE4F5C-AF2B-4500-A35B-CDA026C9AAF5}" name="Warrior" dataDxfId="844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2B01D64F-8808-46DD-85E0-7444FADB5248}" name="Table712131720232659107110131146161" displayName="Table712131720232659107110131146161" ref="Y50:AC60" totalsRowShown="0" headerRowDxfId="843" dataDxfId="842">
  <autoFilter ref="Y50:AC60" xr:uid="{9212CDDF-9EA1-4734-9793-F108EE77ED47}"/>
  <tableColumns count="5">
    <tableColumn id="1" xr3:uid="{F35D12D4-0A5A-44DA-AB76-8A89B3C8898F}" name="LV" dataDxfId="841"/>
    <tableColumn id="2" xr3:uid="{31FF2588-BA15-46C3-B03D-5EB6DF88688F}" name="Demon" dataDxfId="840">
      <calculatedColumnFormula>CEILING(Demon!$B13 / IF(Demon!$D13&lt; 10.8, $AB$7, $AB$7 / (Demon!$D13 / 10.8)),1)</calculatedColumnFormula>
    </tableColumn>
    <tableColumn id="3" xr3:uid="{A8E36173-80C8-4591-BF34-7220A66EC96E}" name="Elf" dataDxfId="839">
      <calculatedColumnFormula>CEILING(Elf!$B13 / IF(Elf!$D13 &lt; 10.8, $AB$7, $AB$7 / (Elf!$D13 / 10.8)),1)</calculatedColumnFormula>
    </tableColumn>
    <tableColumn id="4" xr3:uid="{185BE297-A92E-4BA3-9977-E0185E662C9A}" name="Beastgirl" dataDxfId="838">
      <calculatedColumnFormula>CEILING(Beastgirl!$B13 / IF(Beastgirl!$D13&lt; 10.8, $AB$7, $AB$7 / (Beastgirl!$D13 / 10.8)),1)</calculatedColumnFormula>
    </tableColumn>
    <tableColumn id="5" xr3:uid="{051D3CE0-EC90-4444-981D-A4C7C3F8047D}" name="Warrior" dataDxfId="837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D7D319D8-F424-48E8-912D-19B66A35D30A}" name="Table71213172055103108129144159162" displayName="Table71213172055103108129144159162" ref="C63:G73" totalsRowShown="0" headerRowDxfId="836" dataDxfId="835">
  <autoFilter ref="C63:G73" xr:uid="{EF7E3C8B-5BB5-42C2-84EC-B08976AFF05F}"/>
  <tableColumns count="5">
    <tableColumn id="1" xr3:uid="{D57BE8FD-590F-4FA3-80E5-E38B0F9E875F}" name="LV" dataDxfId="834"/>
    <tableColumn id="2" xr3:uid="{DC7EF11A-4C25-4153-B3A5-FE20E412E1EF}" name="Demon" dataDxfId="833">
      <calculatedColumnFormula>CEILING(Demon!$B13/ IF(Demon!$D13&lt; 10.8, $F$8, $F$8 / (Demon!$D13 / 10.8)),1)</calculatedColumnFormula>
    </tableColumn>
    <tableColumn id="3" xr3:uid="{9D06363A-4644-48F8-994A-2DC0D3BA7FEB}" name="Elf" dataDxfId="832">
      <calculatedColumnFormula>CEILING(Elf!B13 / IF(Elf!$D13&lt; 10.8, $F$8,$F$8 / (Elf!$D13 / 10.8)),1)</calculatedColumnFormula>
    </tableColumn>
    <tableColumn id="4" xr3:uid="{6176E6F7-FA22-4FC4-8B5A-35C9758570E8}" name="Beastgirl" dataDxfId="831">
      <calculatedColumnFormula>CEILING(Beastgirl!$B13 / IF(Beastgirl!$D13&lt; 10.8, $F$8, $F$8 / (Beastgirl!$D13 / 10.8)),1)</calculatedColumnFormula>
    </tableColumn>
    <tableColumn id="5" xr3:uid="{7C7C8850-F819-43CC-9C2C-F6FBE6C0EC9C}" name="Warrior" dataDxfId="830">
      <calculatedColumnFormula>CEILING(Warrior!$B13 / IF(Warrior!$D13&lt; 10.8, $F$8, $F$8 / (Warrior!$D13 / 10.8)),1)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8186A-F314-4493-ABF5-6B0DDB3129DA}" name="Table13" displayName="Table13" ref="A1:I52" totalsRowShown="0" headerRowDxfId="1548" dataDxfId="1547">
  <autoFilter ref="A1:I52" xr:uid="{5E9B095D-0F55-4AF0-A0A3-B478E398A61A}"/>
  <tableColumns count="9">
    <tableColumn id="1" xr3:uid="{5EDE2427-B3EC-46A1-9E7B-ABACD04D2CE8}" name="Level" dataDxfId="1546"/>
    <tableColumn id="2" xr3:uid="{BB536B0B-6287-4F29-B100-E7745B4D117D}" name="HP" dataDxfId="1545"/>
    <tableColumn id="3" xr3:uid="{67918B8B-6429-47DE-94AC-A44C6410B736}" name="MP" dataDxfId="1544">
      <calculatedColumnFormula>2 * Table13[[#This Row],[INT]]</calculatedColumnFormula>
    </tableColumn>
    <tableColumn id="4" xr3:uid="{67FB2CF9-F855-44CD-B0C6-37A7C6204FEF}" name="DEF" dataDxfId="1543"/>
    <tableColumn id="5" xr3:uid="{E4521BA6-FF32-44F8-86FE-4E01A8CBB082}" name="AGI" dataDxfId="1542"/>
    <tableColumn id="6" xr3:uid="{7A27DEF0-3558-42C4-8834-D4389B396D02}" name="STR" dataDxfId="1541"/>
    <tableColumn id="7" xr3:uid="{6AC92C4B-4A10-4FCB-B705-E61BE9961FBC}" name="INT" dataDxfId="1540"/>
    <tableColumn id="8" xr3:uid="{B384AB67-8175-4D92-B9B9-78B101BFF535}" name="DEX" dataDxfId="1539"/>
    <tableColumn id="9" xr3:uid="{E4176222-481B-499B-908E-1040ACA58A8B}" name="XP needed to level up" dataDxfId="1538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A11559EE-0735-4F8F-B57B-C74CA6178265}" name="Table7121317202357105109130145160163" displayName="Table7121317202357105109130145160163" ref="N63:R73" totalsRowShown="0" headerRowDxfId="829" dataDxfId="828">
  <autoFilter ref="N63:R73" xr:uid="{38F30354-17A2-4B87-9703-F0B31783F4EA}"/>
  <tableColumns count="5">
    <tableColumn id="1" xr3:uid="{46FA1F80-777D-4FE6-AB83-450671AB393A}" name="LV" dataDxfId="827"/>
    <tableColumn id="2" xr3:uid="{8FEB7CB3-5935-4614-BABD-106CB16A24DD}" name="Demon" dataDxfId="826">
      <calculatedColumnFormula>CEILING(Demon!$B13 / IF(Demon!$D13&lt; 10.8, $Q$8, $Q$8 / (Demon!$D13/ 10.8)),1)</calculatedColumnFormula>
    </tableColumn>
    <tableColumn id="3" xr3:uid="{3CB8CEF4-17B3-4A26-A7AD-3DC625734E3C}" name="Elf" dataDxfId="825">
      <calculatedColumnFormula>CEILING(Elf!$B13/ IF(Elf!$D13 &lt; 10.8, $Q$8, $Q$8 / (Elf!$D13/ 10.8)),1)</calculatedColumnFormula>
    </tableColumn>
    <tableColumn id="4" xr3:uid="{DD7C67B0-C1C2-43C3-9818-8BAB1951CBCD}" name="Beastgirl" dataDxfId="824">
      <calculatedColumnFormula>CEILING(Beastgirl!$B13/ IF(Beastgirl!$D13&lt; 10.8, $Q$8, $Q$8 / (Beastgirl!$D13 / 10.8)),1)</calculatedColumnFormula>
    </tableColumn>
    <tableColumn id="5" xr3:uid="{E24DCD17-8C72-4BEA-A72B-2946EC2C19E2}" name="Warrior" dataDxfId="823">
      <calculatedColumnFormula>CEILING(Warrior!$B13 / IF(Warrior!$D13&lt; 10.8, $Q$8, $Q$8 / (Warrior!$D13 / 10.8)),1)</calculatedColumnFormula>
    </tableColumn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BC6A2C9-EA9B-4F4E-B8DF-80F231BCC424}" name="Table712131720232659107110131146161164" displayName="Table712131720232659107110131146161164" ref="Y63:AC73" totalsRowShown="0" headerRowDxfId="822" dataDxfId="821">
  <autoFilter ref="Y63:AC73" xr:uid="{B1D7A237-651D-467D-BAD7-DEE56D72EC25}"/>
  <tableColumns count="5">
    <tableColumn id="1" xr3:uid="{3295D9EC-2368-42A4-9D63-D6B083B9C61A}" name="LV" dataDxfId="820"/>
    <tableColumn id="2" xr3:uid="{FBD7E62E-0C53-48B7-BA7F-D14672F1C38B}" name="Demon" dataDxfId="819">
      <calculatedColumnFormula>CEILING(Demon!$B13 / IF(Demon!$D13&lt; 10.8, $AB$8, $AB$8 / (Demon!$D13 / 10.8)),1)</calculatedColumnFormula>
    </tableColumn>
    <tableColumn id="3" xr3:uid="{C95C403F-8832-4678-87D7-5B5F0B598679}" name="Elf" dataDxfId="818">
      <calculatedColumnFormula>CEILING(Elf!$B13 / IF(Elf!$D13 &lt; 10.8, $AB$8, $AB$8 / (Elf!$D13 / 10.8)),1)</calculatedColumnFormula>
    </tableColumn>
    <tableColumn id="4" xr3:uid="{CA959A39-34B8-4A6B-93A5-722789BD0640}" name="Beastgirl" dataDxfId="817">
      <calculatedColumnFormula>CEILING(Beastgirl!$B13 / IF(Beastgirl!$D13&lt; 10.8, $AB$8, $AB$8 / (Beastgirl!$D13 / 10.8)),1)</calculatedColumnFormula>
    </tableColumn>
    <tableColumn id="5" xr3:uid="{E59D4047-CAAD-40DE-A58F-791B32131615}" name="Warrior" dataDxfId="816">
      <calculatedColumnFormula>CEILING(Warrior!$B13 / IF(Warrior!$D13&lt; 10.8, $AB$8, $AB$8 / (Warrior!$D13 / 10.8)),1)</calculatedColumnFormula>
    </tableColumn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81C72E3F-11EB-4C6A-B1AF-EAB85E7CD8DB}" name="Table596120147165" displayName="Table596120147165" ref="A2:J4" totalsRowShown="0" headerRowDxfId="815" dataDxfId="814">
  <autoFilter ref="A2:J4" xr:uid="{BCC3FDD5-0CF5-46EC-9C1F-C97121D6E928}"/>
  <tableColumns count="10">
    <tableColumn id="1" xr3:uid="{11F312C8-8FDD-45C1-A617-0649EC97856B}" name="LV" dataDxfId="813"/>
    <tableColumn id="2" xr3:uid="{6F42635F-0D73-4124-B5A4-8E3F4E39CC87}" name="HP" dataDxfId="812"/>
    <tableColumn id="3" xr3:uid="{772CC070-5DCC-4FCC-B56F-9D1246C22313}" name="MP" dataDxfId="811"/>
    <tableColumn id="4" xr3:uid="{AE6468C1-0C0E-4500-9373-B22965AA61E0}" name="DEF" dataDxfId="810"/>
    <tableColumn id="5" xr3:uid="{F629AF10-C7E9-4FD5-8F7A-7089770B041A}" name="AGI" dataDxfId="809"/>
    <tableColumn id="6" xr3:uid="{C3F98281-D810-4FF2-A52F-9817CD90BE5E}" name="STR" dataDxfId="808"/>
    <tableColumn id="7" xr3:uid="{87B8A9E2-41CF-4056-A645-0A7DAC5B4DAE}" name="INT" dataDxfId="807"/>
    <tableColumn id="8" xr3:uid="{BA2DF858-3B91-4004-91E7-5F7C1B2115BD}" name="DEX" dataDxfId="806"/>
    <tableColumn id="9" xr3:uid="{BAF7B144-333C-4188-9540-9D1278A9495D}" name="XP Given" dataDxfId="805">
      <calculatedColumnFormula>$I$3 + $I$3 * Table596120147165[[#This Row],[LV]] *25 / 100</calculatedColumnFormula>
    </tableColumn>
    <tableColumn id="10" xr3:uid="{1801D598-9466-44DB-B279-F8B07DD2097A}" name="Gold Given" dataDxfId="804">
      <calculatedColumnFormula>$J$3 + $J$3 * Table596120147165[[#This Row],[LV]] * 25 / 100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7D74FBE-D53E-49B1-8950-990F84775464}" name="Table5997121148166" displayName="Table5997121148166" ref="L2:U4" totalsRowShown="0" headerRowDxfId="803" dataDxfId="802">
  <autoFilter ref="L2:U4" xr:uid="{365F7890-8362-401E-9837-C0E87C6531DC}"/>
  <tableColumns count="10">
    <tableColumn id="1" xr3:uid="{A9B6CE54-9262-4841-AF28-C6BC360B4E1A}" name="LV" dataDxfId="801"/>
    <tableColumn id="2" xr3:uid="{0D70DE98-90EE-4056-9382-3141A1D226CF}" name="HP" dataDxfId="800"/>
    <tableColumn id="3" xr3:uid="{760DBA87-11CC-41BF-83E4-144DCA3DEA38}" name="MP" dataDxfId="799"/>
    <tableColumn id="4" xr3:uid="{A7E316D7-007B-4973-A9F0-1FCE4AD2BCFD}" name="DEF" dataDxfId="798"/>
    <tableColumn id="5" xr3:uid="{3034E778-BAF3-4EA9-B6A9-4106094BFDE4}" name="AGI" dataDxfId="797"/>
    <tableColumn id="6" xr3:uid="{846B00FA-550F-41D3-9FC0-99EE91B61684}" name="STR" dataDxfId="796"/>
    <tableColumn id="7" xr3:uid="{7840F029-AD1C-4737-91F7-5658A333CBE1}" name="INT" dataDxfId="795"/>
    <tableColumn id="8" xr3:uid="{20A05AAD-F16D-41F9-9289-7932D5F9549C}" name="DEX" dataDxfId="794"/>
    <tableColumn id="9" xr3:uid="{39A26655-7AC7-4946-85E3-6BBA2B66F5F3}" name="XP Given" dataDxfId="793">
      <calculatedColumnFormula>Table596120147165[[#This Row],[XP Given]] * 1.25</calculatedColumnFormula>
    </tableColumn>
    <tableColumn id="10" xr3:uid="{8AD559A8-9793-4ACC-80E3-4E4718D69AB3}" name="Gold Given" dataDxfId="792">
      <calculatedColumnFormula>Table596120147165[[#This Row],[Gold Given]] * 1.25</calculatedColumnFormula>
    </tableColumn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B22833BA-B6C1-4CB7-9691-70A5EFA1331F}" name="Table591098122149167" displayName="Table591098122149167" ref="W2:AF4" totalsRowShown="0" headerRowDxfId="791" dataDxfId="790">
  <autoFilter ref="W2:AF4" xr:uid="{AC11CD94-F86C-462D-B4C1-68364FF1B00F}"/>
  <tableColumns count="10">
    <tableColumn id="1" xr3:uid="{1E158AAD-05FE-46DE-A454-764FD1B1DE4B}" name="LV" dataDxfId="789"/>
    <tableColumn id="2" xr3:uid="{6762C4E6-BAF5-4ED1-96DF-61C69CB3B02C}" name="HP" dataDxfId="788"/>
    <tableColumn id="3" xr3:uid="{523E8BD5-AA9D-46B1-BEE1-062F93155DEE}" name="MP" dataDxfId="787"/>
    <tableColumn id="4" xr3:uid="{E30109A8-653F-4D37-825A-AEDF91F2BC09}" name="DEF" dataDxfId="786"/>
    <tableColumn id="5" xr3:uid="{02C3EDF8-A1DC-42DA-9904-411ED2E7D4F5}" name="AGI" dataDxfId="785"/>
    <tableColumn id="6" xr3:uid="{9AE9EA3B-F193-4254-BE85-679C9B2279E2}" name="STR" dataDxfId="784"/>
    <tableColumn id="7" xr3:uid="{1E7886BA-DE93-4106-BD54-B710C4AB8B6D}" name="INT" dataDxfId="783"/>
    <tableColumn id="8" xr3:uid="{25C29DC6-9AB0-4A7A-80DD-D12664196ABB}" name="DEX" dataDxfId="782"/>
    <tableColumn id="9" xr3:uid="{C73E6905-CA21-43D8-8196-F915C8F5264A}" name="XP Given" dataDxfId="781">
      <calculatedColumnFormula>Table596120147165[[#This Row],[XP Given]] * 1.5</calculatedColumnFormula>
    </tableColumn>
    <tableColumn id="10" xr3:uid="{8A014E96-85BD-4980-A5A1-A3E30373303C}" name="Gold Given" dataDxfId="780">
      <calculatedColumnFormula>Table596120147165[[#This Row],[Gold Given]] * 1.5</calculatedColumnFormula>
    </tableColumn>
  </tableColumns>
  <tableStyleInfo name="TableStyleMedium10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34D95158-8F3C-45B2-87F5-8F6BAB459D33}" name="Table712131754102123150168" displayName="Table712131754102123150168" ref="C7:G17" totalsRowShown="0" headerRowDxfId="779" dataDxfId="778">
  <autoFilter ref="C7:G17" xr:uid="{B1C15D29-506B-4B30-A353-248EF3649261}"/>
  <tableColumns count="5">
    <tableColumn id="1" xr3:uid="{A07BB650-A285-46EE-8766-439E6929072B}" name="LV" dataDxfId="777"/>
    <tableColumn id="2" xr3:uid="{B143AD05-1274-41A9-B4DE-6F2FC995C8C5}" name="Demon" dataDxfId="776">
      <calculatedColumnFormula>CEILING(Demon!$B13 / IF(Demon!$D13&lt; 10.8, $F$4, $F$4 / (Demon!$D13 / 10.8)),1)</calculatedColumnFormula>
    </tableColumn>
    <tableColumn id="3" xr3:uid="{10226D58-6860-4365-93E1-6ED02CF6CA4F}" name="Elf" dataDxfId="775">
      <calculatedColumnFormula>CEILING(Elf!$B13 / IF(Elf!$D13 &lt; 10.8, $F$4, $F$4 / (Elf!$D13 / 10.8)),1)</calculatedColumnFormula>
    </tableColumn>
    <tableColumn id="4" xr3:uid="{9002F7CD-1285-49DA-ABCC-3364D7E39FD1}" name="Beastgirl" dataDxfId="774">
      <calculatedColumnFormula>CEILING(Beastgirl!$B13/ IF(Beastgirl!$D13&lt; 10.8,$F$4, $F$4 / (Beastgirl!$D13 / 10.8)),1)</calculatedColumnFormula>
    </tableColumn>
    <tableColumn id="5" xr3:uid="{44C667E6-FC00-426B-8A97-DA50694FC36E}" name="Warrior" dataDxfId="773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E2EF5481-B7C6-4112-B5F9-68ED8ACC463F}" name="Table71213172256104125152170" displayName="Table71213172256104125152170" ref="N7:R17" totalsRowShown="0" headerRowDxfId="772" dataDxfId="771">
  <autoFilter ref="N7:R17" xr:uid="{B9159B50-A363-4EBA-8CD2-38B5CA8042DC}"/>
  <tableColumns count="5">
    <tableColumn id="1" xr3:uid="{690A9DAB-85A6-441A-A7E8-7809A53F9BB6}" name="LV" dataDxfId="770"/>
    <tableColumn id="2" xr3:uid="{464189C5-C7C4-4622-96D0-8EAFD3D1F074}" name="Demon" dataDxfId="769">
      <calculatedColumnFormula>CEILING(Demon!$B13 / IF(Demon!$D13&lt; 10.8, $Q$4, $Q$4 / (Demon!$D13 / 10.8)),1)</calculatedColumnFormula>
    </tableColumn>
    <tableColumn id="3" xr3:uid="{EFFDA663-34FC-49AA-BFE1-F49DAB8CBC5A}" name="Elf" dataDxfId="768">
      <calculatedColumnFormula>CEILING(Elf!$B13 / IF(Elf!$D13 &lt; 10.8, $Q$4, $Q$4 / (Elf!$D13 / 10.8)),1)</calculatedColumnFormula>
    </tableColumn>
    <tableColumn id="4" xr3:uid="{08188090-D60D-4F42-B52F-62C591D98430}" name="Beastgirl" dataDxfId="767">
      <calculatedColumnFormula>CEILING(Beastgirl!$B13 / IF(Beastgirl!$D13&lt; 10.8, $Q$4, $Q$4 / (Beastgirl!$D13 / 10.8)),1)</calculatedColumnFormula>
    </tableColumn>
    <tableColumn id="5" xr3:uid="{7AB11329-5DE6-466E-A1D4-452AF3B4D6D0}" name="Warrior" dataDxfId="766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A1FBBFDF-D1C1-4112-9E5F-8BB1EC9467C8}" name="Table7121317222558106127154172" displayName="Table7121317222558106127154172" ref="Y7:AC17" totalsRowShown="0" headerRowDxfId="765" dataDxfId="764">
  <autoFilter ref="Y7:AC17" xr:uid="{F710A89E-A4EE-4D2A-B27E-902B8C9AC494}"/>
  <tableColumns count="5">
    <tableColumn id="1" xr3:uid="{20F1D231-F13D-4E24-AD3C-2F76870FF608}" name="LV" dataDxfId="763"/>
    <tableColumn id="2" xr3:uid="{093E63B5-212C-4B48-A96F-BB53026BE5AF}" name="Demon" dataDxfId="762">
      <calculatedColumnFormula>CEILING(Demon!$B13 / IF(Demon!$D13&lt; 10.8, $AB$4, $AB$4 / (Demon!$D13 / 10.8)),1)</calculatedColumnFormula>
    </tableColumn>
    <tableColumn id="3" xr3:uid="{E8FB344E-9A1C-49B2-A1DB-2A31C2BA3018}" name="Elf" dataDxfId="761">
      <calculatedColumnFormula>CEILING(Elf!$B13 / IF(Elf!$D13 &lt; 10.8, $AB$4, $AB$4 / (Elf!$D13 / 10.8)),1)</calculatedColumnFormula>
    </tableColumn>
    <tableColumn id="4" xr3:uid="{14693652-CF14-4ADF-B250-6A2727264876}" name="Beastgirl" dataDxfId="760">
      <calculatedColumnFormula>CEILING(Beastgirl!$B13 / IF(Beastgirl!$D13&lt; 10.8, $AB$4, $AB$4 / (Beastgirl!$D13 / 10.8)),1)</calculatedColumnFormula>
    </tableColumn>
    <tableColumn id="5" xr3:uid="{963EB0B2-4084-4AC6-B047-450FC82E6A01}" name="Warrior" dataDxfId="759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A2923781-C310-42DB-BF69-4867806F581F}" name="Table596183" displayName="Table596183" ref="A2:J6" totalsRowShown="0" headerRowDxfId="758" dataDxfId="757">
  <autoFilter ref="A2:J6" xr:uid="{813E0E41-5A65-4603-96EA-094C61E6DEB7}"/>
  <tableColumns count="10">
    <tableColumn id="1" xr3:uid="{6CCD988F-4209-4B54-B6A5-F481E9824488}" name="LV" dataDxfId="756"/>
    <tableColumn id="2" xr3:uid="{EE4EC048-6CB3-4F92-9A3E-6D54B1B5AF5D}" name="HP" dataDxfId="755"/>
    <tableColumn id="3" xr3:uid="{0058F621-035E-44ED-A9ED-65884DE9EEC8}" name="MP" dataDxfId="754"/>
    <tableColumn id="4" xr3:uid="{F9FD8984-06DB-46FB-94B2-D62BEC4B69B3}" name="DEF" dataDxfId="753"/>
    <tableColumn id="5" xr3:uid="{4326C45F-E0A4-49AC-BE0D-AB1D98A0A38B}" name="AGI" dataDxfId="752"/>
    <tableColumn id="6" xr3:uid="{280772E8-D157-4C44-814A-E783225DEF30}" name="STR" dataDxfId="751"/>
    <tableColumn id="7" xr3:uid="{F91EE431-12B0-4739-804D-6C0A29AEBEBF}" name="INT" dataDxfId="750"/>
    <tableColumn id="8" xr3:uid="{C3E8229E-DEB8-4946-9F89-A5D6AD3BFC48}" name="DEX" dataDxfId="749"/>
    <tableColumn id="9" xr3:uid="{0ECC1D44-7C6F-477C-BAE8-77BC1A07C25E}" name="XP Given" dataDxfId="748">
      <calculatedColumnFormula>AVERAGE(Warrior!I22:I24)/75 * 75/100</calculatedColumnFormula>
    </tableColumn>
    <tableColumn id="10" xr3:uid="{057B0C31-2645-4208-9925-E2148D41A742}" name="Gold Given" dataDxfId="747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30B9C001-FA48-4AA1-8B21-1468C4D40F16}" name="Table5997184" displayName="Table5997184" ref="L2:U6" totalsRowShown="0" headerRowDxfId="746" dataDxfId="745">
  <autoFilter ref="L2:U6" xr:uid="{F55A9F43-E6BC-4D3A-A511-05DFB6A61532}"/>
  <tableColumns count="10">
    <tableColumn id="1" xr3:uid="{DE957EE2-23B1-4547-8D1A-B84A2338AAD9}" name="LV" dataDxfId="744"/>
    <tableColumn id="2" xr3:uid="{EDEBFAA0-4028-452B-8AFE-2EFB41DF4458}" name="HP" dataDxfId="743"/>
    <tableColumn id="3" xr3:uid="{4463A4F4-2F91-4586-B9C5-23F88B7CA13F}" name="MP" dataDxfId="742"/>
    <tableColumn id="4" xr3:uid="{DA377602-EABF-4C34-A572-DDE91D016E87}" name="DEF" dataDxfId="741"/>
    <tableColumn id="5" xr3:uid="{896B434C-3599-4421-A82B-771BD94CAF63}" name="AGI" dataDxfId="740"/>
    <tableColumn id="6" xr3:uid="{EC61203C-FE65-4C13-AF4D-CF809AD10C4D}" name="STR" dataDxfId="739"/>
    <tableColumn id="7" xr3:uid="{E9E7EAEC-5158-4D88-94A2-28C28A4B8465}" name="INT" dataDxfId="738"/>
    <tableColumn id="8" xr3:uid="{5243A4B8-CD89-45B9-89DD-6A8664175AA5}" name="DEX" dataDxfId="737"/>
    <tableColumn id="9" xr3:uid="{C6820CD0-D664-4639-A607-A3BF1022B4D6}" name="XP Given" dataDxfId="736">
      <calculatedColumnFormula>Table596183[[#This Row],[XP Given]] * 1.25</calculatedColumnFormula>
    </tableColumn>
    <tableColumn id="10" xr3:uid="{03FEA488-21ED-4FFE-B8EE-4E3645DA38DB}" name="Gold Given" dataDxfId="7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1.xml"/><Relationship Id="rId13" Type="http://schemas.openxmlformats.org/officeDocument/2006/relationships/table" Target="../tables/table86.xml"/><Relationship Id="rId18" Type="http://schemas.openxmlformats.org/officeDocument/2006/relationships/table" Target="../tables/table91.xml"/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12" Type="http://schemas.openxmlformats.org/officeDocument/2006/relationships/table" Target="../tables/table85.xml"/><Relationship Id="rId17" Type="http://schemas.openxmlformats.org/officeDocument/2006/relationships/table" Target="../tables/table90.xml"/><Relationship Id="rId2" Type="http://schemas.openxmlformats.org/officeDocument/2006/relationships/table" Target="../tables/table75.xml"/><Relationship Id="rId16" Type="http://schemas.openxmlformats.org/officeDocument/2006/relationships/table" Target="../tables/table89.xml"/><Relationship Id="rId1" Type="http://schemas.openxmlformats.org/officeDocument/2006/relationships/table" Target="../tables/table74.xml"/><Relationship Id="rId6" Type="http://schemas.openxmlformats.org/officeDocument/2006/relationships/table" Target="../tables/table79.xml"/><Relationship Id="rId11" Type="http://schemas.openxmlformats.org/officeDocument/2006/relationships/table" Target="../tables/table84.xml"/><Relationship Id="rId5" Type="http://schemas.openxmlformats.org/officeDocument/2006/relationships/table" Target="../tables/table78.xml"/><Relationship Id="rId15" Type="http://schemas.openxmlformats.org/officeDocument/2006/relationships/table" Target="../tables/table88.xml"/><Relationship Id="rId10" Type="http://schemas.openxmlformats.org/officeDocument/2006/relationships/table" Target="../tables/table83.xml"/><Relationship Id="rId4" Type="http://schemas.openxmlformats.org/officeDocument/2006/relationships/table" Target="../tables/table77.xml"/><Relationship Id="rId9" Type="http://schemas.openxmlformats.org/officeDocument/2006/relationships/table" Target="../tables/table82.xml"/><Relationship Id="rId14" Type="http://schemas.openxmlformats.org/officeDocument/2006/relationships/table" Target="../tables/table8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4.xml"/><Relationship Id="rId2" Type="http://schemas.openxmlformats.org/officeDocument/2006/relationships/table" Target="../tables/table93.xml"/><Relationship Id="rId1" Type="http://schemas.openxmlformats.org/officeDocument/2006/relationships/table" Target="../tables/table92.xml"/><Relationship Id="rId6" Type="http://schemas.openxmlformats.org/officeDocument/2006/relationships/table" Target="../tables/table97.xml"/><Relationship Id="rId5" Type="http://schemas.openxmlformats.org/officeDocument/2006/relationships/table" Target="../tables/table96.xml"/><Relationship Id="rId4" Type="http://schemas.openxmlformats.org/officeDocument/2006/relationships/table" Target="../tables/table9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5.xml"/><Relationship Id="rId3" Type="http://schemas.openxmlformats.org/officeDocument/2006/relationships/table" Target="../tables/table100.xml"/><Relationship Id="rId7" Type="http://schemas.openxmlformats.org/officeDocument/2006/relationships/table" Target="../tables/table104.xml"/><Relationship Id="rId12" Type="http://schemas.openxmlformats.org/officeDocument/2006/relationships/table" Target="../tables/table109.xml"/><Relationship Id="rId2" Type="http://schemas.openxmlformats.org/officeDocument/2006/relationships/table" Target="../tables/table99.xml"/><Relationship Id="rId1" Type="http://schemas.openxmlformats.org/officeDocument/2006/relationships/table" Target="../tables/table98.xml"/><Relationship Id="rId6" Type="http://schemas.openxmlformats.org/officeDocument/2006/relationships/table" Target="../tables/table103.xml"/><Relationship Id="rId11" Type="http://schemas.openxmlformats.org/officeDocument/2006/relationships/table" Target="../tables/table108.xml"/><Relationship Id="rId5" Type="http://schemas.openxmlformats.org/officeDocument/2006/relationships/table" Target="../tables/table102.xml"/><Relationship Id="rId10" Type="http://schemas.openxmlformats.org/officeDocument/2006/relationships/table" Target="../tables/table107.xml"/><Relationship Id="rId4" Type="http://schemas.openxmlformats.org/officeDocument/2006/relationships/table" Target="../tables/table101.xml"/><Relationship Id="rId9" Type="http://schemas.openxmlformats.org/officeDocument/2006/relationships/table" Target="../tables/table10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7.xml"/><Relationship Id="rId3" Type="http://schemas.openxmlformats.org/officeDocument/2006/relationships/table" Target="../tables/table112.xml"/><Relationship Id="rId7" Type="http://schemas.openxmlformats.org/officeDocument/2006/relationships/table" Target="../tables/table116.xml"/><Relationship Id="rId12" Type="http://schemas.openxmlformats.org/officeDocument/2006/relationships/table" Target="../tables/table121.xml"/><Relationship Id="rId2" Type="http://schemas.openxmlformats.org/officeDocument/2006/relationships/table" Target="../tables/table111.xml"/><Relationship Id="rId1" Type="http://schemas.openxmlformats.org/officeDocument/2006/relationships/table" Target="../tables/table110.xml"/><Relationship Id="rId6" Type="http://schemas.openxmlformats.org/officeDocument/2006/relationships/table" Target="../tables/table115.xml"/><Relationship Id="rId11" Type="http://schemas.openxmlformats.org/officeDocument/2006/relationships/table" Target="../tables/table120.xml"/><Relationship Id="rId5" Type="http://schemas.openxmlformats.org/officeDocument/2006/relationships/table" Target="../tables/table114.xml"/><Relationship Id="rId10" Type="http://schemas.openxmlformats.org/officeDocument/2006/relationships/table" Target="../tables/table119.xml"/><Relationship Id="rId4" Type="http://schemas.openxmlformats.org/officeDocument/2006/relationships/table" Target="../tables/table113.xml"/><Relationship Id="rId9" Type="http://schemas.openxmlformats.org/officeDocument/2006/relationships/table" Target="../tables/table11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9.xml"/><Relationship Id="rId3" Type="http://schemas.openxmlformats.org/officeDocument/2006/relationships/table" Target="../tables/table124.xml"/><Relationship Id="rId7" Type="http://schemas.openxmlformats.org/officeDocument/2006/relationships/table" Target="../tables/table128.xml"/><Relationship Id="rId12" Type="http://schemas.openxmlformats.org/officeDocument/2006/relationships/table" Target="../tables/table133.xml"/><Relationship Id="rId2" Type="http://schemas.openxmlformats.org/officeDocument/2006/relationships/table" Target="../tables/table123.xml"/><Relationship Id="rId1" Type="http://schemas.openxmlformats.org/officeDocument/2006/relationships/table" Target="../tables/table122.xml"/><Relationship Id="rId6" Type="http://schemas.openxmlformats.org/officeDocument/2006/relationships/table" Target="../tables/table127.xml"/><Relationship Id="rId11" Type="http://schemas.openxmlformats.org/officeDocument/2006/relationships/table" Target="../tables/table132.xml"/><Relationship Id="rId5" Type="http://schemas.openxmlformats.org/officeDocument/2006/relationships/table" Target="../tables/table126.xml"/><Relationship Id="rId10" Type="http://schemas.openxmlformats.org/officeDocument/2006/relationships/table" Target="../tables/table131.xml"/><Relationship Id="rId4" Type="http://schemas.openxmlformats.org/officeDocument/2006/relationships/table" Target="../tables/table125.xml"/><Relationship Id="rId9" Type="http://schemas.openxmlformats.org/officeDocument/2006/relationships/table" Target="../tables/table13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6.xml"/><Relationship Id="rId2" Type="http://schemas.openxmlformats.org/officeDocument/2006/relationships/table" Target="../tables/table135.xml"/><Relationship Id="rId1" Type="http://schemas.openxmlformats.org/officeDocument/2006/relationships/table" Target="../tables/table134.xml"/><Relationship Id="rId6" Type="http://schemas.openxmlformats.org/officeDocument/2006/relationships/table" Target="../tables/table139.xml"/><Relationship Id="rId5" Type="http://schemas.openxmlformats.org/officeDocument/2006/relationships/table" Target="../tables/table138.xml"/><Relationship Id="rId4" Type="http://schemas.openxmlformats.org/officeDocument/2006/relationships/table" Target="../tables/table13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7.xml"/><Relationship Id="rId13" Type="http://schemas.openxmlformats.org/officeDocument/2006/relationships/table" Target="../tables/table152.xml"/><Relationship Id="rId18" Type="http://schemas.openxmlformats.org/officeDocument/2006/relationships/table" Target="../tables/table157.xml"/><Relationship Id="rId3" Type="http://schemas.openxmlformats.org/officeDocument/2006/relationships/table" Target="../tables/table142.xml"/><Relationship Id="rId7" Type="http://schemas.openxmlformats.org/officeDocument/2006/relationships/table" Target="../tables/table146.xml"/><Relationship Id="rId12" Type="http://schemas.openxmlformats.org/officeDocument/2006/relationships/table" Target="../tables/table151.xml"/><Relationship Id="rId17" Type="http://schemas.openxmlformats.org/officeDocument/2006/relationships/table" Target="../tables/table156.xml"/><Relationship Id="rId2" Type="http://schemas.openxmlformats.org/officeDocument/2006/relationships/table" Target="../tables/table141.xml"/><Relationship Id="rId16" Type="http://schemas.openxmlformats.org/officeDocument/2006/relationships/table" Target="../tables/table155.xml"/><Relationship Id="rId1" Type="http://schemas.openxmlformats.org/officeDocument/2006/relationships/table" Target="../tables/table140.xml"/><Relationship Id="rId6" Type="http://schemas.openxmlformats.org/officeDocument/2006/relationships/table" Target="../tables/table145.xml"/><Relationship Id="rId11" Type="http://schemas.openxmlformats.org/officeDocument/2006/relationships/table" Target="../tables/table150.xml"/><Relationship Id="rId5" Type="http://schemas.openxmlformats.org/officeDocument/2006/relationships/table" Target="../tables/table144.xml"/><Relationship Id="rId15" Type="http://schemas.openxmlformats.org/officeDocument/2006/relationships/table" Target="../tables/table154.xml"/><Relationship Id="rId10" Type="http://schemas.openxmlformats.org/officeDocument/2006/relationships/table" Target="../tables/table149.xml"/><Relationship Id="rId4" Type="http://schemas.openxmlformats.org/officeDocument/2006/relationships/table" Target="../tables/table143.xml"/><Relationship Id="rId9" Type="http://schemas.openxmlformats.org/officeDocument/2006/relationships/table" Target="../tables/table148.xml"/><Relationship Id="rId14" Type="http://schemas.openxmlformats.org/officeDocument/2006/relationships/table" Target="../tables/table15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5.xml"/><Relationship Id="rId13" Type="http://schemas.openxmlformats.org/officeDocument/2006/relationships/table" Target="../tables/table170.xml"/><Relationship Id="rId18" Type="http://schemas.openxmlformats.org/officeDocument/2006/relationships/table" Target="../tables/table175.xml"/><Relationship Id="rId3" Type="http://schemas.openxmlformats.org/officeDocument/2006/relationships/table" Target="../tables/table160.xml"/><Relationship Id="rId7" Type="http://schemas.openxmlformats.org/officeDocument/2006/relationships/table" Target="../tables/table164.xml"/><Relationship Id="rId12" Type="http://schemas.openxmlformats.org/officeDocument/2006/relationships/table" Target="../tables/table169.xml"/><Relationship Id="rId17" Type="http://schemas.openxmlformats.org/officeDocument/2006/relationships/table" Target="../tables/table174.xml"/><Relationship Id="rId2" Type="http://schemas.openxmlformats.org/officeDocument/2006/relationships/table" Target="../tables/table159.xml"/><Relationship Id="rId16" Type="http://schemas.openxmlformats.org/officeDocument/2006/relationships/table" Target="../tables/table173.xml"/><Relationship Id="rId1" Type="http://schemas.openxmlformats.org/officeDocument/2006/relationships/table" Target="../tables/table158.xml"/><Relationship Id="rId6" Type="http://schemas.openxmlformats.org/officeDocument/2006/relationships/table" Target="../tables/table163.xml"/><Relationship Id="rId11" Type="http://schemas.openxmlformats.org/officeDocument/2006/relationships/table" Target="../tables/table168.xml"/><Relationship Id="rId5" Type="http://schemas.openxmlformats.org/officeDocument/2006/relationships/table" Target="../tables/table162.xml"/><Relationship Id="rId15" Type="http://schemas.openxmlformats.org/officeDocument/2006/relationships/table" Target="../tables/table172.xml"/><Relationship Id="rId10" Type="http://schemas.openxmlformats.org/officeDocument/2006/relationships/table" Target="../tables/table167.xml"/><Relationship Id="rId4" Type="http://schemas.openxmlformats.org/officeDocument/2006/relationships/table" Target="../tables/table161.xml"/><Relationship Id="rId9" Type="http://schemas.openxmlformats.org/officeDocument/2006/relationships/table" Target="../tables/table166.xml"/><Relationship Id="rId14" Type="http://schemas.openxmlformats.org/officeDocument/2006/relationships/table" Target="../tables/table17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4.xml"/><Relationship Id="rId2" Type="http://schemas.openxmlformats.org/officeDocument/2006/relationships/table" Target="../tables/table18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86.xml"/><Relationship Id="rId4" Type="http://schemas.openxmlformats.org/officeDocument/2006/relationships/table" Target="../tables/table18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8.xml"/><Relationship Id="rId1" Type="http://schemas.openxmlformats.org/officeDocument/2006/relationships/table" Target="../tables/table18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Relationship Id="rId9" Type="http://schemas.openxmlformats.org/officeDocument/2006/relationships/table" Target="../tables/table3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table" Target="../tables/table40.xml"/><Relationship Id="rId7" Type="http://schemas.openxmlformats.org/officeDocument/2006/relationships/table" Target="../tables/table44.xml"/><Relationship Id="rId12" Type="http://schemas.openxmlformats.org/officeDocument/2006/relationships/table" Target="../tables/table49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6" Type="http://schemas.openxmlformats.org/officeDocument/2006/relationships/table" Target="../tables/table43.xml"/><Relationship Id="rId11" Type="http://schemas.openxmlformats.org/officeDocument/2006/relationships/table" Target="../tables/table48.xml"/><Relationship Id="rId5" Type="http://schemas.openxmlformats.org/officeDocument/2006/relationships/table" Target="../tables/table42.xml"/><Relationship Id="rId10" Type="http://schemas.openxmlformats.org/officeDocument/2006/relationships/table" Target="../tables/table47.xml"/><Relationship Id="rId4" Type="http://schemas.openxmlformats.org/officeDocument/2006/relationships/table" Target="../tables/table41.xml"/><Relationship Id="rId9" Type="http://schemas.openxmlformats.org/officeDocument/2006/relationships/table" Target="../tables/table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2" Type="http://schemas.openxmlformats.org/officeDocument/2006/relationships/table" Target="../tables/table51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6.xml"/><Relationship Id="rId13" Type="http://schemas.openxmlformats.org/officeDocument/2006/relationships/table" Target="../tables/table71.xml"/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12" Type="http://schemas.openxmlformats.org/officeDocument/2006/relationships/table" Target="../tables/table70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6" Type="http://schemas.openxmlformats.org/officeDocument/2006/relationships/table" Target="../tables/table64.xml"/><Relationship Id="rId11" Type="http://schemas.openxmlformats.org/officeDocument/2006/relationships/table" Target="../tables/table69.xml"/><Relationship Id="rId5" Type="http://schemas.openxmlformats.org/officeDocument/2006/relationships/table" Target="../tables/table63.xml"/><Relationship Id="rId15" Type="http://schemas.openxmlformats.org/officeDocument/2006/relationships/table" Target="../tables/table73.xml"/><Relationship Id="rId10" Type="http://schemas.openxmlformats.org/officeDocument/2006/relationships/table" Target="../tables/table68.xml"/><Relationship Id="rId4" Type="http://schemas.openxmlformats.org/officeDocument/2006/relationships/table" Target="../tables/table62.xml"/><Relationship Id="rId9" Type="http://schemas.openxmlformats.org/officeDocument/2006/relationships/table" Target="../tables/table67.xml"/><Relationship Id="rId14" Type="http://schemas.openxmlformats.org/officeDocument/2006/relationships/table" Target="../tables/table7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2"/>
  <sheetViews>
    <sheetView zoomScale="60" zoomScaleNormal="60" workbookViewId="0">
      <pane xSplit="1" topLeftCell="B1" activePane="topRight" state="frozen"/>
      <selection pane="topRight" activeCell="BB47" sqref="BB47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21875" style="1" customWidth="1"/>
    <col min="12" max="12" width="18.21875" style="1" customWidth="1"/>
    <col min="13" max="13" width="9.5546875" style="1" customWidth="1"/>
    <col min="14" max="14" width="19.77734375" style="1" customWidth="1"/>
    <col min="15" max="15" width="11.21875" style="1" customWidth="1"/>
    <col min="16" max="16" width="22.109375" style="1" customWidth="1"/>
    <col min="17" max="17" width="13.33203125" style="1" customWidth="1"/>
    <col min="18" max="18" width="23" style="1" customWidth="1"/>
    <col min="19" max="20" width="24.21875" style="1" customWidth="1"/>
    <col min="21" max="21" width="21.33203125" style="1" customWidth="1"/>
    <col min="22" max="22" width="13" style="1" customWidth="1"/>
    <col min="23" max="23" width="23.88671875" style="1" customWidth="1"/>
    <col min="24" max="24" width="12.6640625" style="1" customWidth="1"/>
    <col min="25" max="25" width="4.44140625" style="1" customWidth="1"/>
    <col min="26" max="26" width="16.21875" style="1" customWidth="1"/>
    <col min="27" max="27" width="18.5546875" style="1" customWidth="1"/>
    <col min="28" max="28" width="10.33203125" style="1" customWidth="1"/>
    <col min="29" max="29" width="19.33203125" style="1" customWidth="1"/>
    <col min="30" max="30" width="12.33203125" style="1" customWidth="1"/>
    <col min="31" max="31" width="21.6640625" style="1" customWidth="1"/>
    <col min="32" max="32" width="13.21875" style="1" customWidth="1"/>
    <col min="33" max="33" width="22.77734375" style="1" customWidth="1"/>
    <col min="34" max="35" width="24.77734375" style="1" customWidth="1"/>
    <col min="36" max="36" width="22" style="1" customWidth="1"/>
    <col min="37" max="37" width="13.77734375" style="1" customWidth="1"/>
    <col min="38" max="38" width="23.88671875" style="1" customWidth="1"/>
    <col min="39" max="39" width="13.21875" style="1" customWidth="1"/>
    <col min="40" max="40" width="8.88671875" style="1"/>
    <col min="41" max="41" width="16.5546875" style="1" customWidth="1"/>
    <col min="42" max="42" width="18.44140625" style="1" customWidth="1"/>
    <col min="43" max="43" width="9.44140625" style="1" customWidth="1"/>
    <col min="44" max="44" width="19.21875" style="1" customWidth="1"/>
    <col min="45" max="45" width="11.6640625" style="1" customWidth="1"/>
    <col min="46" max="46" width="21.44140625" style="1" customWidth="1"/>
    <col min="47" max="47" width="13.6640625" style="1" customWidth="1"/>
    <col min="48" max="48" width="23.44140625" style="1" bestFit="1" customWidth="1"/>
    <col min="49" max="50" width="24.33203125" style="1" customWidth="1"/>
    <col min="51" max="51" width="20.88671875" style="1" customWidth="1"/>
    <col min="52" max="52" width="13.33203125" style="1" customWidth="1"/>
    <col min="53" max="53" width="23.441406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10</v>
      </c>
      <c r="C3" s="1">
        <f xml:space="preserve"> 2*Table15[[#This Row],[INT]]</f>
        <v>16</v>
      </c>
      <c r="D3" s="1">
        <v>5</v>
      </c>
      <c r="E3" s="1">
        <v>6</v>
      </c>
      <c r="F3" s="1">
        <v>7</v>
      </c>
      <c r="G3" s="1">
        <v>8</v>
      </c>
      <c r="H3" s="1">
        <v>6</v>
      </c>
      <c r="I3" s="1">
        <v>100</v>
      </c>
      <c r="K3" s="14">
        <f>CEILING('Blue Slime'!$B$5/ IF('Blue Slime'!$D$5&lt; 10.8, Table15[[#This Row],[STR]], Table15[[#This Row],[STR]] / ('Blue Slime'!$D$5 / 10.8)), 1)</f>
        <v>3</v>
      </c>
      <c r="L3" s="14">
        <f>CEILING('Green Slime'!$B$5/ IF('Green Slime'!$D$5&lt; 10.8, Table15[[#This Row],[STR]], Table15[[#This Row],[STR]] / ('Green Slime'!$D$5 / 10.8)), 1)</f>
        <v>5</v>
      </c>
      <c r="M3" s="14">
        <f>CEILING(Wolf!$B$6/ IF(Wolf!$D$6&lt; 10.8, Table15[[#This Row],[STR]], Table15[[#This Row],[STR]] / (Wolf!$D$6 / 10.8)), 1)</f>
        <v>11</v>
      </c>
      <c r="N3" s="14">
        <f>CEILING('Horned Wolf'!$B$5/ IF('Horned Wolf'!$D$5&lt; 10.8, Table15[[#This Row],[STR]], Table15[[#This Row],[STR]] / ('Horned Wolf'!$D$5 / 10.8)), 1)</f>
        <v>28</v>
      </c>
      <c r="O3" s="8">
        <f>CEILING(Spider!$B$7/ IF(Spider!$D$7&lt; 10.8, Table15[[#This Row],[STR]], Table15[[#This Row],[STR]] / (Spider!$D$7 / 10.8)), 1)</f>
        <v>27</v>
      </c>
      <c r="P3" s="8">
        <f>CEILING('Evolved Spider'!$B$8/ IF('Evolved Spider'!$D$8&lt; 10.8, Table15[[#This Row],[STR]], Table15[[#This Row],[STR]] / ('Evolved Spider'!$D$8 / 10.8)), 1)</f>
        <v>53</v>
      </c>
      <c r="Q3" s="8">
        <f>CEILING(Arachne!$B$4/ IF(Arachne!$D$4&lt; 10.8, Table15[[#This Row],[STR]], Table15[[#This Row],[STR]] / (Arachne!$D$4 / 10.8)), 1)</f>
        <v>70</v>
      </c>
      <c r="R3" s="12">
        <f>CEILING('Earth Elemental'!$B$6/ IF('Earth Elemental'!$D$6&lt; 10.8, Table15[[#This Row],[STR]], Table15[[#This Row],[STR]] / ('Earth Elemental'!$D$6 / 10.8)), 1)</f>
        <v>72</v>
      </c>
      <c r="S3" s="12">
        <f>CEILING('Wind Elemental'!$B$6/ IF('Wind Elemental'!$D$6&lt; 10.8, Table15[[#This Row],[STR]], Table15[[#This Row],[STR]] / ('Wind Elemental'!$D$6 / 10.8)), 1)</f>
        <v>64</v>
      </c>
      <c r="T3" s="12">
        <f>CEILING('Water Elemental'!$B$6/ IF('Water Elemental'!$D$6&lt; 10.8, Table15[[#This Row],[STR]], Table15[[#This Row],[STR]] / ('Water Elemental'!$D$6 / 10.8)), 1)</f>
        <v>97</v>
      </c>
      <c r="U3" s="12">
        <f>CEILING('Fire Elemental'!$B$4/ IF('Fire Elemental'!$D$4&lt; 10.8, Table15[[#This Row],[STR]], Table15[[#This Row],[STR]] / ('Fire Elemental'!$D$4 / 10.8)), 1)</f>
        <v>124</v>
      </c>
      <c r="V3" s="12">
        <f>CEILING(Wyvern!$B$4/ IF(Wyvern!$D$4&lt; 10.8, Table15[[#This Row],[STR]], Table15[[#This Row],[STR]] / (Wyvern!$D$4 / 10.8)), 1)</f>
        <v>168</v>
      </c>
      <c r="W3" s="12">
        <f>CEILING('Evolved Wyvern'!$B$4/ IF('Evolved Wyvern'!$D$4&lt; 10.8, Table15[[#This Row],[STR]], Table15[[#This Row],[STR]] / ('Evolved Wyvern'!$D$4 / 10.8)), 1)</f>
        <v>232</v>
      </c>
      <c r="X3" s="12">
        <f>CEILING(Dragon!$B$4/ IF(Dragon!$D$4&lt; 10.8, Table15[[#This Row],[STR]], Table15[[#This Row],[STR]] / (Dragon!$D$4 / 10.8)), 1)</f>
        <v>382</v>
      </c>
      <c r="Z3" s="14">
        <f>CEILING('Blue Slime'!$M$5/ IF('Blue Slime'!$O$5&lt; 10.8, Table15[[#This Row],[STR]], Table15[[#This Row],[STR]] / ('Blue Slime'!$O$5 / 10.8)), 1)</f>
        <v>5</v>
      </c>
      <c r="AA3" s="14">
        <f>CEILING('Green Slime'!$M$5/ IF('Green Slime'!$O$5&lt; 10.8, Table15[[#This Row],[STR]], Table15[[#This Row],[STR]] / ('Green Slime'!$O$5 / 10.8)), 1)</f>
        <v>8</v>
      </c>
      <c r="AB3" s="14">
        <f>CEILING(Wolf!$M$6/ IF(Wolf!$O$6&lt; 10.8, Table15[[#This Row],[STR]], Table15[[#This Row],[STR]] / (Wolf!$O$6 / 10.8)), 1)</f>
        <v>22</v>
      </c>
      <c r="AC3" s="14">
        <f>CEILING('Horned Wolf'!$M$5/ IF('Horned Wolf'!$O$5&lt; 10.8, Table15[[#This Row],[STR]], Table15[[#This Row],[STR]] / ('Horned Wolf'!$O$5 / 10.8)), 1)</f>
        <v>61</v>
      </c>
      <c r="AD3" s="8">
        <f>CEILING(Spider!$M$7/ IF(Spider!$O$7&lt; 10.8, Table15[[#This Row],[STR]], Table15[[#This Row],[STR]] / (Spider!$O$7 / 10.8)), 1)</f>
        <v>55</v>
      </c>
      <c r="AE3" s="8">
        <f>CEILING('Evolved Spider'!$M$8/ IF('Evolved Spider'!$O$8&lt; 10.8, Table15[[#This Row],[STR]], Table15[[#This Row],[STR]] / ('Evolved Spider'!$O$8 / 10.8)), 1)</f>
        <v>103</v>
      </c>
      <c r="AF3" s="8">
        <f>CEILING(Arachne!$M$4/ IF(Arachne!$O$4&lt; 10.8, Table15[[#This Row],[STR]], Table15[[#This Row],[STR]] / (Arachne!$O$4 / 10.8)), 1)</f>
        <v>139</v>
      </c>
      <c r="AG3" s="12">
        <f>CEILING('Earth Elemental'!$M$6/ IF('Earth Elemental'!$O$6&lt; 10.8, Table15[[#This Row],[STR]], Table15[[#This Row],[STR]] / ('Earth Elemental'!$O$6 / 10.8)), 1)</f>
        <v>126</v>
      </c>
      <c r="AH3" s="12">
        <f>CEILING('Wind Elemental'!$M$6/ IF('Wind Elemental'!$O$6&lt; 10.8, Table15[[#This Row],[STR]], Table15[[#This Row],[STR]] / ('Wind Elemental'!$O$6 / 10.8)), 1)</f>
        <v>104</v>
      </c>
      <c r="AI3" s="12">
        <f>CEILING('Water Elemental'!$M$6/ IF('Water Elemental'!$O$6&lt; 10.8, Table15[[#This Row],[STR]], Table15[[#This Row],[STR]] / ('Water Elemental'!$O$6 / 10.8)), 1)</f>
        <v>150</v>
      </c>
      <c r="AJ3" s="12">
        <f>CEILING('Fire Elemental'!$M$4/ IF('Fire Elemental'!$O$4&lt; 10.8, Table15[[#This Row],[STR]], Table15[[#This Row],[STR]] / ('Fire Elemental'!$O$4 / 10.8)), 1)</f>
        <v>218</v>
      </c>
      <c r="AK3" s="8">
        <f>CEILING(Wyvern!$M$4/ IF(Wyvern!$O$4&lt; 10.8, Table15[[#This Row],[STR]], Table15[[#This Row],[STR]] / (Wyvern!$O$4 / 10.8)), 1)</f>
        <v>277</v>
      </c>
      <c r="AL3" s="8">
        <f>CEILING('Evolved Wyvern'!$M$4/ IF('Evolved Wyvern'!$O$4&lt; 10.8, Table15[[#This Row],[STR]], Table15[[#This Row],[STR]] / ('Evolved Wyvern'!$O$4 / 10.8)), 1)</f>
        <v>368</v>
      </c>
      <c r="AM3" s="8">
        <f>CEILING(Dragon!$M$4/ IF(Dragon!$O$4&lt; 10.8, Table15[[#This Row],[STR]], Table15[[#This Row],[STR]] / (Dragon!$O$4 / 10.8)), 1)</f>
        <v>613</v>
      </c>
      <c r="AO3" s="14">
        <f>CEILING('Blue Slime'!$Z$5/ IF('Blue Slime'!$X$5&lt; 10.8, Table15[[#This Row],[STR]], Table15[[#This Row],[STR]] / ('Blue Slime'!$X$5 / 10.8)), 1)</f>
        <v>8</v>
      </c>
      <c r="AP3" s="14">
        <f>CEILING('Green Slime'!$Z$5/ IF('Green Slime'!$X$5&lt; 10.8, Table15[[#This Row],[STR]], Table15[[#This Row],[STR]] / ('Green Slime'!$X$5 / 10.8)), 1)</f>
        <v>13</v>
      </c>
      <c r="AQ3" s="14">
        <f>CEILING(Wolf!$Z$6/ IF(Wolf!$X$6&lt; 10.8, Table15[[#This Row],[STR]], Table15[[#This Row],[STR]] / (Wolf!$X$6 / 10.8)), 1)</f>
        <v>38</v>
      </c>
      <c r="AR3" s="14">
        <f>CEILING('Horned Wolf'!$Z$5/ IF('Horned Wolf'!$X$5&lt; 10.8, Table15[[#This Row],[STR]], Table15[[#This Row],[STR]] / ('Horned Wolf'!$X$5 / 10.8)), 1)</f>
        <v>106</v>
      </c>
      <c r="AS3" s="8">
        <f>CEILING(Spider!$Z$7/ IF(Spider!$X$7&lt; 10.8, Table15[[#This Row],[STR]], Table15[[#This Row],[STR]] / (Spider!$X$7 / 10.8)), 1)</f>
        <v>93</v>
      </c>
      <c r="AT3" s="8">
        <f>CEILING('Evolved Spider'!$Z$8/ IF('Evolved Spider'!$X$8&lt; 10.8, Table15[[#This Row],[STR]], Table15[[#This Row],[STR]] / ('Evolved Spider'!$X$8 / 10.8)), 1)</f>
        <v>168</v>
      </c>
      <c r="AU3" s="8">
        <f>CEILING(Arachne!$Z$4/ IF(Arachne!$X$4&lt; 10.8, Table15[[#This Row],[STR]], Table15[[#This Row],[STR]] / (Arachne!$X$4 / 10.8)), 1)</f>
        <v>229</v>
      </c>
      <c r="AV3" s="8">
        <f>CEILING('Earth Elemental'!$Z$6/ IF('Earth Elemental'!$X$6&lt; 10.8, Table15[[#This Row],[STR]], Table15[[#This Row],[STR]] / ('Earth Elemental'!$X$6 / 10.8)), 1)</f>
        <v>192</v>
      </c>
      <c r="AW3" s="12">
        <f>CEILING('Wind Elemental'!$Z$6/ IF('Wind Elemental'!$X$6&lt; 10.8, Table15[[#This Row],[STR]], Table15[[#This Row],[STR]] / ('Wind Elemental'!$X$6 / 10.8)), 1)</f>
        <v>148</v>
      </c>
      <c r="AX3" s="12">
        <f>CEILING('Water Elemental'!$Z$6/ IF('Water Elemental'!$X$6&lt; 10.8, Table15[[#This Row],[STR]], Table15[[#This Row],[STR]] / ('Water Elemental'!$X$6 / 10.8)), 1)</f>
        <v>204</v>
      </c>
      <c r="AY3" s="8">
        <f>CEILING('Fire Elemental'!$Z$4/ IF('Fire Elemental'!$X$4&lt; 10.8, Table15[[#This Row],[STR]], Table15[[#This Row],[STR]] / ('Fire Elemental'!$X$4 / 10.8)), 1)</f>
        <v>333</v>
      </c>
      <c r="AZ3" s="8">
        <f>CEILING(Wyvern!$Z$4/ IF(Wyvern!$X$4&lt; 10.8, Table15[[#This Row],[STR]], Table15[[#This Row],[STR]] / (Wyvern!$X$4 / 10.8)), 1)</f>
        <v>403</v>
      </c>
      <c r="BA3" s="8">
        <f>CEILING('Evolved Wyvern'!$Z$4/ IF('Evolved Wyvern'!$X$4&lt; 10.8, Table15[[#This Row],[STR]], Table15[[#This Row],[STR]] / ('Evolved Wyvern'!$X$4 / 10.8)), 1)</f>
        <v>517</v>
      </c>
      <c r="BB3" s="8">
        <f>CEILING(Dragon!$Z$4/ IF(Dragon!$X$4&lt; 10.8, Table15[[#This Row],[STR]], Table15[[#This Row],[STR]] / (Dragon!$X$4 / 10.8)), 1)</f>
        <v>871</v>
      </c>
    </row>
    <row r="4" spans="1:54" x14ac:dyDescent="0.3">
      <c r="A4" s="1">
        <v>2</v>
      </c>
      <c r="B4" s="1">
        <f>$B$3 + ((Table15[[#This Row],[Level]] / 10) + $B$3 / 8) * Table15[[#This Row],[Level]]</f>
        <v>12.9</v>
      </c>
      <c r="C4" s="1">
        <f xml:space="preserve"> 2*Table15[[#This Row],[INT]]</f>
        <v>24</v>
      </c>
      <c r="D4" s="1">
        <f>$D$3 + ($D$3 / 4) * Table15[[#This Row],[Level]]</f>
        <v>7.5</v>
      </c>
      <c r="E4" s="1">
        <f>$E$3 + ($E$3 / 4) * Table15[[#This Row],[Level]]</f>
        <v>9</v>
      </c>
      <c r="F4" s="1">
        <f>$F$3 + ($F$3 / 4) * Table15[[#This Row],[Level]]</f>
        <v>10.5</v>
      </c>
      <c r="G4" s="1">
        <f>$G$3 + ($G$3 / 4) * Table15[[#This Row],[Level]]</f>
        <v>12</v>
      </c>
      <c r="H4" s="1">
        <f>$H$3 + ($H$3 / 4) * Table15[[#This Row],[Level]]</f>
        <v>9</v>
      </c>
      <c r="I4" s="1">
        <f xml:space="preserve"> (4 * (Table15[[#This Row],[Level]] ^ 3))/7 + $I$3</f>
        <v>104.57142857142857</v>
      </c>
      <c r="K4" s="14">
        <f>CEILING('Blue Slime'!$B$5/ IF('Blue Slime'!$D$5&lt; 10.8, Table15[[#This Row],[STR]], Table15[[#This Row],[STR]] / ('Blue Slime'!$D$5 / 10.8)), 1)</f>
        <v>2</v>
      </c>
      <c r="L4" s="14">
        <f>CEILING('Green Slime'!$B$5/ IF('Green Slime'!$D$5&lt; 10.8, Table15[[#This Row],[STR]], Table15[[#This Row],[STR]] / ('Green Slime'!$D$5 / 10.8)), 1)</f>
        <v>3</v>
      </c>
      <c r="M4" s="14">
        <f>CEILING(Wolf!$B$6/ IF(Wolf!$D$6&lt; 10.8, Table15[[#This Row],[STR]], Table15[[#This Row],[STR]] / (Wolf!$D$6 / 10.8)), 1)</f>
        <v>7</v>
      </c>
      <c r="N4" s="14">
        <f>CEILING('Horned Wolf'!$B$5/ IF('Horned Wolf'!$D$5&lt; 10.8, Table15[[#This Row],[STR]], Table15[[#This Row],[STR]] / ('Horned Wolf'!$D$5 / 10.8)), 1)</f>
        <v>19</v>
      </c>
      <c r="O4" s="8">
        <f>CEILING(Spider!$B$7/ IF(Spider!$D$7&lt; 10.8, Table15[[#This Row],[STR]], Table15[[#This Row],[STR]] / (Spider!$D$7 / 10.8)), 1)</f>
        <v>18</v>
      </c>
      <c r="P4" s="8">
        <f>CEILING('Evolved Spider'!$B$8/ IF('Evolved Spider'!$D$8&lt; 10.8, Table15[[#This Row],[STR]], Table15[[#This Row],[STR]] / ('Evolved Spider'!$D$8 / 10.8)), 1)</f>
        <v>36</v>
      </c>
      <c r="Q4" s="8">
        <f>CEILING(Arachne!$B$4/ IF(Arachne!$D$4&lt; 10.8, Table15[[#This Row],[STR]], Table15[[#This Row],[STR]] / (Arachne!$D$4 / 10.8)), 1)</f>
        <v>47</v>
      </c>
      <c r="R4" s="12">
        <f>CEILING('Earth Elemental'!$B$6/ IF('Earth Elemental'!$D$6&lt; 10.8, Table15[[#This Row],[STR]], Table15[[#This Row],[STR]] / ('Earth Elemental'!$D$6 / 10.8)), 1)</f>
        <v>48</v>
      </c>
      <c r="S4" s="12">
        <f>CEILING('Wind Elemental'!$B$6/ IF('Wind Elemental'!$D$6&lt; 10.8, Table15[[#This Row],[STR]], Table15[[#This Row],[STR]] / ('Wind Elemental'!$D$6 / 10.8)), 1)</f>
        <v>43</v>
      </c>
      <c r="T4" s="12">
        <f>CEILING('Water Elemental'!$B$6/ IF('Water Elemental'!$D$6&lt; 10.8, Table15[[#This Row],[STR]], Table15[[#This Row],[STR]] / ('Water Elemental'!$D$6 / 10.8)), 1)</f>
        <v>65</v>
      </c>
      <c r="U4" s="12">
        <f>CEILING('Fire Elemental'!$B$4/ IF('Fire Elemental'!$D$4&lt; 10.8, Table15[[#This Row],[STR]], Table15[[#This Row],[STR]] / ('Fire Elemental'!$D$4 / 10.8)), 1)</f>
        <v>83</v>
      </c>
      <c r="V4" s="12">
        <f>CEILING(Wyvern!$B$4/ IF(Wyvern!$D$4&lt; 10.8, Table15[[#This Row],[STR]], Table15[[#This Row],[STR]] / (Wyvern!$D$4 / 10.8)), 1)</f>
        <v>112</v>
      </c>
      <c r="W4" s="12">
        <f>CEILING('Evolved Wyvern'!$B$4/ IF('Evolved Wyvern'!$D$4&lt; 10.8, Table15[[#This Row],[STR]], Table15[[#This Row],[STR]] / ('Evolved Wyvern'!$D$4 / 10.8)), 1)</f>
        <v>155</v>
      </c>
      <c r="X4" s="12">
        <f>CEILING(Dragon!$B$4/ IF(Dragon!$D$4&lt; 10.8, Table15[[#This Row],[STR]], Table15[[#This Row],[STR]] / (Dragon!$D$4 / 10.8)), 1)</f>
        <v>255</v>
      </c>
      <c r="Z4" s="14">
        <f>CEILING('Blue Slime'!$M$5/ IF('Blue Slime'!$O$5&lt; 10.8, Table15[[#This Row],[STR]], Table15[[#This Row],[STR]] / ('Blue Slime'!$O$5 / 10.8)), 1)</f>
        <v>3</v>
      </c>
      <c r="AA4" s="14">
        <f>CEILING('Green Slime'!$M$5/ IF('Green Slime'!$O$5&lt; 10.8, Table15[[#This Row],[STR]], Table15[[#This Row],[STR]] / ('Green Slime'!$O$5 / 10.8)), 1)</f>
        <v>5</v>
      </c>
      <c r="AB4" s="14">
        <f>CEILING(Wolf!$M$6/ IF(Wolf!$O$6&lt; 10.8, Table15[[#This Row],[STR]], Table15[[#This Row],[STR]] / (Wolf!$O$6 / 10.8)), 1)</f>
        <v>15</v>
      </c>
      <c r="AC4" s="14">
        <f>CEILING('Horned Wolf'!$M$5/ IF('Horned Wolf'!$O$5&lt; 10.8, Table15[[#This Row],[STR]], Table15[[#This Row],[STR]] / ('Horned Wolf'!$O$5 / 10.8)), 1)</f>
        <v>41</v>
      </c>
      <c r="AD4" s="8">
        <f>CEILING(Spider!$M$7/ IF(Spider!$O$7&lt; 10.8, Table15[[#This Row],[STR]], Table15[[#This Row],[STR]] / (Spider!$O$7 / 10.8)), 1)</f>
        <v>37</v>
      </c>
      <c r="AE4" s="8">
        <f>CEILING('Evolved Spider'!$M$8/ IF('Evolved Spider'!$O$8&lt; 10.8, Table15[[#This Row],[STR]], Table15[[#This Row],[STR]] / ('Evolved Spider'!$O$8 / 10.8)), 1)</f>
        <v>69</v>
      </c>
      <c r="AF4" s="8">
        <f>CEILING(Arachne!$M$4/ IF(Arachne!$O$4&lt; 10.8, Table15[[#This Row],[STR]], Table15[[#This Row],[STR]] / (Arachne!$O$4 / 10.8)), 1)</f>
        <v>93</v>
      </c>
      <c r="AG4" s="12">
        <f>CEILING('Earth Elemental'!$M$6/ IF('Earth Elemental'!$O$6&lt; 10.8, Table15[[#This Row],[STR]], Table15[[#This Row],[STR]] / ('Earth Elemental'!$O$6 / 10.8)), 1)</f>
        <v>84</v>
      </c>
      <c r="AH4" s="12">
        <f>CEILING('Wind Elemental'!$M$6/ IF('Wind Elemental'!$O$6&lt; 10.8, Table15[[#This Row],[STR]], Table15[[#This Row],[STR]] / ('Wind Elemental'!$O$6 / 10.8)), 1)</f>
        <v>69</v>
      </c>
      <c r="AI4" s="12">
        <f>CEILING('Water Elemental'!$M$6/ IF('Water Elemental'!$O$6&lt; 10.8, Table15[[#This Row],[STR]], Table15[[#This Row],[STR]] / ('Water Elemental'!$O$6 / 10.8)), 1)</f>
        <v>100</v>
      </c>
      <c r="AJ4" s="12">
        <f>CEILING('Fire Elemental'!$M$4/ IF('Fire Elemental'!$O$4&lt; 10.8, Table15[[#This Row],[STR]], Table15[[#This Row],[STR]] / ('Fire Elemental'!$O$4 / 10.8)), 1)</f>
        <v>146</v>
      </c>
      <c r="AK4" s="12">
        <f>CEILING(Wyvern!$M$4/ IF(Wyvern!$O$4&lt; 10.8, Table15[[#This Row],[STR]], Table15[[#This Row],[STR]] / (Wyvern!$O$4 / 10.8)), 1)</f>
        <v>185</v>
      </c>
      <c r="AL4" s="12">
        <f>CEILING('Evolved Wyvern'!$M$4/ IF('Evolved Wyvern'!$O$4&lt; 10.8, Table15[[#This Row],[STR]], Table15[[#This Row],[STR]] / ('Evolved Wyvern'!$O$4 / 10.8)), 1)</f>
        <v>245</v>
      </c>
      <c r="AM4" s="12">
        <f>CEILING(Dragon!$M$4/ IF(Dragon!$O$4&lt; 10.8, Table15[[#This Row],[STR]], Table15[[#This Row],[STR]] / (Dragon!$O$4 / 10.8)), 1)</f>
        <v>409</v>
      </c>
      <c r="AO4" s="14">
        <f>CEILING('Blue Slime'!$Z$5/ IF('Blue Slime'!$X$5&lt; 10.8, Table15[[#This Row],[STR]], Table15[[#This Row],[STR]] / ('Blue Slime'!$X$5 / 10.8)), 1)</f>
        <v>5</v>
      </c>
      <c r="AP4" s="14">
        <f>CEILING('Green Slime'!$Z$5/ IF('Green Slime'!$X$5&lt; 10.8, Table15[[#This Row],[STR]], Table15[[#This Row],[STR]] / ('Green Slime'!$X$5 / 10.8)), 1)</f>
        <v>9</v>
      </c>
      <c r="AQ4" s="14">
        <f>CEILING(Wolf!$Z$6/ IF(Wolf!$X$6&lt; 10.8, Table15[[#This Row],[STR]], Table15[[#This Row],[STR]] / (Wolf!$X$6 / 10.8)), 1)</f>
        <v>25</v>
      </c>
      <c r="AR4" s="14">
        <f>CEILING('Horned Wolf'!$Z$5/ IF('Horned Wolf'!$X$5&lt; 10.8, Table15[[#This Row],[STR]], Table15[[#This Row],[STR]] / ('Horned Wolf'!$X$5 / 10.8)), 1)</f>
        <v>71</v>
      </c>
      <c r="AS4" s="8">
        <f>CEILING(Spider!$Z$7/ IF(Spider!$X$7&lt; 10.8, Table15[[#This Row],[STR]], Table15[[#This Row],[STR]] / (Spider!$X$7 / 10.8)), 1)</f>
        <v>62</v>
      </c>
      <c r="AT4" s="8">
        <f>CEILING('Evolved Spider'!$Z$8/ IF('Evolved Spider'!$X$8&lt; 10.8, Table15[[#This Row],[STR]], Table15[[#This Row],[STR]] / ('Evolved Spider'!$X$8 / 10.8)), 1)</f>
        <v>112</v>
      </c>
      <c r="AU4" s="8">
        <f>CEILING(Arachne!$Z$4/ IF(Arachne!$X$4&lt; 10.8, Table15[[#This Row],[STR]], Table15[[#This Row],[STR]] / (Arachne!$X$4 / 10.8)), 1)</f>
        <v>153</v>
      </c>
      <c r="AV4" s="12">
        <f>CEILING('Earth Elemental'!$Z$6/ IF('Earth Elemental'!$X$6&lt; 10.8, Table15[[#This Row],[STR]], Table15[[#This Row],[STR]] / ('Earth Elemental'!$X$6 / 10.8)), 1)</f>
        <v>128</v>
      </c>
      <c r="AW4" s="12">
        <f>CEILING('Wind Elemental'!$Z$6/ IF('Wind Elemental'!$X$6&lt; 10.8, Table15[[#This Row],[STR]], Table15[[#This Row],[STR]] / ('Wind Elemental'!$X$6 / 10.8)), 1)</f>
        <v>99</v>
      </c>
      <c r="AX4" s="12">
        <f>CEILING('Water Elemental'!$Z$6/ IF('Water Elemental'!$X$6&lt; 10.8, Table15[[#This Row],[STR]], Table15[[#This Row],[STR]] / ('Water Elemental'!$X$6 / 10.8)), 1)</f>
        <v>136</v>
      </c>
      <c r="AY4" s="12">
        <f>CEILING('Fire Elemental'!$Z$4/ IF('Fire Elemental'!$X$4&lt; 10.8, Table15[[#This Row],[STR]], Table15[[#This Row],[STR]] / ('Fire Elemental'!$X$4 / 10.8)), 1)</f>
        <v>222</v>
      </c>
      <c r="AZ4" s="12">
        <f>CEILING(Wyvern!$Z$4/ IF(Wyvern!$X$4&lt; 10.8, Table15[[#This Row],[STR]], Table15[[#This Row],[STR]] / (Wyvern!$X$4 / 10.8)), 1)</f>
        <v>269</v>
      </c>
      <c r="BA4" s="12">
        <f>CEILING('Evolved Wyvern'!$Z$4/ IF('Evolved Wyvern'!$X$4&lt; 10.8, Table15[[#This Row],[STR]], Table15[[#This Row],[STR]] / ('Evolved Wyvern'!$X$4 / 10.8)), 1)</f>
        <v>345</v>
      </c>
      <c r="BB4" s="12">
        <f>CEILING(Dragon!$Z$4/ IF(Dragon!$X$4&lt; 10.8, Table15[[#This Row],[STR]], Table15[[#This Row],[STR]] / (Dragon!$X$4 / 10.8)), 1)</f>
        <v>581</v>
      </c>
    </row>
    <row r="5" spans="1:54" x14ac:dyDescent="0.3">
      <c r="A5" s="1">
        <v>3</v>
      </c>
      <c r="B5" s="1">
        <f>$B$3 + ((Table15[[#This Row],[Level]] / 10) + $B$3 / 8) * Table15[[#This Row],[Level]]</f>
        <v>14.65</v>
      </c>
      <c r="C5" s="1">
        <f xml:space="preserve"> 2*Table15[[#This Row],[INT]]</f>
        <v>28</v>
      </c>
      <c r="D5" s="1">
        <f>$D$3 + ($D$3 / 4) * Table15[[#This Row],[Level]]</f>
        <v>8.75</v>
      </c>
      <c r="E5" s="1">
        <f>$E$3 + ($E$3 / 4) * Table15[[#This Row],[Level]]</f>
        <v>10.5</v>
      </c>
      <c r="F5" s="1">
        <f>$F$3 + ($F$3 / 4) * Table15[[#This Row],[Level]]</f>
        <v>12.25</v>
      </c>
      <c r="G5" s="1">
        <f>$G$3 + ($G$3 / 4) * Table15[[#This Row],[Level]]</f>
        <v>14</v>
      </c>
      <c r="H5" s="1">
        <f>$H$3 + ($H$3 / 4) * Table15[[#This Row],[Level]]</f>
        <v>10.5</v>
      </c>
      <c r="I5" s="1">
        <f xml:space="preserve"> (4 * (Table15[[#This Row],[Level]] ^ 3))/7 + $I$3</f>
        <v>115.42857142857143</v>
      </c>
      <c r="K5" s="14">
        <f>CEILING('Blue Slime'!$B$5/ IF('Blue Slime'!$D$5&lt; 10.8, Table15[[#This Row],[STR]], Table15[[#This Row],[STR]] / ('Blue Slime'!$D$5 / 10.8)), 1)</f>
        <v>2</v>
      </c>
      <c r="L5" s="14">
        <f>CEILING('Green Slime'!$B$5/ IF('Green Slime'!$D$5&lt; 10.8, Table15[[#This Row],[STR]], Table15[[#This Row],[STR]] / ('Green Slime'!$D$5 / 10.8)), 1)</f>
        <v>3</v>
      </c>
      <c r="M5" s="14">
        <f>CEILING(Wolf!$B$6/ IF(Wolf!$D$6&lt; 10.8, Table15[[#This Row],[STR]], Table15[[#This Row],[STR]] / (Wolf!$D$6 / 10.8)), 1)</f>
        <v>6</v>
      </c>
      <c r="N5" s="14">
        <f>CEILING('Horned Wolf'!$B$5/ IF('Horned Wolf'!$D$5&lt; 10.8, Table15[[#This Row],[STR]], Table15[[#This Row],[STR]] / ('Horned Wolf'!$D$5 / 10.8)), 1)</f>
        <v>16</v>
      </c>
      <c r="O5" s="8">
        <f>CEILING(Spider!$B$7/ IF(Spider!$D$7&lt; 10.8, Table15[[#This Row],[STR]], Table15[[#This Row],[STR]] / (Spider!$D$7 / 10.8)), 1)</f>
        <v>16</v>
      </c>
      <c r="P5" s="8">
        <f>CEILING('Evolved Spider'!$B$8/ IF('Evolved Spider'!$D$8&lt; 10.8, Table15[[#This Row],[STR]], Table15[[#This Row],[STR]] / ('Evolved Spider'!$D$8 / 10.8)), 1)</f>
        <v>31</v>
      </c>
      <c r="Q5" s="8">
        <f>CEILING(Arachne!$B$4/ IF(Arachne!$D$4&lt; 10.8, Table15[[#This Row],[STR]], Table15[[#This Row],[STR]] / (Arachne!$D$4 / 10.8)), 1)</f>
        <v>40</v>
      </c>
      <c r="R5" s="12">
        <f>CEILING('Earth Elemental'!$B$6/ IF('Earth Elemental'!$D$6&lt; 10.8, Table15[[#This Row],[STR]], Table15[[#This Row],[STR]] / ('Earth Elemental'!$D$6 / 10.8)), 1)</f>
        <v>41</v>
      </c>
      <c r="S5" s="12">
        <f>CEILING('Wind Elemental'!$B$6/ IF('Wind Elemental'!$D$6&lt; 10.8, Table15[[#This Row],[STR]], Table15[[#This Row],[STR]] / ('Wind Elemental'!$D$6 / 10.8)), 1)</f>
        <v>37</v>
      </c>
      <c r="T5" s="12">
        <f>CEILING('Water Elemental'!$B$6/ IF('Water Elemental'!$D$6&lt; 10.8, Table15[[#This Row],[STR]], Table15[[#This Row],[STR]] / ('Water Elemental'!$D$6 / 10.8)), 1)</f>
        <v>56</v>
      </c>
      <c r="U5" s="12">
        <f>CEILING('Fire Elemental'!$B$4/ IF('Fire Elemental'!$D$4&lt; 10.8, Table15[[#This Row],[STR]], Table15[[#This Row],[STR]] / ('Fire Elemental'!$D$4 / 10.8)), 1)</f>
        <v>71</v>
      </c>
      <c r="V5" s="12">
        <f>CEILING(Wyvern!$B$4/ IF(Wyvern!$D$4&lt; 10.8, Table15[[#This Row],[STR]], Table15[[#This Row],[STR]] / (Wyvern!$D$4 / 10.8)), 1)</f>
        <v>96</v>
      </c>
      <c r="W5" s="12">
        <f>CEILING('Evolved Wyvern'!$B$4/ IF('Evolved Wyvern'!$D$4&lt; 10.8, Table15[[#This Row],[STR]], Table15[[#This Row],[STR]] / ('Evolved Wyvern'!$D$4 / 10.8)), 1)</f>
        <v>133</v>
      </c>
      <c r="X5" s="12">
        <f>CEILING(Dragon!$B$4/ IF(Dragon!$D$4&lt; 10.8, Table15[[#This Row],[STR]], Table15[[#This Row],[STR]] / (Dragon!$D$4 / 10.8)), 1)</f>
        <v>219</v>
      </c>
      <c r="Z5" s="14">
        <f>CEILING('Blue Slime'!$M$5/ IF('Blue Slime'!$O$5&lt; 10.8, Table15[[#This Row],[STR]], Table15[[#This Row],[STR]] / ('Blue Slime'!$O$5 / 10.8)), 1)</f>
        <v>3</v>
      </c>
      <c r="AA5" s="14">
        <f>CEILING('Green Slime'!$M$5/ IF('Green Slime'!$O$5&lt; 10.8, Table15[[#This Row],[STR]], Table15[[#This Row],[STR]] / ('Green Slime'!$O$5 / 10.8)), 1)</f>
        <v>5</v>
      </c>
      <c r="AB5" s="14">
        <f>CEILING(Wolf!$M$6/ IF(Wolf!$O$6&lt; 10.8, Table15[[#This Row],[STR]], Table15[[#This Row],[STR]] / (Wolf!$O$6 / 10.8)), 1)</f>
        <v>13</v>
      </c>
      <c r="AC5" s="14">
        <f>CEILING('Horned Wolf'!$M$5/ IF('Horned Wolf'!$O$5&lt; 10.8, Table15[[#This Row],[STR]], Table15[[#This Row],[STR]] / ('Horned Wolf'!$O$5 / 10.8)), 1)</f>
        <v>35</v>
      </c>
      <c r="AD5" s="8">
        <f>CEILING(Spider!$M$7/ IF(Spider!$O$7&lt; 10.8, Table15[[#This Row],[STR]], Table15[[#This Row],[STR]] / (Spider!$O$7 / 10.8)), 1)</f>
        <v>32</v>
      </c>
      <c r="AE5" s="8">
        <f>CEILING('Evolved Spider'!$M$8/ IF('Evolved Spider'!$O$8&lt; 10.8, Table15[[#This Row],[STR]], Table15[[#This Row],[STR]] / ('Evolved Spider'!$O$8 / 10.8)), 1)</f>
        <v>59</v>
      </c>
      <c r="AF5" s="8">
        <f>CEILING(Arachne!$M$4/ IF(Arachne!$O$4&lt; 10.8, Table15[[#This Row],[STR]], Table15[[#This Row],[STR]] / (Arachne!$O$4 / 10.8)), 1)</f>
        <v>79</v>
      </c>
      <c r="AG5" s="12">
        <f>CEILING('Earth Elemental'!$M$6/ IF('Earth Elemental'!$O$6&lt; 10.8, Table15[[#This Row],[STR]], Table15[[#This Row],[STR]] / ('Earth Elemental'!$O$6 / 10.8)), 1)</f>
        <v>72</v>
      </c>
      <c r="AH5" s="12">
        <f>CEILING('Wind Elemental'!$M$6/ IF('Wind Elemental'!$O$6&lt; 10.8, Table15[[#This Row],[STR]], Table15[[#This Row],[STR]] / ('Wind Elemental'!$O$6 / 10.8)), 1)</f>
        <v>59</v>
      </c>
      <c r="AI5" s="12">
        <f>CEILING('Water Elemental'!$M$6/ IF('Water Elemental'!$O$6&lt; 10.8, Table15[[#This Row],[STR]], Table15[[#This Row],[STR]] / ('Water Elemental'!$O$6 / 10.8)), 1)</f>
        <v>86</v>
      </c>
      <c r="AJ5" s="12">
        <f>CEILING('Fire Elemental'!$M$4/ IF('Fire Elemental'!$O$4&lt; 10.8, Table15[[#This Row],[STR]], Table15[[#This Row],[STR]] / ('Fire Elemental'!$O$4 / 10.8)), 1)</f>
        <v>125</v>
      </c>
      <c r="AK5" s="12">
        <f>CEILING(Wyvern!$M$4/ IF(Wyvern!$O$4&lt; 10.8, Table15[[#This Row],[STR]], Table15[[#This Row],[STR]] / (Wyvern!$O$4 / 10.8)), 1)</f>
        <v>158</v>
      </c>
      <c r="AL5" s="12">
        <f>CEILING('Evolved Wyvern'!$M$4/ IF('Evolved Wyvern'!$O$4&lt; 10.8, Table15[[#This Row],[STR]], Table15[[#This Row],[STR]] / ('Evolved Wyvern'!$O$4 / 10.8)), 1)</f>
        <v>210</v>
      </c>
      <c r="AM5" s="12">
        <f>CEILING(Dragon!$M$4/ IF(Dragon!$O$4&lt; 10.8, Table15[[#This Row],[STR]], Table15[[#This Row],[STR]] / (Dragon!$O$4 / 10.8)), 1)</f>
        <v>351</v>
      </c>
      <c r="AO5" s="14">
        <f>CEILING('Blue Slime'!$Z$5/ IF('Blue Slime'!$X$5&lt; 10.8, Table15[[#This Row],[STR]], Table15[[#This Row],[STR]] / ('Blue Slime'!$X$5 / 10.8)), 1)</f>
        <v>5</v>
      </c>
      <c r="AP5" s="14">
        <f>CEILING('Green Slime'!$Z$5/ IF('Green Slime'!$X$5&lt; 10.8, Table15[[#This Row],[STR]], Table15[[#This Row],[STR]] / ('Green Slime'!$X$5 / 10.8)), 1)</f>
        <v>8</v>
      </c>
      <c r="AQ5" s="14">
        <f>CEILING(Wolf!$Z$6/ IF(Wolf!$X$6&lt; 10.8, Table15[[#This Row],[STR]], Table15[[#This Row],[STR]] / (Wolf!$X$6 / 10.8)), 1)</f>
        <v>22</v>
      </c>
      <c r="AR5" s="14">
        <f>CEILING('Horned Wolf'!$Z$5/ IF('Horned Wolf'!$X$5&lt; 10.8, Table15[[#This Row],[STR]], Table15[[#This Row],[STR]] / ('Horned Wolf'!$X$5 / 10.8)), 1)</f>
        <v>61</v>
      </c>
      <c r="AS5" s="8">
        <f>CEILING(Spider!$Z$7/ IF(Spider!$X$7&lt; 10.8, Table15[[#This Row],[STR]], Table15[[#This Row],[STR]] / (Spider!$X$7 / 10.8)), 1)</f>
        <v>53</v>
      </c>
      <c r="AT5" s="8">
        <f>CEILING('Evolved Spider'!$Z$8/ IF('Evolved Spider'!$X$8&lt; 10.8, Table15[[#This Row],[STR]], Table15[[#This Row],[STR]] / ('Evolved Spider'!$X$8 / 10.8)), 1)</f>
        <v>96</v>
      </c>
      <c r="AU5" s="8">
        <f>CEILING(Arachne!$Z$4/ IF(Arachne!$X$4&lt; 10.8, Table15[[#This Row],[STR]], Table15[[#This Row],[STR]] / (Arachne!$X$4 / 10.8)), 1)</f>
        <v>131</v>
      </c>
      <c r="AV5" s="12">
        <f>CEILING('Earth Elemental'!$Z$6/ IF('Earth Elemental'!$X$6&lt; 10.8, Table15[[#This Row],[STR]], Table15[[#This Row],[STR]] / ('Earth Elemental'!$X$6 / 10.8)), 1)</f>
        <v>110</v>
      </c>
      <c r="AW5" s="12">
        <f>CEILING('Wind Elemental'!$Z$6/ IF('Wind Elemental'!$X$6&lt; 10.8, Table15[[#This Row],[STR]], Table15[[#This Row],[STR]] / ('Wind Elemental'!$X$6 / 10.8)), 1)</f>
        <v>85</v>
      </c>
      <c r="AX5" s="12">
        <f>CEILING('Water Elemental'!$Z$6/ IF('Water Elemental'!$X$6&lt; 10.8, Table15[[#This Row],[STR]], Table15[[#This Row],[STR]] / ('Water Elemental'!$X$6 / 10.8)), 1)</f>
        <v>117</v>
      </c>
      <c r="AY5" s="12">
        <f>CEILING('Fire Elemental'!$Z$4/ IF('Fire Elemental'!$X$4&lt; 10.8, Table15[[#This Row],[STR]], Table15[[#This Row],[STR]] / ('Fire Elemental'!$X$4 / 10.8)), 1)</f>
        <v>191</v>
      </c>
      <c r="AZ5" s="12">
        <f>CEILING(Wyvern!$Z$4/ IF(Wyvern!$X$4&lt; 10.8, Table15[[#This Row],[STR]], Table15[[#This Row],[STR]] / (Wyvern!$X$4 / 10.8)), 1)</f>
        <v>230</v>
      </c>
      <c r="BA5" s="12">
        <f>CEILING('Evolved Wyvern'!$Z$4/ IF('Evolved Wyvern'!$X$4&lt; 10.8, Table15[[#This Row],[STR]], Table15[[#This Row],[STR]] / ('Evolved Wyvern'!$X$4 / 10.8)), 1)</f>
        <v>295</v>
      </c>
      <c r="BB5" s="12">
        <f>CEILING(Dragon!$Z$4/ IF(Dragon!$X$4&lt; 10.8, Table15[[#This Row],[STR]], Table15[[#This Row],[STR]] / (Dragon!$X$4 / 10.8)), 1)</f>
        <v>498</v>
      </c>
    </row>
    <row r="6" spans="1:54" x14ac:dyDescent="0.3">
      <c r="A6" s="30">
        <v>4</v>
      </c>
      <c r="B6" s="30">
        <f>$B$3 + ((Table15[[#This Row],[Level]] / 10) + $B$3 / 8) * Table15[[#This Row],[Level]]</f>
        <v>16.600000000000001</v>
      </c>
      <c r="C6" s="30">
        <f xml:space="preserve"> 2*Table15[[#This Row],[INT]]</f>
        <v>32</v>
      </c>
      <c r="D6" s="30">
        <f>$D$3 + ($D$3 / 4) * Table15[[#This Row],[Level]]</f>
        <v>10</v>
      </c>
      <c r="E6" s="30">
        <f>$E$3 + ($E$3 / 4) * Table15[[#This Row],[Level]]</f>
        <v>12</v>
      </c>
      <c r="F6" s="30">
        <f>$F$3 + ($F$3 / 4) * Table15[[#This Row],[Level]]</f>
        <v>14</v>
      </c>
      <c r="G6" s="30">
        <f>$G$3 + ($G$3 / 4) * Table15[[#This Row],[Level]]</f>
        <v>16</v>
      </c>
      <c r="H6" s="30">
        <f>$H$3 + ($H$3 / 4) * Table15[[#This Row],[Level]]</f>
        <v>12</v>
      </c>
      <c r="I6" s="30">
        <f xml:space="preserve"> (4 * (Table15[[#This Row],[Level]] ^ 3))/7 + $I$3</f>
        <v>136.57142857142856</v>
      </c>
      <c r="K6" s="14">
        <f>CEILING('Blue Slime'!$B$5/ IF('Blue Slime'!$D$5&lt; 10.8, Table15[[#This Row],[STR]], Table15[[#This Row],[STR]] / ('Blue Slime'!$D$5 / 10.8)), 1)</f>
        <v>2</v>
      </c>
      <c r="L6" s="14">
        <f>CEILING('Green Slime'!$B$5/ IF('Green Slime'!$D$5&lt; 10.8, Table15[[#This Row],[STR]], Table15[[#This Row],[STR]] / ('Green Slime'!$D$5 / 10.8)), 1)</f>
        <v>3</v>
      </c>
      <c r="M6" s="14">
        <f>CEILING(Wolf!$B$6/ IF(Wolf!$D$6&lt; 10.8, Table15[[#This Row],[STR]], Table15[[#This Row],[STR]] / (Wolf!$D$6 / 10.8)), 1)</f>
        <v>6</v>
      </c>
      <c r="N6" s="14">
        <f>CEILING('Horned Wolf'!$B$5/ IF('Horned Wolf'!$D$5&lt; 10.8, Table15[[#This Row],[STR]], Table15[[#This Row],[STR]] / ('Horned Wolf'!$D$5 / 10.8)), 1)</f>
        <v>14</v>
      </c>
      <c r="O6" s="8">
        <f>CEILING(Spider!$B$7/ IF(Spider!$D$7&lt; 10.8, Table15[[#This Row],[STR]], Table15[[#This Row],[STR]] / (Spider!$D$7 / 10.8)), 1)</f>
        <v>14</v>
      </c>
      <c r="P6" s="8">
        <f>CEILING('Evolved Spider'!$B$8/ IF('Evolved Spider'!$D$8&lt; 10.8, Table15[[#This Row],[STR]], Table15[[#This Row],[STR]] / ('Evolved Spider'!$D$8 / 10.8)), 1)</f>
        <v>27</v>
      </c>
      <c r="Q6" s="8">
        <f>CEILING(Arachne!$B$4/ IF(Arachne!$D$4&lt; 10.8, Table15[[#This Row],[STR]], Table15[[#This Row],[STR]] / (Arachne!$D$4 / 10.8)), 1)</f>
        <v>35</v>
      </c>
      <c r="R6" s="12">
        <f>CEILING('Earth Elemental'!$B$6/ IF('Earth Elemental'!$D$6&lt; 10.8, Table15[[#This Row],[STR]], Table15[[#This Row],[STR]] / ('Earth Elemental'!$D$6 / 10.8)), 1)</f>
        <v>36</v>
      </c>
      <c r="S6" s="12">
        <f>CEILING('Wind Elemental'!$B$6/ IF('Wind Elemental'!$D$6&lt; 10.8, Table15[[#This Row],[STR]], Table15[[#This Row],[STR]] / ('Wind Elemental'!$D$6 / 10.8)), 1)</f>
        <v>32</v>
      </c>
      <c r="T6" s="12">
        <f>CEILING('Water Elemental'!$B$6/ IF('Water Elemental'!$D$6&lt; 10.8, Table15[[#This Row],[STR]], Table15[[#This Row],[STR]] / ('Water Elemental'!$D$6 / 10.8)), 1)</f>
        <v>49</v>
      </c>
      <c r="U6" s="12">
        <f>CEILING('Fire Elemental'!$B$4/ IF('Fire Elemental'!$D$4&lt; 10.8, Table15[[#This Row],[STR]], Table15[[#This Row],[STR]] / ('Fire Elemental'!$D$4 / 10.8)), 1)</f>
        <v>62</v>
      </c>
      <c r="V6" s="12">
        <f>CEILING(Wyvern!$B$4/ IF(Wyvern!$D$4&lt; 10.8, Table15[[#This Row],[STR]], Table15[[#This Row],[STR]] / (Wyvern!$D$4 / 10.8)), 1)</f>
        <v>84</v>
      </c>
      <c r="W6" s="12">
        <f>CEILING('Evolved Wyvern'!$B$4/ IF('Evolved Wyvern'!$D$4&lt; 10.8, Table15[[#This Row],[STR]], Table15[[#This Row],[STR]] / ('Evolved Wyvern'!$D$4 / 10.8)), 1)</f>
        <v>116</v>
      </c>
      <c r="X6" s="12">
        <f>CEILING(Dragon!$B$4/ IF(Dragon!$D$4&lt; 10.8, Table15[[#This Row],[STR]], Table15[[#This Row],[STR]] / (Dragon!$D$4 / 10.8)), 1)</f>
        <v>191</v>
      </c>
      <c r="Z6" s="14">
        <f>CEILING('Blue Slime'!$M$5/ IF('Blue Slime'!$O$5&lt; 10.8, Table15[[#This Row],[STR]], Table15[[#This Row],[STR]] / ('Blue Slime'!$O$5 / 10.8)), 1)</f>
        <v>3</v>
      </c>
      <c r="AA6" s="14">
        <f>CEILING('Green Slime'!$M$5/ IF('Green Slime'!$O$5&lt; 10.8, Table15[[#This Row],[STR]], Table15[[#This Row],[STR]] / ('Green Slime'!$O$5 / 10.8)), 1)</f>
        <v>4</v>
      </c>
      <c r="AB6" s="14">
        <f>CEILING(Wolf!$M$6/ IF(Wolf!$O$6&lt; 10.8, Table15[[#This Row],[STR]], Table15[[#This Row],[STR]] / (Wolf!$O$6 / 10.8)), 1)</f>
        <v>11</v>
      </c>
      <c r="AC6" s="14">
        <f>CEILING('Horned Wolf'!$M$5/ IF('Horned Wolf'!$O$5&lt; 10.8, Table15[[#This Row],[STR]], Table15[[#This Row],[STR]] / ('Horned Wolf'!$O$5 / 10.8)), 1)</f>
        <v>31</v>
      </c>
      <c r="AD6" s="8">
        <f>CEILING(Spider!$M$7/ IF(Spider!$O$7&lt; 10.8, Table15[[#This Row],[STR]], Table15[[#This Row],[STR]] / (Spider!$O$7 / 10.8)), 1)</f>
        <v>28</v>
      </c>
      <c r="AE6" s="8">
        <f>CEILING('Evolved Spider'!$M$8/ IF('Evolved Spider'!$O$8&lt; 10.8, Table15[[#This Row],[STR]], Table15[[#This Row],[STR]] / ('Evolved Spider'!$O$8 / 10.8)), 1)</f>
        <v>52</v>
      </c>
      <c r="AF6" s="8">
        <f>CEILING(Arachne!$M$4/ IF(Arachne!$O$4&lt; 10.8, Table15[[#This Row],[STR]], Table15[[#This Row],[STR]] / (Arachne!$O$4 / 10.8)), 1)</f>
        <v>70</v>
      </c>
      <c r="AG6" s="12">
        <f>CEILING('Earth Elemental'!$M$6/ IF('Earth Elemental'!$O$6&lt; 10.8, Table15[[#This Row],[STR]], Table15[[#This Row],[STR]] / ('Earth Elemental'!$O$6 / 10.8)), 1)</f>
        <v>63</v>
      </c>
      <c r="AH6" s="12">
        <f>CEILING('Wind Elemental'!$M$6/ IF('Wind Elemental'!$O$6&lt; 10.8, Table15[[#This Row],[STR]], Table15[[#This Row],[STR]] / ('Wind Elemental'!$O$6 / 10.8)), 1)</f>
        <v>52</v>
      </c>
      <c r="AI6" s="12">
        <f>CEILING('Water Elemental'!$M$6/ IF('Water Elemental'!$O$6&lt; 10.8, Table15[[#This Row],[STR]], Table15[[#This Row],[STR]] / ('Water Elemental'!$O$6 / 10.8)), 1)</f>
        <v>75</v>
      </c>
      <c r="AJ6" s="12">
        <f>CEILING('Fire Elemental'!$M$4/ IF('Fire Elemental'!$O$4&lt; 10.8, Table15[[#This Row],[STR]], Table15[[#This Row],[STR]] / ('Fire Elemental'!$O$4 / 10.8)), 1)</f>
        <v>109</v>
      </c>
      <c r="AK6" s="12">
        <f>CEILING(Wyvern!$M$4/ IF(Wyvern!$O$4&lt; 10.8, Table15[[#This Row],[STR]], Table15[[#This Row],[STR]] / (Wyvern!$O$4 / 10.8)), 1)</f>
        <v>139</v>
      </c>
      <c r="AL6" s="12">
        <f>CEILING('Evolved Wyvern'!$M$4/ IF('Evolved Wyvern'!$O$4&lt; 10.8, Table15[[#This Row],[STR]], Table15[[#This Row],[STR]] / ('Evolved Wyvern'!$O$4 / 10.8)), 1)</f>
        <v>184</v>
      </c>
      <c r="AM6" s="12">
        <f>CEILING(Dragon!$M$4/ IF(Dragon!$O$4&lt; 10.8, Table15[[#This Row],[STR]], Table15[[#This Row],[STR]] / (Dragon!$O$4 / 10.8)), 1)</f>
        <v>307</v>
      </c>
      <c r="AO6" s="14">
        <f>CEILING('Blue Slime'!$Z$5/ IF('Blue Slime'!$X$5&lt; 10.8, Table15[[#This Row],[STR]], Table15[[#This Row],[STR]] / ('Blue Slime'!$X$5 / 10.8)), 1)</f>
        <v>4</v>
      </c>
      <c r="AP6" s="14">
        <f>CEILING('Green Slime'!$Z$5/ IF('Green Slime'!$X$5&lt; 10.8, Table15[[#This Row],[STR]], Table15[[#This Row],[STR]] / ('Green Slime'!$X$5 / 10.8)), 1)</f>
        <v>7</v>
      </c>
      <c r="AQ6" s="14">
        <f>CEILING(Wolf!$Z$6/ IF(Wolf!$X$6&lt; 10.8, Table15[[#This Row],[STR]], Table15[[#This Row],[STR]] / (Wolf!$X$6 / 10.8)), 1)</f>
        <v>19</v>
      </c>
      <c r="AR6" s="14">
        <f>CEILING('Horned Wolf'!$Z$5/ IF('Horned Wolf'!$X$5&lt; 10.8, Table15[[#This Row],[STR]], Table15[[#This Row],[STR]] / ('Horned Wolf'!$X$5 / 10.8)), 1)</f>
        <v>53</v>
      </c>
      <c r="AS6" s="8">
        <f>CEILING(Spider!$Z$7/ IF(Spider!$X$7&lt; 10.8, Table15[[#This Row],[STR]], Table15[[#This Row],[STR]] / (Spider!$X$7 / 10.8)), 1)</f>
        <v>47</v>
      </c>
      <c r="AT6" s="8">
        <f>CEILING('Evolved Spider'!$Z$8/ IF('Evolved Spider'!$X$8&lt; 10.8, Table15[[#This Row],[STR]], Table15[[#This Row],[STR]] / ('Evolved Spider'!$X$8 / 10.8)), 1)</f>
        <v>84</v>
      </c>
      <c r="AU6" s="8">
        <f>CEILING(Arachne!$Z$4/ IF(Arachne!$X$4&lt; 10.8, Table15[[#This Row],[STR]], Table15[[#This Row],[STR]] / (Arachne!$X$4 / 10.8)), 1)</f>
        <v>115</v>
      </c>
      <c r="AV6" s="12">
        <f>CEILING('Earth Elemental'!$Z$6/ IF('Earth Elemental'!$X$6&lt; 10.8, Table15[[#This Row],[STR]], Table15[[#This Row],[STR]] / ('Earth Elemental'!$X$6 / 10.8)), 1)</f>
        <v>96</v>
      </c>
      <c r="AW6" s="12">
        <f>CEILING('Wind Elemental'!$Z$6/ IF('Wind Elemental'!$X$6&lt; 10.8, Table15[[#This Row],[STR]], Table15[[#This Row],[STR]] / ('Wind Elemental'!$X$6 / 10.8)), 1)</f>
        <v>74</v>
      </c>
      <c r="AX6" s="12">
        <f>CEILING('Water Elemental'!$Z$6/ IF('Water Elemental'!$X$6&lt; 10.8, Table15[[#This Row],[STR]], Table15[[#This Row],[STR]] / ('Water Elemental'!$X$6 / 10.8)), 1)</f>
        <v>102</v>
      </c>
      <c r="AY6" s="12">
        <f>CEILING('Fire Elemental'!$Z$4/ IF('Fire Elemental'!$X$4&lt; 10.8, Table15[[#This Row],[STR]], Table15[[#This Row],[STR]] / ('Fire Elemental'!$X$4 / 10.8)), 1)</f>
        <v>167</v>
      </c>
      <c r="AZ6" s="12">
        <f>CEILING(Wyvern!$Z$4/ IF(Wyvern!$X$4&lt; 10.8, Table15[[#This Row],[STR]], Table15[[#This Row],[STR]] / (Wyvern!$X$4 / 10.8)), 1)</f>
        <v>202</v>
      </c>
      <c r="BA6" s="12">
        <f>CEILING('Evolved Wyvern'!$Z$4/ IF('Evolved Wyvern'!$X$4&lt; 10.8, Table15[[#This Row],[STR]], Table15[[#This Row],[STR]] / ('Evolved Wyvern'!$X$4 / 10.8)), 1)</f>
        <v>259</v>
      </c>
      <c r="BB6" s="12">
        <f>CEILING(Dragon!$Z$4/ IF(Dragon!$X$4&lt; 10.8, Table15[[#This Row],[STR]], Table15[[#This Row],[STR]] / (Dragon!$X$4 / 10.8)), 1)</f>
        <v>436</v>
      </c>
    </row>
    <row r="7" spans="1:54" x14ac:dyDescent="0.3">
      <c r="A7" s="1">
        <v>5</v>
      </c>
      <c r="B7" s="1">
        <f>$B$3 + ((Table15[[#This Row],[Level]] / 10) + $B$3 / 8) * Table15[[#This Row],[Level]] + Equipment!$D$10</f>
        <v>24.75</v>
      </c>
      <c r="C7" s="1">
        <f xml:space="preserve"> 2*Table15[[#This Row],[INT]]</f>
        <v>44</v>
      </c>
      <c r="D7" s="1">
        <f>$D$3 + ($D$3 / 4) * Table15[[#This Row],[Level]] + Equipment!$E$10</f>
        <v>14.25</v>
      </c>
      <c r="E7" s="1">
        <f>$E$3 + ($E$3 / 4) * Table15[[#This Row],[Level]] + Equipment!$F$10</f>
        <v>16.5</v>
      </c>
      <c r="F7" s="1">
        <f>$F$3 + ($F$3 / 4) * Table15[[#This Row],[Level]] + Equipment!$G$10</f>
        <v>19.75</v>
      </c>
      <c r="G7" s="1">
        <f>$G$3 + ($G$3 / 4) * Table15[[#This Row],[Level]] + Equipment!$H$10</f>
        <v>22</v>
      </c>
      <c r="H7" s="1">
        <f>$H$3 + ($H$3 / 4) * Table15[[#This Row],[Level]] + Equipment!$I$10</f>
        <v>16.5</v>
      </c>
      <c r="I7" s="1">
        <f xml:space="preserve"> (4 * (Table15[[#This Row],[Level]] ^ 3))/7 + $I$3</f>
        <v>171.42857142857144</v>
      </c>
      <c r="K7" s="14">
        <f>CEILING('Blue Slime'!$B$5/ IF('Blue Slime'!$D$5&lt; 10.8, Table15[[#This Row],[STR]], Table15[[#This Row],[STR]] / ('Blue Slime'!$D$5 / 10.8)), 1)</f>
        <v>2</v>
      </c>
      <c r="L7" s="14">
        <f>CEILING('Green Slime'!$B$5/ IF('Green Slime'!$D$5&lt; 10.8, Table15[[#This Row],[STR]], Table15[[#This Row],[STR]] / ('Green Slime'!$D$5 / 10.8)), 1)</f>
        <v>2</v>
      </c>
      <c r="M7" s="14">
        <f>CEILING(Wolf!$B$6/ IF(Wolf!$D$6&lt; 10.8, Table15[[#This Row],[STR]], Table15[[#This Row],[STR]] / (Wolf!$D$6 / 10.8)), 1)</f>
        <v>4</v>
      </c>
      <c r="N7" s="14">
        <f>CEILING('Horned Wolf'!$B$5/ IF('Horned Wolf'!$D$5&lt; 10.8, Table15[[#This Row],[STR]], Table15[[#This Row],[STR]] / ('Horned Wolf'!$D$5 / 10.8)), 1)</f>
        <v>10</v>
      </c>
      <c r="O7" s="8">
        <f>CEILING(Spider!$B$7/ IF(Spider!$D$7&lt; 10.8, Table15[[#This Row],[STR]], Table15[[#This Row],[STR]] / (Spider!$D$7 / 10.8)), 1)</f>
        <v>10</v>
      </c>
      <c r="P7" s="8">
        <f>CEILING('Evolved Spider'!$B$8/ IF('Evolved Spider'!$D$8&lt; 10.8, Table15[[#This Row],[STR]], Table15[[#This Row],[STR]] / ('Evolved Spider'!$D$8 / 10.8)), 1)</f>
        <v>19</v>
      </c>
      <c r="Q7" s="8">
        <f>CEILING(Arachne!$B$4/ IF(Arachne!$D$4&lt; 10.8, Table15[[#This Row],[STR]], Table15[[#This Row],[STR]] / (Arachne!$D$4 / 10.8)), 1)</f>
        <v>25</v>
      </c>
      <c r="R7" s="12">
        <f>CEILING('Earth Elemental'!$B$6/ IF('Earth Elemental'!$D$6&lt; 10.8, Table15[[#This Row],[STR]], Table15[[#This Row],[STR]] / ('Earth Elemental'!$D$6 / 10.8)), 1)</f>
        <v>26</v>
      </c>
      <c r="S7" s="12">
        <f>CEILING('Wind Elemental'!$B$6/ IF('Wind Elemental'!$D$6&lt; 10.8, Table15[[#This Row],[STR]], Table15[[#This Row],[STR]] / ('Wind Elemental'!$D$6 / 10.8)), 1)</f>
        <v>23</v>
      </c>
      <c r="T7" s="12">
        <f>CEILING('Water Elemental'!$B$6/ IF('Water Elemental'!$D$6&lt; 10.8, Table15[[#This Row],[STR]], Table15[[#This Row],[STR]] / ('Water Elemental'!$D$6 / 10.8)), 1)</f>
        <v>35</v>
      </c>
      <c r="U7" s="12">
        <f>CEILING('Fire Elemental'!$B$4/ IF('Fire Elemental'!$D$4&lt; 10.8, Table15[[#This Row],[STR]], Table15[[#This Row],[STR]] / ('Fire Elemental'!$D$4 / 10.8)), 1)</f>
        <v>44</v>
      </c>
      <c r="V7" s="12">
        <f>CEILING(Wyvern!$B$4/ IF(Wyvern!$D$4&lt; 10.8, Table15[[#This Row],[STR]], Table15[[#This Row],[STR]] / (Wyvern!$D$4 / 10.8)), 1)</f>
        <v>60</v>
      </c>
      <c r="W7" s="12">
        <f>CEILING('Evolved Wyvern'!$B$4/ IF('Evolved Wyvern'!$D$4&lt; 10.8, Table15[[#This Row],[STR]], Table15[[#This Row],[STR]] / ('Evolved Wyvern'!$D$4 / 10.8)), 1)</f>
        <v>83</v>
      </c>
      <c r="X7" s="12">
        <f>CEILING(Dragon!$B$4/ IF(Dragon!$D$4&lt; 10.8, Table15[[#This Row],[STR]], Table15[[#This Row],[STR]] / (Dragon!$D$4 / 10.8)), 1)</f>
        <v>136</v>
      </c>
      <c r="Z7" s="14">
        <f>CEILING('Blue Slime'!$M$5/ IF('Blue Slime'!$O$5&lt; 10.8, Table15[[#This Row],[STR]], Table15[[#This Row],[STR]] / ('Blue Slime'!$O$5 / 10.8)), 1)</f>
        <v>2</v>
      </c>
      <c r="AA7" s="14">
        <f>CEILING('Green Slime'!$M$5/ IF('Green Slime'!$O$5&lt; 10.8, Table15[[#This Row],[STR]], Table15[[#This Row],[STR]] / ('Green Slime'!$O$5 / 10.8)), 1)</f>
        <v>3</v>
      </c>
      <c r="AB7" s="14">
        <f>CEILING(Wolf!$M$6/ IF(Wolf!$O$6&lt; 10.8, Table15[[#This Row],[STR]], Table15[[#This Row],[STR]] / (Wolf!$O$6 / 10.8)), 1)</f>
        <v>8</v>
      </c>
      <c r="AC7" s="14">
        <f>CEILING('Horned Wolf'!$M$5/ IF('Horned Wolf'!$O$5&lt; 10.8, Table15[[#This Row],[STR]], Table15[[#This Row],[STR]] / ('Horned Wolf'!$O$5 / 10.8)), 1)</f>
        <v>22</v>
      </c>
      <c r="AD7" s="8">
        <f>CEILING(Spider!$M$7/ IF(Spider!$O$7&lt; 10.8, Table15[[#This Row],[STR]], Table15[[#This Row],[STR]] / (Spider!$O$7 / 10.8)), 1)</f>
        <v>20</v>
      </c>
      <c r="AE7" s="8">
        <f>CEILING('Evolved Spider'!$M$8/ IF('Evolved Spider'!$O$8&lt; 10.8, Table15[[#This Row],[STR]], Table15[[#This Row],[STR]] / ('Evolved Spider'!$O$8 / 10.8)), 1)</f>
        <v>37</v>
      </c>
      <c r="AF7" s="8">
        <f>CEILING(Arachne!$M$4/ IF(Arachne!$O$4&lt; 10.8, Table15[[#This Row],[STR]], Table15[[#This Row],[STR]] / (Arachne!$O$4 / 10.8)), 1)</f>
        <v>49</v>
      </c>
      <c r="AG7" s="12">
        <f>CEILING('Earth Elemental'!$M$6/ IF('Earth Elemental'!$O$6&lt; 10.8, Table15[[#This Row],[STR]], Table15[[#This Row],[STR]] / ('Earth Elemental'!$O$6 / 10.8)), 1)</f>
        <v>45</v>
      </c>
      <c r="AH7" s="12">
        <f>CEILING('Wind Elemental'!$M$6/ IF('Wind Elemental'!$O$6&lt; 10.8, Table15[[#This Row],[STR]], Table15[[#This Row],[STR]] / ('Wind Elemental'!$O$6 / 10.8)), 1)</f>
        <v>37</v>
      </c>
      <c r="AI7" s="12">
        <f>CEILING('Water Elemental'!$M$6/ IF('Water Elemental'!$O$6&lt; 10.8, Table15[[#This Row],[STR]], Table15[[#This Row],[STR]] / ('Water Elemental'!$O$6 / 10.8)), 1)</f>
        <v>53</v>
      </c>
      <c r="AJ7" s="12">
        <f>CEILING('Fire Elemental'!$M$4/ IF('Fire Elemental'!$O$4&lt; 10.8, Table15[[#This Row],[STR]], Table15[[#This Row],[STR]] / ('Fire Elemental'!$O$4 / 10.8)), 1)</f>
        <v>78</v>
      </c>
      <c r="AK7" s="12">
        <f>CEILING(Wyvern!$M$4/ IF(Wyvern!$O$4&lt; 10.8, Table15[[#This Row],[STR]], Table15[[#This Row],[STR]] / (Wyvern!$O$4 / 10.8)), 1)</f>
        <v>98</v>
      </c>
      <c r="AL7" s="12">
        <f>CEILING('Evolved Wyvern'!$M$4/ IF('Evolved Wyvern'!$O$4&lt; 10.8, Table15[[#This Row],[STR]], Table15[[#This Row],[STR]] / ('Evolved Wyvern'!$O$4 / 10.8)), 1)</f>
        <v>131</v>
      </c>
      <c r="AM7" s="12">
        <f>CEILING(Dragon!$M$4/ IF(Dragon!$O$4&lt; 10.8, Table15[[#This Row],[STR]], Table15[[#This Row],[STR]] / (Dragon!$O$4 / 10.8)), 1)</f>
        <v>218</v>
      </c>
      <c r="AO7" s="14">
        <f>CEILING('Blue Slime'!$Z$5/ IF('Blue Slime'!$X$5&lt; 10.8, Table15[[#This Row],[STR]], Table15[[#This Row],[STR]] / ('Blue Slime'!$X$5 / 10.8)), 1)</f>
        <v>3</v>
      </c>
      <c r="AP7" s="14">
        <f>CEILING('Green Slime'!$Z$5/ IF('Green Slime'!$X$5&lt; 10.8, Table15[[#This Row],[STR]], Table15[[#This Row],[STR]] / ('Green Slime'!$X$5 / 10.8)), 1)</f>
        <v>5</v>
      </c>
      <c r="AQ7" s="14">
        <f>CEILING(Wolf!$Z$6/ IF(Wolf!$X$6&lt; 10.8, Table15[[#This Row],[STR]], Table15[[#This Row],[STR]] / (Wolf!$X$6 / 10.8)), 1)</f>
        <v>14</v>
      </c>
      <c r="AR7" s="14">
        <f>CEILING('Horned Wolf'!$Z$5/ IF('Horned Wolf'!$X$5&lt; 10.8, Table15[[#This Row],[STR]], Table15[[#This Row],[STR]] / ('Horned Wolf'!$X$5 / 10.8)), 1)</f>
        <v>38</v>
      </c>
      <c r="AS7" s="8">
        <f>CEILING(Spider!$Z$7/ IF(Spider!$X$7&lt; 10.8, Table15[[#This Row],[STR]], Table15[[#This Row],[STR]] / (Spider!$X$7 / 10.8)), 1)</f>
        <v>33</v>
      </c>
      <c r="AT7" s="8">
        <f>CEILING('Evolved Spider'!$Z$8/ IF('Evolved Spider'!$X$8&lt; 10.8, Table15[[#This Row],[STR]], Table15[[#This Row],[STR]] / ('Evolved Spider'!$X$8 / 10.8)), 1)</f>
        <v>60</v>
      </c>
      <c r="AU7" s="8">
        <f>CEILING(Arachne!$Z$4/ IF(Arachne!$X$4&lt; 10.8, Table15[[#This Row],[STR]], Table15[[#This Row],[STR]] / (Arachne!$X$4 / 10.8)), 1)</f>
        <v>82</v>
      </c>
      <c r="AV7" s="12">
        <f>CEILING('Earth Elemental'!$Z$6/ IF('Earth Elemental'!$X$6&lt; 10.8, Table15[[#This Row],[STR]], Table15[[#This Row],[STR]] / ('Earth Elemental'!$X$6 / 10.8)), 1)</f>
        <v>68</v>
      </c>
      <c r="AW7" s="12">
        <f>CEILING('Wind Elemental'!$Z$6/ IF('Wind Elemental'!$X$6&lt; 10.8, Table15[[#This Row],[STR]], Table15[[#This Row],[STR]] / ('Wind Elemental'!$X$6 / 10.8)), 1)</f>
        <v>53</v>
      </c>
      <c r="AX7" s="12">
        <f>CEILING('Water Elemental'!$Z$6/ IF('Water Elemental'!$X$6&lt; 10.8, Table15[[#This Row],[STR]], Table15[[#This Row],[STR]] / ('Water Elemental'!$X$6 / 10.8)), 1)</f>
        <v>73</v>
      </c>
      <c r="AY7" s="12">
        <f>CEILING('Fire Elemental'!$Z$4/ IF('Fire Elemental'!$X$4&lt; 10.8, Table15[[#This Row],[STR]], Table15[[#This Row],[STR]] / ('Fire Elemental'!$X$4 / 10.8)), 1)</f>
        <v>118</v>
      </c>
      <c r="AZ7" s="12">
        <f>CEILING(Wyvern!$Z$4/ IF(Wyvern!$X$4&lt; 10.8, Table15[[#This Row],[STR]], Table15[[#This Row],[STR]] / (Wyvern!$X$4 / 10.8)), 1)</f>
        <v>143</v>
      </c>
      <c r="BA7" s="12">
        <f>CEILING('Evolved Wyvern'!$Z$4/ IF('Evolved Wyvern'!$X$4&lt; 10.8, Table15[[#This Row],[STR]], Table15[[#This Row],[STR]] / ('Evolved Wyvern'!$X$4 / 10.8)), 1)</f>
        <v>183</v>
      </c>
      <c r="BB7" s="12">
        <f>CEILING(Dragon!$Z$4/ IF(Dragon!$X$4&lt; 10.8, Table15[[#This Row],[STR]], Table15[[#This Row],[STR]] / (Dragon!$X$4 / 10.8)), 1)</f>
        <v>309</v>
      </c>
    </row>
    <row r="8" spans="1:54" x14ac:dyDescent="0.3">
      <c r="A8" s="1">
        <v>6</v>
      </c>
      <c r="B8" s="1">
        <f>$B$3 + ((Table15[[#This Row],[Level]] / 10) + $B$3 / 8) * Table15[[#This Row],[Level]] + Equipment!$D$10</f>
        <v>27.1</v>
      </c>
      <c r="C8" s="1">
        <f xml:space="preserve"> 2*Table15[[#This Row],[INT]]</f>
        <v>48</v>
      </c>
      <c r="D8" s="1">
        <f>$D$3 + ($D$3 / 4) * Table15[[#This Row],[Level]] + Equipment!$E$10</f>
        <v>15.5</v>
      </c>
      <c r="E8" s="1">
        <f>$E$3 + ($E$3 / 4) * Table15[[#This Row],[Level]] + Equipment!$F$10</f>
        <v>18</v>
      </c>
      <c r="F8" s="1">
        <f>$F$3 + ($F$3 / 4) * Table15[[#This Row],[Level]] + Equipment!$G$10</f>
        <v>21.5</v>
      </c>
      <c r="G8" s="1">
        <f>$G$3 + ($G$3 / 4) * Table15[[#This Row],[Level]] + Equipment!$H$10</f>
        <v>24</v>
      </c>
      <c r="H8" s="1">
        <f>$H$3 + ($H$3 / 4) * Table15[[#This Row],[Level]] + Equipment!$I$10</f>
        <v>18</v>
      </c>
      <c r="I8" s="1">
        <f xml:space="preserve"> (4 * (Table15[[#This Row],[Level]] ^ 3))/7 + $I$3</f>
        <v>223.42857142857144</v>
      </c>
      <c r="K8" s="14">
        <f>CEILING('Blue Slime'!$B$5/ IF('Blue Slime'!$D$5&lt; 10.8, Table15[[#This Row],[STR]], Table15[[#This Row],[STR]] / ('Blue Slime'!$D$5 / 10.8)), 1)</f>
        <v>1</v>
      </c>
      <c r="L8" s="14">
        <f>CEILING('Green Slime'!$B$5/ IF('Green Slime'!$D$5&lt; 10.8, Table15[[#This Row],[STR]], Table15[[#This Row],[STR]] / ('Green Slime'!$D$5 / 10.8)), 1)</f>
        <v>2</v>
      </c>
      <c r="M8" s="14">
        <f>CEILING(Wolf!$B$6/ IF(Wolf!$D$6&lt; 10.8, Table15[[#This Row],[STR]], Table15[[#This Row],[STR]] / (Wolf!$D$6 / 10.8)), 1)</f>
        <v>4</v>
      </c>
      <c r="N8" s="14">
        <f>CEILING('Horned Wolf'!$B$5/ IF('Horned Wolf'!$D$5&lt; 10.8, Table15[[#This Row],[STR]], Table15[[#This Row],[STR]] / ('Horned Wolf'!$D$5 / 10.8)), 1)</f>
        <v>10</v>
      </c>
      <c r="O8" s="8">
        <f>CEILING(Spider!$B$7/ IF(Spider!$D$7&lt; 10.8, Table15[[#This Row],[STR]], Table15[[#This Row],[STR]] / (Spider!$D$7 / 10.8)), 1)</f>
        <v>9</v>
      </c>
      <c r="P8" s="8">
        <f>CEILING('Evolved Spider'!$B$8/ IF('Evolved Spider'!$D$8&lt; 10.8, Table15[[#This Row],[STR]], Table15[[#This Row],[STR]] / ('Evolved Spider'!$D$8 / 10.8)), 1)</f>
        <v>18</v>
      </c>
      <c r="Q8" s="8">
        <f>CEILING(Arachne!$B$4/ IF(Arachne!$D$4&lt; 10.8, Table15[[#This Row],[STR]], Table15[[#This Row],[STR]] / (Arachne!$D$4 / 10.8)), 1)</f>
        <v>23</v>
      </c>
      <c r="R8" s="12">
        <f>CEILING('Earth Elemental'!$B$6/ IF('Earth Elemental'!$D$6&lt; 10.8, Table15[[#This Row],[STR]], Table15[[#This Row],[STR]] / ('Earth Elemental'!$D$6 / 10.8)), 1)</f>
        <v>24</v>
      </c>
      <c r="S8" s="12">
        <f>CEILING('Wind Elemental'!$B$6/ IF('Wind Elemental'!$D$6&lt; 10.8, Table15[[#This Row],[STR]], Table15[[#This Row],[STR]] / ('Wind Elemental'!$D$6 / 10.8)), 1)</f>
        <v>21</v>
      </c>
      <c r="T8" s="12">
        <f>CEILING('Water Elemental'!$B$6/ IF('Water Elemental'!$D$6&lt; 10.8, Table15[[#This Row],[STR]], Table15[[#This Row],[STR]] / ('Water Elemental'!$D$6 / 10.8)), 1)</f>
        <v>32</v>
      </c>
      <c r="U8" s="12">
        <f>CEILING('Fire Elemental'!$B$4/ IF('Fire Elemental'!$D$4&lt; 10.8, Table15[[#This Row],[STR]], Table15[[#This Row],[STR]] / ('Fire Elemental'!$D$4 / 10.8)), 1)</f>
        <v>41</v>
      </c>
      <c r="V8" s="12">
        <f>CEILING(Wyvern!$B$4/ IF(Wyvern!$D$4&lt; 10.8, Table15[[#This Row],[STR]], Table15[[#This Row],[STR]] / (Wyvern!$D$4 / 10.8)), 1)</f>
        <v>55</v>
      </c>
      <c r="W8" s="12">
        <f>CEILING('Evolved Wyvern'!$B$4/ IF('Evolved Wyvern'!$D$4&lt; 10.8, Table15[[#This Row],[STR]], Table15[[#This Row],[STR]] / ('Evolved Wyvern'!$D$4 / 10.8)), 1)</f>
        <v>76</v>
      </c>
      <c r="X8" s="12">
        <f>CEILING(Dragon!$B$4/ IF(Dragon!$D$4&lt; 10.8, Table15[[#This Row],[STR]], Table15[[#This Row],[STR]] / (Dragon!$D$4 / 10.8)), 1)</f>
        <v>125</v>
      </c>
      <c r="Z8" s="14">
        <f>CEILING('Blue Slime'!$M$5/ IF('Blue Slime'!$O$5&lt; 10.8, Table15[[#This Row],[STR]], Table15[[#This Row],[STR]] / ('Blue Slime'!$O$5 / 10.8)), 1)</f>
        <v>2</v>
      </c>
      <c r="AA8" s="14">
        <f>CEILING('Green Slime'!$M$5/ IF('Green Slime'!$O$5&lt; 10.8, Table15[[#This Row],[STR]], Table15[[#This Row],[STR]] / ('Green Slime'!$O$5 / 10.8)), 1)</f>
        <v>3</v>
      </c>
      <c r="AB8" s="14">
        <f>CEILING(Wolf!$M$6/ IF(Wolf!$O$6&lt; 10.8, Table15[[#This Row],[STR]], Table15[[#This Row],[STR]] / (Wolf!$O$6 / 10.8)), 1)</f>
        <v>8</v>
      </c>
      <c r="AC8" s="14">
        <f>CEILING('Horned Wolf'!$M$5/ IF('Horned Wolf'!$O$5&lt; 10.8, Table15[[#This Row],[STR]], Table15[[#This Row],[STR]] / ('Horned Wolf'!$O$5 / 10.8)), 1)</f>
        <v>20</v>
      </c>
      <c r="AD8" s="8">
        <f>CEILING(Spider!$M$7/ IF(Spider!$O$7&lt; 10.8, Table15[[#This Row],[STR]], Table15[[#This Row],[STR]] / (Spider!$O$7 / 10.8)), 1)</f>
        <v>18</v>
      </c>
      <c r="AE8" s="8">
        <f>CEILING('Evolved Spider'!$M$8/ IF('Evolved Spider'!$O$8&lt; 10.8, Table15[[#This Row],[STR]], Table15[[#This Row],[STR]] / ('Evolved Spider'!$O$8 / 10.8)), 1)</f>
        <v>34</v>
      </c>
      <c r="AF8" s="8">
        <f>CEILING(Arachne!$M$4/ IF(Arachne!$O$4&lt; 10.8, Table15[[#This Row],[STR]], Table15[[#This Row],[STR]] / (Arachne!$O$4 / 10.8)), 1)</f>
        <v>45</v>
      </c>
      <c r="AG8" s="12">
        <f>CEILING('Earth Elemental'!$M$6/ IF('Earth Elemental'!$O$6&lt; 10.8, Table15[[#This Row],[STR]], Table15[[#This Row],[STR]] / ('Earth Elemental'!$O$6 / 10.8)), 1)</f>
        <v>41</v>
      </c>
      <c r="AH8" s="12">
        <f>CEILING('Wind Elemental'!$M$6/ IF('Wind Elemental'!$O$6&lt; 10.8, Table15[[#This Row],[STR]], Table15[[#This Row],[STR]] / ('Wind Elemental'!$O$6 / 10.8)), 1)</f>
        <v>34</v>
      </c>
      <c r="AI8" s="12">
        <f>CEILING('Water Elemental'!$M$6/ IF('Water Elemental'!$O$6&lt; 10.8, Table15[[#This Row],[STR]], Table15[[#This Row],[STR]] / ('Water Elemental'!$O$6 / 10.8)), 1)</f>
        <v>49</v>
      </c>
      <c r="AJ8" s="12">
        <f>CEILING('Fire Elemental'!$M$4/ IF('Fire Elemental'!$O$4&lt; 10.8, Table15[[#This Row],[STR]], Table15[[#This Row],[STR]] / ('Fire Elemental'!$O$4 / 10.8)), 1)</f>
        <v>71</v>
      </c>
      <c r="AK8" s="12">
        <f>CEILING(Wyvern!$M$4/ IF(Wyvern!$O$4&lt; 10.8, Table15[[#This Row],[STR]], Table15[[#This Row],[STR]] / (Wyvern!$O$4 / 10.8)), 1)</f>
        <v>90</v>
      </c>
      <c r="AL8" s="12">
        <f>CEILING('Evolved Wyvern'!$M$4/ IF('Evolved Wyvern'!$O$4&lt; 10.8, Table15[[#This Row],[STR]], Table15[[#This Row],[STR]] / ('Evolved Wyvern'!$O$4 / 10.8)), 1)</f>
        <v>120</v>
      </c>
      <c r="AM8" s="12">
        <f>CEILING(Dragon!$M$4/ IF(Dragon!$O$4&lt; 10.8, Table15[[#This Row],[STR]], Table15[[#This Row],[STR]] / (Dragon!$O$4 / 10.8)), 1)</f>
        <v>200</v>
      </c>
      <c r="AO8" s="14">
        <f>CEILING('Blue Slime'!$Z$5/ IF('Blue Slime'!$X$5&lt; 10.8, Table15[[#This Row],[STR]], Table15[[#This Row],[STR]] / ('Blue Slime'!$X$5 / 10.8)), 1)</f>
        <v>3</v>
      </c>
      <c r="AP8" s="14">
        <f>CEILING('Green Slime'!$Z$5/ IF('Green Slime'!$X$5&lt; 10.8, Table15[[#This Row],[STR]], Table15[[#This Row],[STR]] / ('Green Slime'!$X$5 / 10.8)), 1)</f>
        <v>5</v>
      </c>
      <c r="AQ8" s="14">
        <f>CEILING(Wolf!$Z$6/ IF(Wolf!$X$6&lt; 10.8, Table15[[#This Row],[STR]], Table15[[#This Row],[STR]] / (Wolf!$X$6 / 10.8)), 1)</f>
        <v>13</v>
      </c>
      <c r="AR8" s="14">
        <f>CEILING('Horned Wolf'!$Z$5/ IF('Horned Wolf'!$X$5&lt; 10.8, Table15[[#This Row],[STR]], Table15[[#This Row],[STR]] / ('Horned Wolf'!$X$5 / 10.8)), 1)</f>
        <v>35</v>
      </c>
      <c r="AS8" s="8">
        <f>CEILING(Spider!$Z$7/ IF(Spider!$X$7&lt; 10.8, Table15[[#This Row],[STR]], Table15[[#This Row],[STR]] / (Spider!$X$7 / 10.8)), 1)</f>
        <v>31</v>
      </c>
      <c r="AT8" s="8">
        <f>CEILING('Evolved Spider'!$Z$8/ IF('Evolved Spider'!$X$8&lt; 10.8, Table15[[#This Row],[STR]], Table15[[#This Row],[STR]] / ('Evolved Spider'!$X$8 / 10.8)), 1)</f>
        <v>55</v>
      </c>
      <c r="AU8" s="8">
        <f>CEILING(Arachne!$Z$4/ IF(Arachne!$X$4&lt; 10.8, Table15[[#This Row],[STR]], Table15[[#This Row],[STR]] / (Arachne!$X$4 / 10.8)), 1)</f>
        <v>75</v>
      </c>
      <c r="AV8" s="12">
        <f>CEILING('Earth Elemental'!$Z$6/ IF('Earth Elemental'!$X$6&lt; 10.8, Table15[[#This Row],[STR]], Table15[[#This Row],[STR]] / ('Earth Elemental'!$X$6 / 10.8)), 1)</f>
        <v>63</v>
      </c>
      <c r="AW8" s="12">
        <f>CEILING('Wind Elemental'!$Z$6/ IF('Wind Elemental'!$X$6&lt; 10.8, Table15[[#This Row],[STR]], Table15[[#This Row],[STR]] / ('Wind Elemental'!$X$6 / 10.8)), 1)</f>
        <v>49</v>
      </c>
      <c r="AX8" s="12">
        <f>CEILING('Water Elemental'!$Z$6/ IF('Water Elemental'!$X$6&lt; 10.8, Table15[[#This Row],[STR]], Table15[[#This Row],[STR]] / ('Water Elemental'!$X$6 / 10.8)), 1)</f>
        <v>67</v>
      </c>
      <c r="AY8" s="12">
        <f>CEILING('Fire Elemental'!$Z$4/ IF('Fire Elemental'!$X$4&lt; 10.8, Table15[[#This Row],[STR]], Table15[[#This Row],[STR]] / ('Fire Elemental'!$X$4 / 10.8)), 1)</f>
        <v>109</v>
      </c>
      <c r="AZ8" s="12">
        <f>CEILING(Wyvern!$Z$4/ IF(Wyvern!$X$4&lt; 10.8, Table15[[#This Row],[STR]], Table15[[#This Row],[STR]] / (Wyvern!$X$4 / 10.8)), 1)</f>
        <v>132</v>
      </c>
      <c r="BA8" s="12">
        <f>CEILING('Evolved Wyvern'!$Z$4/ IF('Evolved Wyvern'!$X$4&lt; 10.8, Table15[[#This Row],[STR]], Table15[[#This Row],[STR]] / ('Evolved Wyvern'!$X$4 / 10.8)), 1)</f>
        <v>169</v>
      </c>
      <c r="BB8" s="12">
        <f>CEILING(Dragon!$Z$4/ IF(Dragon!$X$4&lt; 10.8, Table15[[#This Row],[STR]], Table15[[#This Row],[STR]] / (Dragon!$X$4 / 10.8)), 1)</f>
        <v>284</v>
      </c>
    </row>
    <row r="9" spans="1:54" x14ac:dyDescent="0.3">
      <c r="A9" s="1">
        <v>7</v>
      </c>
      <c r="B9" s="1">
        <f>$B$3 + ((Table15[[#This Row],[Level]] / 10) + $B$3 / 8) * Table15[[#This Row],[Level]] + Equipment!$D$10</f>
        <v>29.65</v>
      </c>
      <c r="C9" s="1">
        <f xml:space="preserve"> 2*Table15[[#This Row],[INT]]</f>
        <v>52</v>
      </c>
      <c r="D9" s="1">
        <f>$D$3 + ($D$3 / 4) * Table15[[#This Row],[Level]] + Equipment!$E$10</f>
        <v>16.75</v>
      </c>
      <c r="E9" s="1">
        <f>$E$3 + ($E$3 / 4) * Table15[[#This Row],[Level]] + Equipment!$F$10</f>
        <v>19.5</v>
      </c>
      <c r="F9" s="1">
        <f>$F$3 + ($F$3 / 4) * Table15[[#This Row],[Level]] + Equipment!$G$10</f>
        <v>23.25</v>
      </c>
      <c r="G9" s="1">
        <f>$G$3 + ($G$3 / 4) * Table15[[#This Row],[Level]] + Equipment!$H$10</f>
        <v>26</v>
      </c>
      <c r="H9" s="1">
        <f>$H$3 + ($H$3 / 4) * Table15[[#This Row],[Level]] + Equipment!$I$10</f>
        <v>19.5</v>
      </c>
      <c r="I9" s="1">
        <f xml:space="preserve"> (4 * (Table15[[#This Row],[Level]] ^ 3))/7 + $I$3</f>
        <v>296</v>
      </c>
      <c r="K9" s="14">
        <f>CEILING('Blue Slime'!$B$5/ IF('Blue Slime'!$D$5&lt; 10.8, Table15[[#This Row],[STR]], Table15[[#This Row],[STR]] / ('Blue Slime'!$D$5 / 10.8)), 1)</f>
        <v>1</v>
      </c>
      <c r="L9" s="14">
        <f>CEILING('Green Slime'!$B$5/ IF('Green Slime'!$D$5&lt; 10.8, Table15[[#This Row],[STR]], Table15[[#This Row],[STR]] / ('Green Slime'!$D$5 / 10.8)), 1)</f>
        <v>2</v>
      </c>
      <c r="M9" s="14">
        <f>CEILING(Wolf!$B$6/ IF(Wolf!$D$6&lt; 10.8, Table15[[#This Row],[STR]], Table15[[#This Row],[STR]] / (Wolf!$D$6 / 10.8)), 1)</f>
        <v>4</v>
      </c>
      <c r="N9" s="14">
        <f>CEILING('Horned Wolf'!$B$5/ IF('Horned Wolf'!$D$5&lt; 10.8, Table15[[#This Row],[STR]], Table15[[#This Row],[STR]] / ('Horned Wolf'!$D$5 / 10.8)), 1)</f>
        <v>9</v>
      </c>
      <c r="O9" s="8">
        <f>CEILING(Spider!$B$7/ IF(Spider!$D$7&lt; 10.8, Table15[[#This Row],[STR]], Table15[[#This Row],[STR]] / (Spider!$D$7 / 10.8)), 1)</f>
        <v>9</v>
      </c>
      <c r="P9" s="8">
        <f>CEILING('Evolved Spider'!$B$8/ IF('Evolved Spider'!$D$8&lt; 10.8, Table15[[#This Row],[STR]], Table15[[#This Row],[STR]] / ('Evolved Spider'!$D$8 / 10.8)), 1)</f>
        <v>16</v>
      </c>
      <c r="Q9" s="8">
        <f>CEILING(Arachne!$B$4/ IF(Arachne!$D$4&lt; 10.8, Table15[[#This Row],[STR]], Table15[[#This Row],[STR]] / (Arachne!$D$4 / 10.8)), 1)</f>
        <v>22</v>
      </c>
      <c r="R9" s="12">
        <f>CEILING('Earth Elemental'!$B$6/ IF('Earth Elemental'!$D$6&lt; 10.8, Table15[[#This Row],[STR]], Table15[[#This Row],[STR]] / ('Earth Elemental'!$D$6 / 10.8)), 1)</f>
        <v>22</v>
      </c>
      <c r="S9" s="12">
        <f>CEILING('Wind Elemental'!$B$6/ IF('Wind Elemental'!$D$6&lt; 10.8, Table15[[#This Row],[STR]], Table15[[#This Row],[STR]] / ('Wind Elemental'!$D$6 / 10.8)), 1)</f>
        <v>20</v>
      </c>
      <c r="T9" s="12">
        <f>CEILING('Water Elemental'!$B$6/ IF('Water Elemental'!$D$6&lt; 10.8, Table15[[#This Row],[STR]], Table15[[#This Row],[STR]] / ('Water Elemental'!$D$6 / 10.8)), 1)</f>
        <v>30</v>
      </c>
      <c r="U9" s="12">
        <f>CEILING('Fire Elemental'!$B$4/ IF('Fire Elemental'!$D$4&lt; 10.8, Table15[[#This Row],[STR]], Table15[[#This Row],[STR]] / ('Fire Elemental'!$D$4 / 10.8)), 1)</f>
        <v>38</v>
      </c>
      <c r="V9" s="12">
        <f>CEILING(Wyvern!$B$4/ IF(Wyvern!$D$4&lt; 10.8, Table15[[#This Row],[STR]], Table15[[#This Row],[STR]] / (Wyvern!$D$4 / 10.8)), 1)</f>
        <v>51</v>
      </c>
      <c r="W9" s="12">
        <f>CEILING('Evolved Wyvern'!$B$4/ IF('Evolved Wyvern'!$D$4&lt; 10.8, Table15[[#This Row],[STR]], Table15[[#This Row],[STR]] / ('Evolved Wyvern'!$D$4 / 10.8)), 1)</f>
        <v>70</v>
      </c>
      <c r="X9" s="12">
        <f>CEILING(Dragon!$B$4/ IF(Dragon!$D$4&lt; 10.8, Table15[[#This Row],[STR]], Table15[[#This Row],[STR]] / (Dragon!$D$4 / 10.8)), 1)</f>
        <v>115</v>
      </c>
      <c r="Z9" s="14">
        <f>CEILING('Blue Slime'!$M$5/ IF('Blue Slime'!$O$5&lt; 10.8, Table15[[#This Row],[STR]], Table15[[#This Row],[STR]] / ('Blue Slime'!$O$5 / 10.8)), 1)</f>
        <v>2</v>
      </c>
      <c r="AA9" s="14">
        <f>CEILING('Green Slime'!$M$5/ IF('Green Slime'!$O$5&lt; 10.8, Table15[[#This Row],[STR]], Table15[[#This Row],[STR]] / ('Green Slime'!$O$5 / 10.8)), 1)</f>
        <v>3</v>
      </c>
      <c r="AB9" s="14">
        <f>CEILING(Wolf!$M$6/ IF(Wolf!$O$6&lt; 10.8, Table15[[#This Row],[STR]], Table15[[#This Row],[STR]] / (Wolf!$O$6 / 10.8)), 1)</f>
        <v>7</v>
      </c>
      <c r="AC9" s="14">
        <f>CEILING('Horned Wolf'!$M$5/ IF('Horned Wolf'!$O$5&lt; 10.8, Table15[[#This Row],[STR]], Table15[[#This Row],[STR]] / ('Horned Wolf'!$O$5 / 10.8)), 1)</f>
        <v>19</v>
      </c>
      <c r="AD9" s="8">
        <f>CEILING(Spider!$M$7/ IF(Spider!$O$7&lt; 10.8, Table15[[#This Row],[STR]], Table15[[#This Row],[STR]] / (Spider!$O$7 / 10.8)), 1)</f>
        <v>17</v>
      </c>
      <c r="AE9" s="8">
        <f>CEILING('Evolved Spider'!$M$8/ IF('Evolved Spider'!$O$8&lt; 10.8, Table15[[#This Row],[STR]], Table15[[#This Row],[STR]] / ('Evolved Spider'!$O$8 / 10.8)), 1)</f>
        <v>31</v>
      </c>
      <c r="AF9" s="8">
        <f>CEILING(Arachne!$M$4/ IF(Arachne!$O$4&lt; 10.8, Table15[[#This Row],[STR]], Table15[[#This Row],[STR]] / (Arachne!$O$4 / 10.8)), 1)</f>
        <v>42</v>
      </c>
      <c r="AG9" s="12">
        <f>CEILING('Earth Elemental'!$M$6/ IF('Earth Elemental'!$O$6&lt; 10.8, Table15[[#This Row],[STR]], Table15[[#This Row],[STR]] / ('Earth Elemental'!$O$6 / 10.8)), 1)</f>
        <v>38</v>
      </c>
      <c r="AH9" s="12">
        <f>CEILING('Wind Elemental'!$M$6/ IF('Wind Elemental'!$O$6&lt; 10.8, Table15[[#This Row],[STR]], Table15[[#This Row],[STR]] / ('Wind Elemental'!$O$6 / 10.8)), 1)</f>
        <v>32</v>
      </c>
      <c r="AI9" s="12">
        <f>CEILING('Water Elemental'!$M$6/ IF('Water Elemental'!$O$6&lt; 10.8, Table15[[#This Row],[STR]], Table15[[#This Row],[STR]] / ('Water Elemental'!$O$6 / 10.8)), 1)</f>
        <v>45</v>
      </c>
      <c r="AJ9" s="12">
        <f>CEILING('Fire Elemental'!$M$4/ IF('Fire Elemental'!$O$4&lt; 10.8, Table15[[#This Row],[STR]], Table15[[#This Row],[STR]] / ('Fire Elemental'!$O$4 / 10.8)), 1)</f>
        <v>66</v>
      </c>
      <c r="AK9" s="12">
        <f>CEILING(Wyvern!$M$4/ IF(Wyvern!$O$4&lt; 10.8, Table15[[#This Row],[STR]], Table15[[#This Row],[STR]] / (Wyvern!$O$4 / 10.8)), 1)</f>
        <v>84</v>
      </c>
      <c r="AL9" s="12">
        <f>CEILING('Evolved Wyvern'!$M$4/ IF('Evolved Wyvern'!$O$4&lt; 10.8, Table15[[#This Row],[STR]], Table15[[#This Row],[STR]] / ('Evolved Wyvern'!$O$4 / 10.8)), 1)</f>
        <v>111</v>
      </c>
      <c r="AM9" s="12">
        <f>CEILING(Dragon!$M$4/ IF(Dragon!$O$4&lt; 10.8, Table15[[#This Row],[STR]], Table15[[#This Row],[STR]] / (Dragon!$O$4 / 10.8)), 1)</f>
        <v>185</v>
      </c>
      <c r="AO9" s="14">
        <f>CEILING('Blue Slime'!$Z$5/ IF('Blue Slime'!$X$5&lt; 10.8, Table15[[#This Row],[STR]], Table15[[#This Row],[STR]] / ('Blue Slime'!$X$5 / 10.8)), 1)</f>
        <v>3</v>
      </c>
      <c r="AP9" s="14">
        <f>CEILING('Green Slime'!$Z$5/ IF('Green Slime'!$X$5&lt; 10.8, Table15[[#This Row],[STR]], Table15[[#This Row],[STR]] / ('Green Slime'!$X$5 / 10.8)), 1)</f>
        <v>4</v>
      </c>
      <c r="AQ9" s="14">
        <f>CEILING(Wolf!$Z$6/ IF(Wolf!$X$6&lt; 10.8, Table15[[#This Row],[STR]], Table15[[#This Row],[STR]] / (Wolf!$X$6 / 10.8)), 1)</f>
        <v>12</v>
      </c>
      <c r="AR9" s="14">
        <f>CEILING('Horned Wolf'!$Z$5/ IF('Horned Wolf'!$X$5&lt; 10.8, Table15[[#This Row],[STR]], Table15[[#This Row],[STR]] / ('Horned Wolf'!$X$5 / 10.8)), 1)</f>
        <v>32</v>
      </c>
      <c r="AS9" s="8">
        <f>CEILING(Spider!$Z$7/ IF(Spider!$X$7&lt; 10.8, Table15[[#This Row],[STR]], Table15[[#This Row],[STR]] / (Spider!$X$7 / 10.8)), 1)</f>
        <v>28</v>
      </c>
      <c r="AT9" s="8">
        <f>CEILING('Evolved Spider'!$Z$8/ IF('Evolved Spider'!$X$8&lt; 10.8, Table15[[#This Row],[STR]], Table15[[#This Row],[STR]] / ('Evolved Spider'!$X$8 / 10.8)), 1)</f>
        <v>51</v>
      </c>
      <c r="AU9" s="8">
        <f>CEILING(Arachne!$Z$4/ IF(Arachne!$X$4&lt; 10.8, Table15[[#This Row],[STR]], Table15[[#This Row],[STR]] / (Arachne!$X$4 / 10.8)), 1)</f>
        <v>69</v>
      </c>
      <c r="AV9" s="12">
        <f>CEILING('Earth Elemental'!$Z$6/ IF('Earth Elemental'!$X$6&lt; 10.8, Table15[[#This Row],[STR]], Table15[[#This Row],[STR]] / ('Earth Elemental'!$X$6 / 10.8)), 1)</f>
        <v>58</v>
      </c>
      <c r="AW9" s="12">
        <f>CEILING('Wind Elemental'!$Z$6/ IF('Wind Elemental'!$X$6&lt; 10.8, Table15[[#This Row],[STR]], Table15[[#This Row],[STR]] / ('Wind Elemental'!$X$6 / 10.8)), 1)</f>
        <v>45</v>
      </c>
      <c r="AX9" s="12">
        <f>CEILING('Water Elemental'!$Z$6/ IF('Water Elemental'!$X$6&lt; 10.8, Table15[[#This Row],[STR]], Table15[[#This Row],[STR]] / ('Water Elemental'!$X$6 / 10.8)), 1)</f>
        <v>62</v>
      </c>
      <c r="AY9" s="12">
        <f>CEILING('Fire Elemental'!$Z$4/ IF('Fire Elemental'!$X$4&lt; 10.8, Table15[[#This Row],[STR]], Table15[[#This Row],[STR]] / ('Fire Elemental'!$X$4 / 10.8)), 1)</f>
        <v>101</v>
      </c>
      <c r="AZ9" s="12">
        <f>CEILING(Wyvern!$Z$4/ IF(Wyvern!$X$4&lt; 10.8, Table15[[#This Row],[STR]], Table15[[#This Row],[STR]] / (Wyvern!$X$4 / 10.8)), 1)</f>
        <v>122</v>
      </c>
      <c r="BA9" s="12">
        <f>CEILING('Evolved Wyvern'!$Z$4/ IF('Evolved Wyvern'!$X$4&lt; 10.8, Table15[[#This Row],[STR]], Table15[[#This Row],[STR]] / ('Evolved Wyvern'!$X$4 / 10.8)), 1)</f>
        <v>156</v>
      </c>
      <c r="BB9" s="12">
        <f>CEILING(Dragon!$Z$4/ IF(Dragon!$X$4&lt; 10.8, Table15[[#This Row],[STR]], Table15[[#This Row],[STR]] / (Dragon!$X$4 / 10.8)), 1)</f>
        <v>263</v>
      </c>
    </row>
    <row r="10" spans="1:54" x14ac:dyDescent="0.3">
      <c r="A10" s="1">
        <v>8</v>
      </c>
      <c r="B10" s="1">
        <f>$B$3 + ((Table15[[#This Row],[Level]] / 10) + $B$3 / 8) * Table15[[#This Row],[Level]] + Equipment!$D$10</f>
        <v>32.4</v>
      </c>
      <c r="C10" s="1">
        <f xml:space="preserve"> 2*Table15[[#This Row],[INT]]</f>
        <v>56</v>
      </c>
      <c r="D10" s="1">
        <f>$D$3 + ($D$3 / 4) * Table15[[#This Row],[Level]] + Equipment!$E$10</f>
        <v>18</v>
      </c>
      <c r="E10" s="1">
        <f>$E$3 + ($E$3 / 4) * Table15[[#This Row],[Level]] + Equipment!$F$10</f>
        <v>21</v>
      </c>
      <c r="F10" s="1">
        <f>$F$3 + ($F$3 / 4) * Table15[[#This Row],[Level]] + Equipment!$G$10</f>
        <v>25</v>
      </c>
      <c r="G10" s="1">
        <f>$G$3 + ($G$3 / 4) * Table15[[#This Row],[Level]] + Equipment!$H$10</f>
        <v>28</v>
      </c>
      <c r="H10" s="1">
        <f>$H$3 + ($H$3 / 4) * Table15[[#This Row],[Level]] + Equipment!$I$10</f>
        <v>21</v>
      </c>
      <c r="I10" s="1">
        <f xml:space="preserve"> (4 * (Table15[[#This Row],[Level]] ^ 3))/7 + $I$3</f>
        <v>392.57142857142856</v>
      </c>
      <c r="K10" s="14">
        <f>CEILING('Blue Slime'!$B$5/ IF('Blue Slime'!$D$5&lt; 10.8, Table15[[#This Row],[STR]], Table15[[#This Row],[STR]] / ('Blue Slime'!$D$5 / 10.8)), 1)</f>
        <v>1</v>
      </c>
      <c r="L10" s="14">
        <f>CEILING('Green Slime'!$B$5/ IF('Green Slime'!$D$5&lt; 10.8, Table15[[#This Row],[STR]], Table15[[#This Row],[STR]] / ('Green Slime'!$D$5 / 10.8)), 1)</f>
        <v>2</v>
      </c>
      <c r="M10" s="14">
        <f>CEILING(Wolf!$B$6/ IF(Wolf!$D$6&lt; 10.8, Table15[[#This Row],[STR]], Table15[[#This Row],[STR]] / (Wolf!$D$6 / 10.8)), 1)</f>
        <v>3</v>
      </c>
      <c r="N10" s="14">
        <f>CEILING('Horned Wolf'!$B$5/ IF('Horned Wolf'!$D$5&lt; 10.8, Table15[[#This Row],[STR]], Table15[[#This Row],[STR]] / ('Horned Wolf'!$D$5 / 10.8)), 1)</f>
        <v>8</v>
      </c>
      <c r="O10" s="8">
        <f>CEILING(Spider!$B$7/ IF(Spider!$D$7&lt; 10.8, Table15[[#This Row],[STR]], Table15[[#This Row],[STR]] / (Spider!$D$7 / 10.8)), 1)</f>
        <v>8</v>
      </c>
      <c r="P10" s="8">
        <f>CEILING('Evolved Spider'!$B$8/ IF('Evolved Spider'!$D$8&lt; 10.8, Table15[[#This Row],[STR]], Table15[[#This Row],[STR]] / ('Evolved Spider'!$D$8 / 10.8)), 1)</f>
        <v>15</v>
      </c>
      <c r="Q10" s="8">
        <f>CEILING(Arachne!$B$4/ IF(Arachne!$D$4&lt; 10.8, Table15[[#This Row],[STR]], Table15[[#This Row],[STR]] / (Arachne!$D$4 / 10.8)), 1)</f>
        <v>20</v>
      </c>
      <c r="R10" s="12">
        <f>CEILING('Earth Elemental'!$B$6/ IF('Earth Elemental'!$D$6&lt; 10.8, Table15[[#This Row],[STR]], Table15[[#This Row],[STR]] / ('Earth Elemental'!$D$6 / 10.8)), 1)</f>
        <v>21</v>
      </c>
      <c r="S10" s="12">
        <f>CEILING('Wind Elemental'!$B$6/ IF('Wind Elemental'!$D$6&lt; 10.8, Table15[[#This Row],[STR]], Table15[[#This Row],[STR]] / ('Wind Elemental'!$D$6 / 10.8)), 1)</f>
        <v>18</v>
      </c>
      <c r="T10" s="12">
        <f>CEILING('Water Elemental'!$B$6/ IF('Water Elemental'!$D$6&lt; 10.8, Table15[[#This Row],[STR]], Table15[[#This Row],[STR]] / ('Water Elemental'!$D$6 / 10.8)), 1)</f>
        <v>28</v>
      </c>
      <c r="U10" s="12">
        <f>CEILING('Fire Elemental'!$B$4/ IF('Fire Elemental'!$D$4&lt; 10.8, Table15[[#This Row],[STR]], Table15[[#This Row],[STR]] / ('Fire Elemental'!$D$4 / 10.8)), 1)</f>
        <v>35</v>
      </c>
      <c r="V10" s="12">
        <f>CEILING(Wyvern!$B$4/ IF(Wyvern!$D$4&lt; 10.8, Table15[[#This Row],[STR]], Table15[[#This Row],[STR]] / (Wyvern!$D$4 / 10.8)), 1)</f>
        <v>47</v>
      </c>
      <c r="W10" s="12">
        <f>CEILING('Evolved Wyvern'!$B$4/ IF('Evolved Wyvern'!$D$4&lt; 10.8, Table15[[#This Row],[STR]], Table15[[#This Row],[STR]] / ('Evolved Wyvern'!$D$4 / 10.8)), 1)</f>
        <v>65</v>
      </c>
      <c r="X10" s="12">
        <f>CEILING(Dragon!$B$4/ IF(Dragon!$D$4&lt; 10.8, Table15[[#This Row],[STR]], Table15[[#This Row],[STR]] / (Dragon!$D$4 / 10.8)), 1)</f>
        <v>107</v>
      </c>
      <c r="Z10" s="14">
        <f>CEILING('Blue Slime'!$M$5/ IF('Blue Slime'!$O$5&lt; 10.8, Table15[[#This Row],[STR]], Table15[[#This Row],[STR]] / ('Blue Slime'!$O$5 / 10.8)), 1)</f>
        <v>2</v>
      </c>
      <c r="AA10" s="14">
        <f>CEILING('Green Slime'!$M$5/ IF('Green Slime'!$O$5&lt; 10.8, Table15[[#This Row],[STR]], Table15[[#This Row],[STR]] / ('Green Slime'!$O$5 / 10.8)), 1)</f>
        <v>3</v>
      </c>
      <c r="AB10" s="14">
        <f>CEILING(Wolf!$M$6/ IF(Wolf!$O$6&lt; 10.8, Table15[[#This Row],[STR]], Table15[[#This Row],[STR]] / (Wolf!$O$6 / 10.8)), 1)</f>
        <v>7</v>
      </c>
      <c r="AC10" s="14">
        <f>CEILING('Horned Wolf'!$M$5/ IF('Horned Wolf'!$O$5&lt; 10.8, Table15[[#This Row],[STR]], Table15[[#This Row],[STR]] / ('Horned Wolf'!$O$5 / 10.8)), 1)</f>
        <v>17</v>
      </c>
      <c r="AD10" s="8">
        <f>CEILING(Spider!$M$7/ IF(Spider!$O$7&lt; 10.8, Table15[[#This Row],[STR]], Table15[[#This Row],[STR]] / (Spider!$O$7 / 10.8)), 1)</f>
        <v>16</v>
      </c>
      <c r="AE10" s="8">
        <f>CEILING('Evolved Spider'!$M$8/ IF('Evolved Spider'!$O$8&lt; 10.8, Table15[[#This Row],[STR]], Table15[[#This Row],[STR]] / ('Evolved Spider'!$O$8 / 10.8)), 1)</f>
        <v>29</v>
      </c>
      <c r="AF10" s="8">
        <f>CEILING(Arachne!$M$4/ IF(Arachne!$O$4&lt; 10.8, Table15[[#This Row],[STR]], Table15[[#This Row],[STR]] / (Arachne!$O$4 / 10.8)), 1)</f>
        <v>39</v>
      </c>
      <c r="AG10" s="12">
        <f>CEILING('Earth Elemental'!$M$6/ IF('Earth Elemental'!$O$6&lt; 10.8, Table15[[#This Row],[STR]], Table15[[#This Row],[STR]] / ('Earth Elemental'!$O$6 / 10.8)), 1)</f>
        <v>36</v>
      </c>
      <c r="AH10" s="12">
        <f>CEILING('Wind Elemental'!$M$6/ IF('Wind Elemental'!$O$6&lt; 10.8, Table15[[#This Row],[STR]], Table15[[#This Row],[STR]] / ('Wind Elemental'!$O$6 / 10.8)), 1)</f>
        <v>29</v>
      </c>
      <c r="AI10" s="12">
        <f>CEILING('Water Elemental'!$M$6/ IF('Water Elemental'!$O$6&lt; 10.8, Table15[[#This Row],[STR]], Table15[[#This Row],[STR]] / ('Water Elemental'!$O$6 / 10.8)), 1)</f>
        <v>42</v>
      </c>
      <c r="AJ10" s="12">
        <f>CEILING('Fire Elemental'!$M$4/ IF('Fire Elemental'!$O$4&lt; 10.8, Table15[[#This Row],[STR]], Table15[[#This Row],[STR]] / ('Fire Elemental'!$O$4 / 10.8)), 1)</f>
        <v>61</v>
      </c>
      <c r="AK10" s="12">
        <f>CEILING(Wyvern!$M$4/ IF(Wyvern!$O$4&lt; 10.8, Table15[[#This Row],[STR]], Table15[[#This Row],[STR]] / (Wyvern!$O$4 / 10.8)), 1)</f>
        <v>78</v>
      </c>
      <c r="AL10" s="12">
        <f>CEILING('Evolved Wyvern'!$M$4/ IF('Evolved Wyvern'!$O$4&lt; 10.8, Table15[[#This Row],[STR]], Table15[[#This Row],[STR]] / ('Evolved Wyvern'!$O$4 / 10.8)), 1)</f>
        <v>103</v>
      </c>
      <c r="AM10" s="12">
        <f>CEILING(Dragon!$M$4/ IF(Dragon!$O$4&lt; 10.8, Table15[[#This Row],[STR]], Table15[[#This Row],[STR]] / (Dragon!$O$4 / 10.8)), 1)</f>
        <v>172</v>
      </c>
      <c r="AO10" s="14">
        <f>CEILING('Blue Slime'!$Z$5/ IF('Blue Slime'!$X$5&lt; 10.8, Table15[[#This Row],[STR]], Table15[[#This Row],[STR]] / ('Blue Slime'!$X$5 / 10.8)), 1)</f>
        <v>3</v>
      </c>
      <c r="AP10" s="14">
        <f>CEILING('Green Slime'!$Z$5/ IF('Green Slime'!$X$5&lt; 10.8, Table15[[#This Row],[STR]], Table15[[#This Row],[STR]] / ('Green Slime'!$X$5 / 10.8)), 1)</f>
        <v>4</v>
      </c>
      <c r="AQ10" s="14">
        <f>CEILING(Wolf!$Z$6/ IF(Wolf!$X$6&lt; 10.8, Table15[[#This Row],[STR]], Table15[[#This Row],[STR]] / (Wolf!$X$6 / 10.8)), 1)</f>
        <v>11</v>
      </c>
      <c r="AR10" s="14">
        <f>CEILING('Horned Wolf'!$Z$5/ IF('Horned Wolf'!$X$5&lt; 10.8, Table15[[#This Row],[STR]], Table15[[#This Row],[STR]] / ('Horned Wolf'!$X$5 / 10.8)), 1)</f>
        <v>30</v>
      </c>
      <c r="AS10" s="8">
        <f>CEILING(Spider!$Z$7/ IF(Spider!$X$7&lt; 10.8, Table15[[#This Row],[STR]], Table15[[#This Row],[STR]] / (Spider!$X$7 / 10.8)), 1)</f>
        <v>26</v>
      </c>
      <c r="AT10" s="8">
        <f>CEILING('Evolved Spider'!$Z$8/ IF('Evolved Spider'!$X$8&lt; 10.8, Table15[[#This Row],[STR]], Table15[[#This Row],[STR]] / ('Evolved Spider'!$X$8 / 10.8)), 1)</f>
        <v>47</v>
      </c>
      <c r="AU10" s="8">
        <f>CEILING(Arachne!$Z$4/ IF(Arachne!$X$4&lt; 10.8, Table15[[#This Row],[STR]], Table15[[#This Row],[STR]] / (Arachne!$X$4 / 10.8)), 1)</f>
        <v>64</v>
      </c>
      <c r="AV10" s="12">
        <f>CEILING('Earth Elemental'!$Z$6/ IF('Earth Elemental'!$X$6&lt; 10.8, Table15[[#This Row],[STR]], Table15[[#This Row],[STR]] / ('Earth Elemental'!$X$6 / 10.8)), 1)</f>
        <v>54</v>
      </c>
      <c r="AW10" s="12">
        <f>CEILING('Wind Elemental'!$Z$6/ IF('Wind Elemental'!$X$6&lt; 10.8, Table15[[#This Row],[STR]], Table15[[#This Row],[STR]] / ('Wind Elemental'!$X$6 / 10.8)), 1)</f>
        <v>42</v>
      </c>
      <c r="AX10" s="12">
        <f>CEILING('Water Elemental'!$Z$6/ IF('Water Elemental'!$X$6&lt; 10.8, Table15[[#This Row],[STR]], Table15[[#This Row],[STR]] / ('Water Elemental'!$X$6 / 10.8)), 1)</f>
        <v>58</v>
      </c>
      <c r="AY10" s="12">
        <f>CEILING('Fire Elemental'!$Z$4/ IF('Fire Elemental'!$X$4&lt; 10.8, Table15[[#This Row],[STR]], Table15[[#This Row],[STR]] / ('Fire Elemental'!$X$4 / 10.8)), 1)</f>
        <v>94</v>
      </c>
      <c r="AZ10" s="12">
        <f>CEILING(Wyvern!$Z$4/ IF(Wyvern!$X$4&lt; 10.8, Table15[[#This Row],[STR]], Table15[[#This Row],[STR]] / (Wyvern!$X$4 / 10.8)), 1)</f>
        <v>113</v>
      </c>
      <c r="BA10" s="12">
        <f>CEILING('Evolved Wyvern'!$Z$4/ IF('Evolved Wyvern'!$X$4&lt; 10.8, Table15[[#This Row],[STR]], Table15[[#This Row],[STR]] / ('Evolved Wyvern'!$X$4 / 10.8)), 1)</f>
        <v>145</v>
      </c>
      <c r="BB10" s="12">
        <f>CEILING(Dragon!$Z$4/ IF(Dragon!$X$4&lt; 10.8, Table15[[#This Row],[STR]], Table15[[#This Row],[STR]] / (Dragon!$X$4 / 10.8)), 1)</f>
        <v>244</v>
      </c>
    </row>
    <row r="11" spans="1:54" x14ac:dyDescent="0.3">
      <c r="A11" s="1">
        <v>9</v>
      </c>
      <c r="B11" s="1">
        <f>$B$3 + ((Table15[[#This Row],[Level]] / 10) + $B$3 / 8) * Table15[[#This Row],[Level]] + Equipment!$D$10</f>
        <v>35.349999999999994</v>
      </c>
      <c r="C11" s="1">
        <f xml:space="preserve"> 2*Table15[[#This Row],[INT]]</f>
        <v>60</v>
      </c>
      <c r="D11" s="1">
        <f>$D$3 + ($D$3 / 4) * Table15[[#This Row],[Level]] + Equipment!$E$10</f>
        <v>19.25</v>
      </c>
      <c r="E11" s="1">
        <f>$E$3 + ($E$3 / 4) * Table15[[#This Row],[Level]] + Equipment!$F$10</f>
        <v>22.5</v>
      </c>
      <c r="F11" s="1">
        <f>$F$3 + ($F$3 / 4) * Table15[[#This Row],[Level]] + Equipment!$G$10</f>
        <v>26.75</v>
      </c>
      <c r="G11" s="1">
        <f>$G$3 + ($G$3 / 4) * Table15[[#This Row],[Level]] + Equipment!$H$10</f>
        <v>30</v>
      </c>
      <c r="H11" s="1">
        <f>$H$3 + ($H$3 / 4) * Table15[[#This Row],[Level]] + Equipment!$I$10</f>
        <v>22.5</v>
      </c>
      <c r="I11" s="1">
        <f xml:space="preserve"> (4 * (Table15[[#This Row],[Level]] ^ 3))/7 + $I$3</f>
        <v>516.57142857142856</v>
      </c>
      <c r="K11" s="8">
        <f>CEILING('Blue Slime'!$B$5/ IF('Blue Slime'!$D$5&lt; 10.8, Table15[[#This Row],[STR]], Table15[[#This Row],[STR]] / ('Blue Slime'!$D$5 / 10.8)), 1)</f>
        <v>1</v>
      </c>
      <c r="L11" s="8">
        <f>CEILING('Green Slime'!$B$5/ IF('Green Slime'!$D$5&lt; 10.8, Table15[[#This Row],[STR]], Table15[[#This Row],[STR]] / ('Green Slime'!$D$5 / 10.8)), 1)</f>
        <v>2</v>
      </c>
      <c r="M11" s="8">
        <f>CEILING(Wolf!$B$6/ IF(Wolf!$D$6&lt; 10.8, Table15[[#This Row],[STR]], Table15[[#This Row],[STR]] / (Wolf!$D$6 / 10.8)), 1)</f>
        <v>3</v>
      </c>
      <c r="N11" s="8">
        <f>CEILING('Horned Wolf'!$B$5/ IF('Horned Wolf'!$D$5&lt; 10.8, Table15[[#This Row],[STR]], Table15[[#This Row],[STR]] / ('Horned Wolf'!$D$5 / 10.8)), 1)</f>
        <v>8</v>
      </c>
      <c r="O11" s="14">
        <f>CEILING(Spider!$B$7/ IF(Spider!$D$7&lt; 10.8, Table15[[#This Row],[STR]], Table15[[#This Row],[STR]] / (Spider!$D$7 / 10.8)), 1)</f>
        <v>7</v>
      </c>
      <c r="P11" s="14">
        <f>CEILING('Evolved Spider'!$B$8/ IF('Evolved Spider'!$D$8&lt; 10.8, Table15[[#This Row],[STR]], Table15[[#This Row],[STR]] / ('Evolved Spider'!$D$8 / 10.8)), 1)</f>
        <v>14</v>
      </c>
      <c r="Q11" s="14">
        <f>CEILING(Arachne!$B$4/ IF(Arachne!$D$4&lt; 10.8, Table15[[#This Row],[STR]], Table15[[#This Row],[STR]] / (Arachne!$D$4 / 10.8)), 1)</f>
        <v>19</v>
      </c>
      <c r="R11" s="12">
        <f>CEILING('Earth Elemental'!$B$6/ IF('Earth Elemental'!$D$6&lt; 10.8, Table15[[#This Row],[STR]], Table15[[#This Row],[STR]] / ('Earth Elemental'!$D$6 / 10.8)), 1)</f>
        <v>19</v>
      </c>
      <c r="S11" s="12">
        <f>CEILING('Wind Elemental'!$B$6/ IF('Wind Elemental'!$D$6&lt; 10.8, Table15[[#This Row],[STR]], Table15[[#This Row],[STR]] / ('Wind Elemental'!$D$6 / 10.8)), 1)</f>
        <v>17</v>
      </c>
      <c r="T11" s="12">
        <f>CEILING('Water Elemental'!$B$6/ IF('Water Elemental'!$D$6&lt; 10.8, Table15[[#This Row],[STR]], Table15[[#This Row],[STR]] / ('Water Elemental'!$D$6 / 10.8)), 1)</f>
        <v>26</v>
      </c>
      <c r="U11" s="12">
        <f>CEILING('Fire Elemental'!$B$4/ IF('Fire Elemental'!$D$4&lt; 10.8, Table15[[#This Row],[STR]], Table15[[#This Row],[STR]] / ('Fire Elemental'!$D$4 / 10.8)), 1)</f>
        <v>33</v>
      </c>
      <c r="V11" s="12">
        <f>CEILING(Wyvern!$B$4/ IF(Wyvern!$D$4&lt; 10.8, Table15[[#This Row],[STR]], Table15[[#This Row],[STR]] / (Wyvern!$D$4 / 10.8)), 1)</f>
        <v>44</v>
      </c>
      <c r="W11" s="12">
        <f>CEILING('Evolved Wyvern'!$B$4/ IF('Evolved Wyvern'!$D$4&lt; 10.8, Table15[[#This Row],[STR]], Table15[[#This Row],[STR]] / ('Evolved Wyvern'!$D$4 / 10.8)), 1)</f>
        <v>61</v>
      </c>
      <c r="X11" s="12">
        <f>CEILING(Dragon!$B$4/ IF(Dragon!$D$4&lt; 10.8, Table15[[#This Row],[STR]], Table15[[#This Row],[STR]] / (Dragon!$D$4 / 10.8)), 1)</f>
        <v>100</v>
      </c>
      <c r="Z11" s="14">
        <f>CEILING('Blue Slime'!$M$5/ IF('Blue Slime'!$O$5&lt; 10.8, Table15[[#This Row],[STR]], Table15[[#This Row],[STR]] / ('Blue Slime'!$O$5 / 10.8)), 1)</f>
        <v>2</v>
      </c>
      <c r="AA11" s="14">
        <f>CEILING('Green Slime'!$M$5/ IF('Green Slime'!$O$5&lt; 10.8, Table15[[#This Row],[STR]], Table15[[#This Row],[STR]] / ('Green Slime'!$O$5 / 10.8)), 1)</f>
        <v>2</v>
      </c>
      <c r="AB11" s="14">
        <f>CEILING(Wolf!$M$6/ IF(Wolf!$O$6&lt; 10.8, Table15[[#This Row],[STR]], Table15[[#This Row],[STR]] / (Wolf!$O$6 / 10.8)), 1)</f>
        <v>6</v>
      </c>
      <c r="AC11" s="14">
        <f>CEILING('Horned Wolf'!$M$5/ IF('Horned Wolf'!$O$5&lt; 10.8, Table15[[#This Row],[STR]], Table15[[#This Row],[STR]] / ('Horned Wolf'!$O$5 / 10.8)), 1)</f>
        <v>16</v>
      </c>
      <c r="AD11" s="8">
        <f>CEILING(Spider!$M$7/ IF(Spider!$O$7&lt; 10.8, Table15[[#This Row],[STR]], Table15[[#This Row],[STR]] / (Spider!$O$7 / 10.8)), 1)</f>
        <v>15</v>
      </c>
      <c r="AE11" s="8">
        <f>CEILING('Evolved Spider'!$M$8/ IF('Evolved Spider'!$O$8&lt; 10.8, Table15[[#This Row],[STR]], Table15[[#This Row],[STR]] / ('Evolved Spider'!$O$8 / 10.8)), 1)</f>
        <v>27</v>
      </c>
      <c r="AF11" s="8">
        <f>CEILING(Arachne!$M$4/ IF(Arachne!$O$4&lt; 10.8, Table15[[#This Row],[STR]], Table15[[#This Row],[STR]] / (Arachne!$O$4 / 10.8)), 1)</f>
        <v>37</v>
      </c>
      <c r="AG11" s="12">
        <f>CEILING('Earth Elemental'!$M$6/ IF('Earth Elemental'!$O$6&lt; 10.8, Table15[[#This Row],[STR]], Table15[[#This Row],[STR]] / ('Earth Elemental'!$O$6 / 10.8)), 1)</f>
        <v>33</v>
      </c>
      <c r="AH11" s="12">
        <f>CEILING('Wind Elemental'!$M$6/ IF('Wind Elemental'!$O$6&lt; 10.8, Table15[[#This Row],[STR]], Table15[[#This Row],[STR]] / ('Wind Elemental'!$O$6 / 10.8)), 1)</f>
        <v>28</v>
      </c>
      <c r="AI11" s="12">
        <f>CEILING('Water Elemental'!$M$6/ IF('Water Elemental'!$O$6&lt; 10.8, Table15[[#This Row],[STR]], Table15[[#This Row],[STR]] / ('Water Elemental'!$O$6 / 10.8)), 1)</f>
        <v>39</v>
      </c>
      <c r="AJ11" s="12">
        <f>CEILING('Fire Elemental'!$M$4/ IF('Fire Elemental'!$O$4&lt; 10.8, Table15[[#This Row],[STR]], Table15[[#This Row],[STR]] / ('Fire Elemental'!$O$4 / 10.8)), 1)</f>
        <v>57</v>
      </c>
      <c r="AK11" s="12">
        <f>CEILING(Wyvern!$M$4/ IF(Wyvern!$O$4&lt; 10.8, Table15[[#This Row],[STR]], Table15[[#This Row],[STR]] / (Wyvern!$O$4 / 10.8)), 1)</f>
        <v>73</v>
      </c>
      <c r="AL11" s="12">
        <f>CEILING('Evolved Wyvern'!$M$4/ IF('Evolved Wyvern'!$O$4&lt; 10.8, Table15[[#This Row],[STR]], Table15[[#This Row],[STR]] / ('Evolved Wyvern'!$O$4 / 10.8)), 1)</f>
        <v>97</v>
      </c>
      <c r="AM11" s="12">
        <f>CEILING(Dragon!$M$4/ IF(Dragon!$O$4&lt; 10.8, Table15[[#This Row],[STR]], Table15[[#This Row],[STR]] / (Dragon!$O$4 / 10.8)), 1)</f>
        <v>161</v>
      </c>
      <c r="AO11" s="14">
        <f>CEILING('Blue Slime'!$Z$5/ IF('Blue Slime'!$X$5&lt; 10.8, Table15[[#This Row],[STR]], Table15[[#This Row],[STR]] / ('Blue Slime'!$X$5 / 10.8)), 1)</f>
        <v>2</v>
      </c>
      <c r="AP11" s="14">
        <f>CEILING('Green Slime'!$Z$5/ IF('Green Slime'!$X$5&lt; 10.8, Table15[[#This Row],[STR]], Table15[[#This Row],[STR]] / ('Green Slime'!$X$5 / 10.8)), 1)</f>
        <v>4</v>
      </c>
      <c r="AQ11" s="14">
        <f>CEILING(Wolf!$Z$6/ IF(Wolf!$X$6&lt; 10.8, Table15[[#This Row],[STR]], Table15[[#This Row],[STR]] / (Wolf!$X$6 / 10.8)), 1)</f>
        <v>10</v>
      </c>
      <c r="AR11" s="14">
        <f>CEILING('Horned Wolf'!$Z$5/ IF('Horned Wolf'!$X$5&lt; 10.8, Table15[[#This Row],[STR]], Table15[[#This Row],[STR]] / ('Horned Wolf'!$X$5 / 10.8)), 1)</f>
        <v>28</v>
      </c>
      <c r="AS11" s="8">
        <f>CEILING(Spider!$Z$7/ IF(Spider!$X$7&lt; 10.8, Table15[[#This Row],[STR]], Table15[[#This Row],[STR]] / (Spider!$X$7 / 10.8)), 1)</f>
        <v>25</v>
      </c>
      <c r="AT11" s="8">
        <f>CEILING('Evolved Spider'!$Z$8/ IF('Evolved Spider'!$X$8&lt; 10.8, Table15[[#This Row],[STR]], Table15[[#This Row],[STR]] / ('Evolved Spider'!$X$8 / 10.8)), 1)</f>
        <v>44</v>
      </c>
      <c r="AU11" s="8">
        <f>CEILING(Arachne!$Z$4/ IF(Arachne!$X$4&lt; 10.8, Table15[[#This Row],[STR]], Table15[[#This Row],[STR]] / (Arachne!$X$4 / 10.8)), 1)</f>
        <v>60</v>
      </c>
      <c r="AV11" s="12">
        <f>CEILING('Earth Elemental'!$Z$6/ IF('Earth Elemental'!$X$6&lt; 10.8, Table15[[#This Row],[STR]], Table15[[#This Row],[STR]] / ('Earth Elemental'!$X$6 / 10.8)), 1)</f>
        <v>51</v>
      </c>
      <c r="AW11" s="12">
        <f>CEILING('Wind Elemental'!$Z$6/ IF('Wind Elemental'!$X$6&lt; 10.8, Table15[[#This Row],[STR]], Table15[[#This Row],[STR]] / ('Wind Elemental'!$X$6 / 10.8)), 1)</f>
        <v>39</v>
      </c>
      <c r="AX11" s="12">
        <f>CEILING('Water Elemental'!$Z$6/ IF('Water Elemental'!$X$6&lt; 10.8, Table15[[#This Row],[STR]], Table15[[#This Row],[STR]] / ('Water Elemental'!$X$6 / 10.8)), 1)</f>
        <v>54</v>
      </c>
      <c r="AY11" s="12">
        <f>CEILING('Fire Elemental'!$Z$4/ IF('Fire Elemental'!$X$4&lt; 10.8, Table15[[#This Row],[STR]], Table15[[#This Row],[STR]] / ('Fire Elemental'!$X$4 / 10.8)), 1)</f>
        <v>88</v>
      </c>
      <c r="AZ11" s="12">
        <f>CEILING(Wyvern!$Z$4/ IF(Wyvern!$X$4&lt; 10.8, Table15[[#This Row],[STR]], Table15[[#This Row],[STR]] / (Wyvern!$X$4 / 10.8)), 1)</f>
        <v>106</v>
      </c>
      <c r="BA11" s="12">
        <f>CEILING('Evolved Wyvern'!$Z$4/ IF('Evolved Wyvern'!$X$4&lt; 10.8, Table15[[#This Row],[STR]], Table15[[#This Row],[STR]] / ('Evolved Wyvern'!$X$4 / 10.8)), 1)</f>
        <v>136</v>
      </c>
      <c r="BB11" s="12">
        <f>CEILING(Dragon!$Z$4/ IF(Dragon!$X$4&lt; 10.8, Table15[[#This Row],[STR]], Table15[[#This Row],[STR]] / (Dragon!$X$4 / 10.8)), 1)</f>
        <v>228</v>
      </c>
    </row>
    <row r="12" spans="1:54" x14ac:dyDescent="0.3">
      <c r="A12" s="1">
        <v>10</v>
      </c>
      <c r="B12" s="1">
        <f>$B$3 + ((Table15[[#This Row],[Level]] / 10) + $B$3 / 8) * Table15[[#This Row],[Level]] + Equipment!$D$10</f>
        <v>38.5</v>
      </c>
      <c r="C12" s="1">
        <f xml:space="preserve"> 2*Table15[[#This Row],[INT]]</f>
        <v>64</v>
      </c>
      <c r="D12" s="1">
        <f>$D$3 + ($D$3 / 4) * Table15[[#This Row],[Level]] + Equipment!$E$10</f>
        <v>20.5</v>
      </c>
      <c r="E12" s="1">
        <f>$E$3 + ($E$3 / 4) * Table15[[#This Row],[Level]] + Equipment!$F$10</f>
        <v>24</v>
      </c>
      <c r="F12" s="1">
        <f>$F$3 + ($F$3 / 4) * Table15[[#This Row],[Level]] + Equipment!$G$10</f>
        <v>28.5</v>
      </c>
      <c r="G12" s="1">
        <f>$G$3 + ($G$3 / 4) * Table15[[#This Row],[Level]] + Equipment!$H$10</f>
        <v>32</v>
      </c>
      <c r="H12" s="1">
        <f>$H$3 + ($H$3 / 4) * Table15[[#This Row],[Level]] + Equipment!$I$10</f>
        <v>24</v>
      </c>
      <c r="I12" s="1">
        <f xml:space="preserve"> (4 * (Table15[[#This Row],[Level]] ^ 3))/7 + $I$3</f>
        <v>671.42857142857144</v>
      </c>
      <c r="K12" s="8">
        <f>CEILING('Blue Slime'!$B$5/ IF('Blue Slime'!$D$5&lt; 10.8, Table15[[#This Row],[STR]], Table15[[#This Row],[STR]] / ('Blue Slime'!$D$5 / 10.8)), 1)</f>
        <v>1</v>
      </c>
      <c r="L12" s="8">
        <f>CEILING('Green Slime'!$B$5/ IF('Green Slime'!$D$5&lt; 10.8, Table15[[#This Row],[STR]], Table15[[#This Row],[STR]] / ('Green Slime'!$D$5 / 10.8)), 1)</f>
        <v>1</v>
      </c>
      <c r="M12" s="8">
        <f>CEILING(Wolf!$B$6/ IF(Wolf!$D$6&lt; 10.8, Table15[[#This Row],[STR]], Table15[[#This Row],[STR]] / (Wolf!$D$6 / 10.8)), 1)</f>
        <v>3</v>
      </c>
      <c r="N12" s="8">
        <f>CEILING('Horned Wolf'!$B$5/ IF('Horned Wolf'!$D$5&lt; 10.8, Table15[[#This Row],[STR]], Table15[[#This Row],[STR]] / ('Horned Wolf'!$D$5 / 10.8)), 1)</f>
        <v>7</v>
      </c>
      <c r="O12" s="14">
        <f>CEILING(Spider!$B$7/ IF(Spider!$D$7&lt; 10.8, Table15[[#This Row],[STR]], Table15[[#This Row],[STR]] / (Spider!$D$7 / 10.8)), 1)</f>
        <v>7</v>
      </c>
      <c r="P12" s="14">
        <f>CEILING('Evolved Spider'!$B$8/ IF('Evolved Spider'!$D$8&lt; 10.8, Table15[[#This Row],[STR]], Table15[[#This Row],[STR]] / ('Evolved Spider'!$D$8 / 10.8)), 1)</f>
        <v>13</v>
      </c>
      <c r="Q12" s="14">
        <f>CEILING(Arachne!$B$4/ IF(Arachne!$D$4&lt; 10.8, Table15[[#This Row],[STR]], Table15[[#This Row],[STR]] / (Arachne!$D$4 / 10.8)), 1)</f>
        <v>18</v>
      </c>
      <c r="R12" s="12">
        <f>CEILING('Earth Elemental'!$B$6/ IF('Earth Elemental'!$D$6&lt; 10.8, Table15[[#This Row],[STR]], Table15[[#This Row],[STR]] / ('Earth Elemental'!$D$6 / 10.8)), 1)</f>
        <v>18</v>
      </c>
      <c r="S12" s="12">
        <f>CEILING('Wind Elemental'!$B$6/ IF('Wind Elemental'!$D$6&lt; 10.8, Table15[[#This Row],[STR]], Table15[[#This Row],[STR]] / ('Wind Elemental'!$D$6 / 10.8)), 1)</f>
        <v>16</v>
      </c>
      <c r="T12" s="12">
        <f>CEILING('Water Elemental'!$B$6/ IF('Water Elemental'!$D$6&lt; 10.8, Table15[[#This Row],[STR]], Table15[[#This Row],[STR]] / ('Water Elemental'!$D$6 / 10.8)), 1)</f>
        <v>24</v>
      </c>
      <c r="U12" s="12">
        <f>CEILING('Fire Elemental'!$B$4/ IF('Fire Elemental'!$D$4&lt; 10.8, Table15[[#This Row],[STR]], Table15[[#This Row],[STR]] / ('Fire Elemental'!$D$4 / 10.8)), 1)</f>
        <v>31</v>
      </c>
      <c r="V12" s="12">
        <f>CEILING(Wyvern!$B$4/ IF(Wyvern!$D$4&lt; 10.8, Table15[[#This Row],[STR]], Table15[[#This Row],[STR]] / (Wyvern!$D$4 / 10.8)), 1)</f>
        <v>42</v>
      </c>
      <c r="W12" s="12">
        <f>CEILING('Evolved Wyvern'!$B$4/ IF('Evolved Wyvern'!$D$4&lt; 10.8, Table15[[#This Row],[STR]], Table15[[#This Row],[STR]] / ('Evolved Wyvern'!$D$4 / 10.8)), 1)</f>
        <v>57</v>
      </c>
      <c r="X12" s="12">
        <f>CEILING(Dragon!$B$4/ IF(Dragon!$D$4&lt; 10.8, Table15[[#This Row],[STR]], Table15[[#This Row],[STR]] / (Dragon!$D$4 / 10.8)), 1)</f>
        <v>94</v>
      </c>
      <c r="Z12" s="14">
        <f>CEILING('Blue Slime'!$M$5/ IF('Blue Slime'!$O$5&lt; 10.8, Table15[[#This Row],[STR]], Table15[[#This Row],[STR]] / ('Blue Slime'!$O$5 / 10.8)), 1)</f>
        <v>2</v>
      </c>
      <c r="AA12" s="14">
        <f>CEILING('Green Slime'!$M$5/ IF('Green Slime'!$O$5&lt; 10.8, Table15[[#This Row],[STR]], Table15[[#This Row],[STR]] / ('Green Slime'!$O$5 / 10.8)), 1)</f>
        <v>2</v>
      </c>
      <c r="AB12" s="14">
        <f>CEILING(Wolf!$M$6/ IF(Wolf!$O$6&lt; 10.8, Table15[[#This Row],[STR]], Table15[[#This Row],[STR]] / (Wolf!$O$6 / 10.8)), 1)</f>
        <v>6</v>
      </c>
      <c r="AC12" s="14">
        <f>CEILING('Horned Wolf'!$M$5/ IF('Horned Wolf'!$O$5&lt; 10.8, Table15[[#This Row],[STR]], Table15[[#This Row],[STR]] / ('Horned Wolf'!$O$5 / 10.8)), 1)</f>
        <v>15</v>
      </c>
      <c r="AD12" s="8">
        <f>CEILING(Spider!$M$7/ IF(Spider!$O$7&lt; 10.8, Table15[[#This Row],[STR]], Table15[[#This Row],[STR]] / (Spider!$O$7 / 10.8)), 1)</f>
        <v>14</v>
      </c>
      <c r="AE12" s="8">
        <f>CEILING('Evolved Spider'!$M$8/ IF('Evolved Spider'!$O$8&lt; 10.8, Table15[[#This Row],[STR]], Table15[[#This Row],[STR]] / ('Evolved Spider'!$O$8 / 10.8)), 1)</f>
        <v>26</v>
      </c>
      <c r="AF12" s="8">
        <f>CEILING(Arachne!$M$4/ IF(Arachne!$O$4&lt; 10.8, Table15[[#This Row],[STR]], Table15[[#This Row],[STR]] / (Arachne!$O$4 / 10.8)), 1)</f>
        <v>34</v>
      </c>
      <c r="AG12" s="12">
        <f>CEILING('Earth Elemental'!$M$6/ IF('Earth Elemental'!$O$6&lt; 10.8, Table15[[#This Row],[STR]], Table15[[#This Row],[STR]] / ('Earth Elemental'!$O$6 / 10.8)), 1)</f>
        <v>31</v>
      </c>
      <c r="AH12" s="12">
        <f>CEILING('Wind Elemental'!$M$6/ IF('Wind Elemental'!$O$6&lt; 10.8, Table15[[#This Row],[STR]], Table15[[#This Row],[STR]] / ('Wind Elemental'!$O$6 / 10.8)), 1)</f>
        <v>26</v>
      </c>
      <c r="AI12" s="12">
        <f>CEILING('Water Elemental'!$M$6/ IF('Water Elemental'!$O$6&lt; 10.8, Table15[[#This Row],[STR]], Table15[[#This Row],[STR]] / ('Water Elemental'!$O$6 / 10.8)), 1)</f>
        <v>37</v>
      </c>
      <c r="AJ12" s="12">
        <f>CEILING('Fire Elemental'!$M$4/ IF('Fire Elemental'!$O$4&lt; 10.8, Table15[[#This Row],[STR]], Table15[[#This Row],[STR]] / ('Fire Elemental'!$O$4 / 10.8)), 1)</f>
        <v>54</v>
      </c>
      <c r="AK12" s="12">
        <f>CEILING(Wyvern!$M$4/ IF(Wyvern!$O$4&lt; 10.8, Table15[[#This Row],[STR]], Table15[[#This Row],[STR]] / (Wyvern!$O$4 / 10.8)), 1)</f>
        <v>68</v>
      </c>
      <c r="AL12" s="12">
        <f>CEILING('Evolved Wyvern'!$M$4/ IF('Evolved Wyvern'!$O$4&lt; 10.8, Table15[[#This Row],[STR]], Table15[[#This Row],[STR]] / ('Evolved Wyvern'!$O$4 / 10.8)), 1)</f>
        <v>91</v>
      </c>
      <c r="AM12" s="12">
        <f>CEILING(Dragon!$M$4/ IF(Dragon!$O$4&lt; 10.8, Table15[[#This Row],[STR]], Table15[[#This Row],[STR]] / (Dragon!$O$4 / 10.8)), 1)</f>
        <v>151</v>
      </c>
      <c r="AO12" s="14">
        <f>CEILING('Blue Slime'!$Z$5/ IF('Blue Slime'!$X$5&lt; 10.8, Table15[[#This Row],[STR]], Table15[[#This Row],[STR]] / ('Blue Slime'!$X$5 / 10.8)), 1)</f>
        <v>2</v>
      </c>
      <c r="AP12" s="14">
        <f>CEILING('Green Slime'!$Z$5/ IF('Green Slime'!$X$5&lt; 10.8, Table15[[#This Row],[STR]], Table15[[#This Row],[STR]] / ('Green Slime'!$X$5 / 10.8)), 1)</f>
        <v>4</v>
      </c>
      <c r="AQ12" s="14">
        <f>CEILING(Wolf!$Z$6/ IF(Wolf!$X$6&lt; 10.8, Table15[[#This Row],[STR]], Table15[[#This Row],[STR]] / (Wolf!$X$6 / 10.8)), 1)</f>
        <v>10</v>
      </c>
      <c r="AR12" s="14">
        <f>CEILING('Horned Wolf'!$Z$5/ IF('Horned Wolf'!$X$5&lt; 10.8, Table15[[#This Row],[STR]], Table15[[#This Row],[STR]] / ('Horned Wolf'!$X$5 / 10.8)), 1)</f>
        <v>26</v>
      </c>
      <c r="AS12" s="8">
        <f>CEILING(Spider!$Z$7/ IF(Spider!$X$7&lt; 10.8, Table15[[#This Row],[STR]], Table15[[#This Row],[STR]] / (Spider!$X$7 / 10.8)), 1)</f>
        <v>23</v>
      </c>
      <c r="AT12" s="8">
        <f>CEILING('Evolved Spider'!$Z$8/ IF('Evolved Spider'!$X$8&lt; 10.8, Table15[[#This Row],[STR]], Table15[[#This Row],[STR]] / ('Evolved Spider'!$X$8 / 10.8)), 1)</f>
        <v>42</v>
      </c>
      <c r="AU12" s="8">
        <f>CEILING(Arachne!$Z$4/ IF(Arachne!$X$4&lt; 10.8, Table15[[#This Row],[STR]], Table15[[#This Row],[STR]] / (Arachne!$X$4 / 10.8)), 1)</f>
        <v>57</v>
      </c>
      <c r="AV12" s="12">
        <f>CEILING('Earth Elemental'!$Z$6/ IF('Earth Elemental'!$X$6&lt; 10.8, Table15[[#This Row],[STR]], Table15[[#This Row],[STR]] / ('Earth Elemental'!$X$6 / 10.8)), 1)</f>
        <v>47</v>
      </c>
      <c r="AW12" s="12">
        <f>CEILING('Wind Elemental'!$Z$6/ IF('Wind Elemental'!$X$6&lt; 10.8, Table15[[#This Row],[STR]], Table15[[#This Row],[STR]] / ('Wind Elemental'!$X$6 / 10.8)), 1)</f>
        <v>37</v>
      </c>
      <c r="AX12" s="12">
        <f>CEILING('Water Elemental'!$Z$6/ IF('Water Elemental'!$X$6&lt; 10.8, Table15[[#This Row],[STR]], Table15[[#This Row],[STR]] / ('Water Elemental'!$X$6 / 10.8)), 1)</f>
        <v>51</v>
      </c>
      <c r="AY12" s="12">
        <f>CEILING('Fire Elemental'!$Z$4/ IF('Fire Elemental'!$X$4&lt; 10.8, Table15[[#This Row],[STR]], Table15[[#This Row],[STR]] / ('Fire Elemental'!$X$4 / 10.8)), 1)</f>
        <v>82</v>
      </c>
      <c r="AZ12" s="12">
        <f>CEILING(Wyvern!$Z$4/ IF(Wyvern!$X$4&lt; 10.8, Table15[[#This Row],[STR]], Table15[[#This Row],[STR]] / (Wyvern!$X$4 / 10.8)), 1)</f>
        <v>99</v>
      </c>
      <c r="BA12" s="12">
        <f>CEILING('Evolved Wyvern'!$Z$4/ IF('Evolved Wyvern'!$X$4&lt; 10.8, Table15[[#This Row],[STR]], Table15[[#This Row],[STR]] / ('Evolved Wyvern'!$X$4 / 10.8)), 1)</f>
        <v>127</v>
      </c>
      <c r="BB12" s="12">
        <f>CEILING(Dragon!$Z$4/ IF(Dragon!$X$4&lt; 10.8, Table15[[#This Row],[STR]], Table15[[#This Row],[STR]] / (Dragon!$X$4 / 10.8)), 1)</f>
        <v>214</v>
      </c>
    </row>
    <row r="13" spans="1:54" x14ac:dyDescent="0.3">
      <c r="A13" s="1">
        <v>11</v>
      </c>
      <c r="B13" s="1">
        <f>$B$3 + ((Table15[[#This Row],[Level]] / 10) + $B$3 / 8) * Table15[[#This Row],[Level]] + Equipment!$D$10</f>
        <v>41.85</v>
      </c>
      <c r="C13" s="1">
        <f xml:space="preserve"> 2*Table15[[#This Row],[INT]]</f>
        <v>68</v>
      </c>
      <c r="D13" s="1">
        <f>$D$3 + ($D$3 / 4) * Table15[[#This Row],[Level]] + Equipment!$E$10</f>
        <v>21.75</v>
      </c>
      <c r="E13" s="1">
        <f>$E$3 + ($E$3 / 4) * Table15[[#This Row],[Level]] + Equipment!$F$10</f>
        <v>25.5</v>
      </c>
      <c r="F13" s="1">
        <f>$F$3 + ($F$3 / 4) * Table15[[#This Row],[Level]] + Equipment!$G$10</f>
        <v>30.25</v>
      </c>
      <c r="G13" s="1">
        <f>$G$3 + ($G$3 / 4) * Table15[[#This Row],[Level]] + Equipment!$H$10</f>
        <v>34</v>
      </c>
      <c r="H13" s="1">
        <f>$H$3 + ($H$3 / 4) * Table15[[#This Row],[Level]] + Equipment!$I$10</f>
        <v>25.5</v>
      </c>
      <c r="I13" s="1">
        <f xml:space="preserve"> (4 * (Table15[[#This Row],[Level]] ^ 3))/7 + $I$3</f>
        <v>860.57142857142856</v>
      </c>
      <c r="K13" s="8">
        <f>CEILING('Blue Slime'!$B$5/ IF('Blue Slime'!$D$5&lt; 10.8, Table15[[#This Row],[STR]], Table15[[#This Row],[STR]] / ('Blue Slime'!$D$5 / 10.8)), 1)</f>
        <v>1</v>
      </c>
      <c r="L13" s="8">
        <f>CEILING('Green Slime'!$B$5/ IF('Green Slime'!$D$5&lt; 10.8, Table15[[#This Row],[STR]], Table15[[#This Row],[STR]] / ('Green Slime'!$D$5 / 10.8)), 1)</f>
        <v>1</v>
      </c>
      <c r="M13" s="8">
        <f>CEILING(Wolf!$B$6/ IF(Wolf!$D$6&lt; 10.8, Table15[[#This Row],[STR]], Table15[[#This Row],[STR]] / (Wolf!$D$6 / 10.8)), 1)</f>
        <v>3</v>
      </c>
      <c r="N13" s="8">
        <f>CEILING('Horned Wolf'!$B$5/ IF('Horned Wolf'!$D$5&lt; 10.8, Table15[[#This Row],[STR]], Table15[[#This Row],[STR]] / ('Horned Wolf'!$D$5 / 10.8)), 1)</f>
        <v>7</v>
      </c>
      <c r="O13" s="14">
        <f>CEILING(Spider!$B$7/ IF(Spider!$D$7&lt; 10.8, Table15[[#This Row],[STR]], Table15[[#This Row],[STR]] / (Spider!$D$7 / 10.8)), 1)</f>
        <v>7</v>
      </c>
      <c r="P13" s="14">
        <f>CEILING('Evolved Spider'!$B$8/ IF('Evolved Spider'!$D$8&lt; 10.8, Table15[[#This Row],[STR]], Table15[[#This Row],[STR]] / ('Evolved Spider'!$D$8 / 10.8)), 1)</f>
        <v>13</v>
      </c>
      <c r="Q13" s="14">
        <f>CEILING(Arachne!$B$4/ IF(Arachne!$D$4&lt; 10.8, Table15[[#This Row],[STR]], Table15[[#This Row],[STR]] / (Arachne!$D$4 / 10.8)), 1)</f>
        <v>17</v>
      </c>
      <c r="R13" s="12">
        <f>CEILING('Earth Elemental'!$B$6/ IF('Earth Elemental'!$D$6&lt; 10.8, Table15[[#This Row],[STR]], Table15[[#This Row],[STR]] / ('Earth Elemental'!$D$6 / 10.8)), 1)</f>
        <v>17</v>
      </c>
      <c r="S13" s="12">
        <f>CEILING('Wind Elemental'!$B$6/ IF('Wind Elemental'!$D$6&lt; 10.8, Table15[[#This Row],[STR]], Table15[[#This Row],[STR]] / ('Wind Elemental'!$D$6 / 10.8)), 1)</f>
        <v>15</v>
      </c>
      <c r="T13" s="12">
        <f>CEILING('Water Elemental'!$B$6/ IF('Water Elemental'!$D$6&lt; 10.8, Table15[[#This Row],[STR]], Table15[[#This Row],[STR]] / ('Water Elemental'!$D$6 / 10.8)), 1)</f>
        <v>23</v>
      </c>
      <c r="U13" s="12">
        <f>CEILING('Fire Elemental'!$B$4/ IF('Fire Elemental'!$D$4&lt; 10.8, Table15[[#This Row],[STR]], Table15[[#This Row],[STR]] / ('Fire Elemental'!$D$4 / 10.8)), 1)</f>
        <v>29</v>
      </c>
      <c r="V13" s="12">
        <f>CEILING(Wyvern!$B$4/ IF(Wyvern!$D$4&lt; 10.8, Table15[[#This Row],[STR]], Table15[[#This Row],[STR]] / (Wyvern!$D$4 / 10.8)), 1)</f>
        <v>39</v>
      </c>
      <c r="W13" s="12">
        <f>CEILING('Evolved Wyvern'!$B$4/ IF('Evolved Wyvern'!$D$4&lt; 10.8, Table15[[#This Row],[STR]], Table15[[#This Row],[STR]] / ('Evolved Wyvern'!$D$4 / 10.8)), 1)</f>
        <v>54</v>
      </c>
      <c r="X13" s="12">
        <f>CEILING(Dragon!$B$4/ IF(Dragon!$D$4&lt; 10.8, Table15[[#This Row],[STR]], Table15[[#This Row],[STR]] / (Dragon!$D$4 / 10.8)), 1)</f>
        <v>89</v>
      </c>
      <c r="Z13" s="8">
        <f>CEILING('Blue Slime'!$M$5/ IF('Blue Slime'!$O$5&lt; 10.8, Table15[[#This Row],[STR]], Table15[[#This Row],[STR]] / ('Blue Slime'!$O$5 / 10.8)), 1)</f>
        <v>1</v>
      </c>
      <c r="AA13" s="8">
        <f>CEILING('Green Slime'!$M$5/ IF('Green Slime'!$O$5&lt; 10.8, Table15[[#This Row],[STR]], Table15[[#This Row],[STR]] / ('Green Slime'!$O$5 / 10.8)), 1)</f>
        <v>2</v>
      </c>
      <c r="AB13" s="8">
        <f>CEILING(Wolf!$M$6/ IF(Wolf!$O$6&lt; 10.8, Table15[[#This Row],[STR]], Table15[[#This Row],[STR]] / (Wolf!$O$6 / 10.8)), 1)</f>
        <v>5</v>
      </c>
      <c r="AC13" s="8">
        <f>CEILING('Horned Wolf'!$M$5/ IF('Horned Wolf'!$O$5&lt; 10.8, Table15[[#This Row],[STR]], Table15[[#This Row],[STR]] / ('Horned Wolf'!$O$5 / 10.8)), 1)</f>
        <v>14</v>
      </c>
      <c r="AD13" s="14">
        <f>CEILING(Spider!$M$7/ IF(Spider!$O$7&lt; 10.8, Table15[[#This Row],[STR]], Table15[[#This Row],[STR]] / (Spider!$O$7 / 10.8)), 1)</f>
        <v>13</v>
      </c>
      <c r="AE13" s="14">
        <f>CEILING('Evolved Spider'!$M$8/ IF('Evolved Spider'!$O$8&lt; 10.8, Table15[[#This Row],[STR]], Table15[[#This Row],[STR]] / ('Evolved Spider'!$O$8 / 10.8)), 1)</f>
        <v>24</v>
      </c>
      <c r="AF13" s="14">
        <f>CEILING(Arachne!$M$4/ IF(Arachne!$O$4&lt; 10.8, Table15[[#This Row],[STR]], Table15[[#This Row],[STR]] / (Arachne!$O$4 / 10.8)), 1)</f>
        <v>32</v>
      </c>
      <c r="AG13" s="12">
        <f>CEILING('Earth Elemental'!$M$6/ IF('Earth Elemental'!$O$6&lt; 10.8, Table15[[#This Row],[STR]], Table15[[#This Row],[STR]] / ('Earth Elemental'!$O$6 / 10.8)), 1)</f>
        <v>30</v>
      </c>
      <c r="AH13" s="12">
        <f>CEILING('Wind Elemental'!$M$6/ IF('Wind Elemental'!$O$6&lt; 10.8, Table15[[#This Row],[STR]], Table15[[#This Row],[STR]] / ('Wind Elemental'!$O$6 / 10.8)), 1)</f>
        <v>24</v>
      </c>
      <c r="AI13" s="12">
        <f>CEILING('Water Elemental'!$M$6/ IF('Water Elemental'!$O$6&lt; 10.8, Table15[[#This Row],[STR]], Table15[[#This Row],[STR]] / ('Water Elemental'!$O$6 / 10.8)), 1)</f>
        <v>35</v>
      </c>
      <c r="AJ13" s="12">
        <f>CEILING('Fire Elemental'!$M$4/ IF('Fire Elemental'!$O$4&lt; 10.8, Table15[[#This Row],[STR]], Table15[[#This Row],[STR]] / ('Fire Elemental'!$O$4 / 10.8)), 1)</f>
        <v>51</v>
      </c>
      <c r="AK13" s="12">
        <f>CEILING(Wyvern!$M$4/ IF(Wyvern!$O$4&lt; 10.8, Table15[[#This Row],[STR]], Table15[[#This Row],[STR]] / (Wyvern!$O$4 / 10.8)), 1)</f>
        <v>64</v>
      </c>
      <c r="AL13" s="12">
        <f>CEILING('Evolved Wyvern'!$M$4/ IF('Evolved Wyvern'!$O$4&lt; 10.8, Table15[[#This Row],[STR]], Table15[[#This Row],[STR]] / ('Evolved Wyvern'!$O$4 / 10.8)), 1)</f>
        <v>86</v>
      </c>
      <c r="AM13" s="12">
        <f>CEILING(Dragon!$M$4/ IF(Dragon!$O$4&lt; 10.8, Table15[[#This Row],[STR]], Table15[[#This Row],[STR]] / (Dragon!$O$4 / 10.8)), 1)</f>
        <v>142</v>
      </c>
      <c r="AO13" s="8">
        <f>CEILING('Blue Slime'!$Z$5/ IF('Blue Slime'!$X$5&lt; 10.8, Table15[[#This Row],[STR]], Table15[[#This Row],[STR]] / ('Blue Slime'!$X$5 / 10.8)), 1)</f>
        <v>2</v>
      </c>
      <c r="AP13" s="8">
        <f>CEILING('Green Slime'!$Z$5/ IF('Green Slime'!$X$5&lt; 10.8, Table15[[#This Row],[STR]], Table15[[#This Row],[STR]] / ('Green Slime'!$X$5 / 10.8)), 1)</f>
        <v>4</v>
      </c>
      <c r="AQ13" s="8">
        <f>CEILING(Wolf!$Z$6/ IF(Wolf!$X$6&lt; 10.8, Table15[[#This Row],[STR]], Table15[[#This Row],[STR]] / (Wolf!$X$6 / 10.8)), 1)</f>
        <v>9</v>
      </c>
      <c r="AR13" s="8">
        <f>CEILING('Horned Wolf'!$Z$5/ IF('Horned Wolf'!$X$5&lt; 10.8, Table15[[#This Row],[STR]], Table15[[#This Row],[STR]] / ('Horned Wolf'!$X$5 / 10.8)), 1)</f>
        <v>25</v>
      </c>
      <c r="AS13" s="13">
        <f>CEILING(Spider!$Z$7/ IF(Spider!$X$7&lt; 10.8, Table15[[#This Row],[STR]], Table15[[#This Row],[STR]] / (Spider!$X$7 / 10.8)), 1)</f>
        <v>22</v>
      </c>
      <c r="AT13" s="13">
        <f>CEILING('Evolved Spider'!$Z$8/ IF('Evolved Spider'!$X$8&lt; 10.8, Table15[[#This Row],[STR]], Table15[[#This Row],[STR]] / ('Evolved Spider'!$X$8 / 10.8)), 1)</f>
        <v>39</v>
      </c>
      <c r="AU13" s="13">
        <f>CEILING(Arachne!$Z$4/ IF(Arachne!$X$4&lt; 10.8, Table15[[#This Row],[STR]], Table15[[#This Row],[STR]] / (Arachne!$X$4 / 10.8)), 1)</f>
        <v>53</v>
      </c>
      <c r="AV13" s="12">
        <f>CEILING('Earth Elemental'!$Z$6/ IF('Earth Elemental'!$X$6&lt; 10.8, Table15[[#This Row],[STR]], Table15[[#This Row],[STR]] / ('Earth Elemental'!$X$6 / 10.8)), 1)</f>
        <v>45</v>
      </c>
      <c r="AW13" s="12">
        <f>CEILING('Wind Elemental'!$Z$6/ IF('Wind Elemental'!$X$6&lt; 10.8, Table15[[#This Row],[STR]], Table15[[#This Row],[STR]] / ('Wind Elemental'!$X$6 / 10.8)), 1)</f>
        <v>35</v>
      </c>
      <c r="AX13" s="12">
        <f>CEILING('Water Elemental'!$Z$6/ IF('Water Elemental'!$X$6&lt; 10.8, Table15[[#This Row],[STR]], Table15[[#This Row],[STR]] / ('Water Elemental'!$X$6 / 10.8)), 1)</f>
        <v>48</v>
      </c>
      <c r="AY13" s="12">
        <f>CEILING('Fire Elemental'!$Z$4/ IF('Fire Elemental'!$X$4&lt; 10.8, Table15[[#This Row],[STR]], Table15[[#This Row],[STR]] / ('Fire Elemental'!$X$4 / 10.8)), 1)</f>
        <v>78</v>
      </c>
      <c r="AZ13" s="12">
        <f>CEILING(Wyvern!$Z$4/ IF(Wyvern!$X$4&lt; 10.8, Table15[[#This Row],[STR]], Table15[[#This Row],[STR]] / (Wyvern!$X$4 / 10.8)), 1)</f>
        <v>94</v>
      </c>
      <c r="BA13" s="12">
        <f>CEILING('Evolved Wyvern'!$Z$4/ IF('Evolved Wyvern'!$X$4&lt; 10.8, Table15[[#This Row],[STR]], Table15[[#This Row],[STR]] / ('Evolved Wyvern'!$X$4 / 10.8)), 1)</f>
        <v>120</v>
      </c>
      <c r="BB13" s="12">
        <f>CEILING(Dragon!$Z$4/ IF(Dragon!$X$4&lt; 10.8, Table15[[#This Row],[STR]], Table15[[#This Row],[STR]] / (Dragon!$X$4 / 10.8)), 1)</f>
        <v>202</v>
      </c>
    </row>
    <row r="14" spans="1:54" x14ac:dyDescent="0.3">
      <c r="A14" s="1">
        <v>12</v>
      </c>
      <c r="B14" s="1">
        <f>$B$3 + ((Table15[[#This Row],[Level]] / 10) + $B$3 / 8) * Table15[[#This Row],[Level]] + Equipment!$D$10</f>
        <v>45.400000000000006</v>
      </c>
      <c r="C14" s="1">
        <f xml:space="preserve"> 2*Table15[[#This Row],[INT]]</f>
        <v>72</v>
      </c>
      <c r="D14" s="1">
        <f>$D$3 + ($D$3 / 4) * Table15[[#This Row],[Level]] + Equipment!$E$10</f>
        <v>23</v>
      </c>
      <c r="E14" s="1">
        <f>$E$3 + ($E$3 / 4) * Table15[[#This Row],[Level]] + Equipment!$F$10</f>
        <v>27</v>
      </c>
      <c r="F14" s="1">
        <f>$F$3 + ($F$3 / 4) * Table15[[#This Row],[Level]] + Equipment!$G$10</f>
        <v>32</v>
      </c>
      <c r="G14" s="1">
        <f>$G$3 + ($G$3 / 4) * Table15[[#This Row],[Level]] + Equipment!$H$10</f>
        <v>36</v>
      </c>
      <c r="H14" s="1">
        <f>$H$3 + ($H$3 / 4) * Table15[[#This Row],[Level]] + Equipment!$I$10</f>
        <v>27</v>
      </c>
      <c r="I14" s="1">
        <f xml:space="preserve"> (4 * (Table15[[#This Row],[Level]] ^ 3))/7 + $I$3</f>
        <v>1087.4285714285716</v>
      </c>
      <c r="K14" s="8">
        <f>CEILING('Blue Slime'!$B$5/ IF('Blue Slime'!$D$5&lt; 10.8, Table15[[#This Row],[STR]], Table15[[#This Row],[STR]] / ('Blue Slime'!$D$5 / 10.8)), 1)</f>
        <v>1</v>
      </c>
      <c r="L14" s="8">
        <f>CEILING('Green Slime'!$B$5/ IF('Green Slime'!$D$5&lt; 10.8, Table15[[#This Row],[STR]], Table15[[#This Row],[STR]] / ('Green Slime'!$D$5 / 10.8)), 1)</f>
        <v>1</v>
      </c>
      <c r="M14" s="8">
        <f>CEILING(Wolf!$B$6/ IF(Wolf!$D$6&lt; 10.8, Table15[[#This Row],[STR]], Table15[[#This Row],[STR]] / (Wolf!$D$6 / 10.8)), 1)</f>
        <v>3</v>
      </c>
      <c r="N14" s="8">
        <f>CEILING('Horned Wolf'!$B$5/ IF('Horned Wolf'!$D$5&lt; 10.8, Table15[[#This Row],[STR]], Table15[[#This Row],[STR]] / ('Horned Wolf'!$D$5 / 10.8)), 1)</f>
        <v>7</v>
      </c>
      <c r="O14" s="14">
        <f>CEILING(Spider!$B$7/ IF(Spider!$D$7&lt; 10.8, Table15[[#This Row],[STR]], Table15[[#This Row],[STR]] / (Spider!$D$7 / 10.8)), 1)</f>
        <v>6</v>
      </c>
      <c r="P14" s="14">
        <f>CEILING('Evolved Spider'!$B$8/ IF('Evolved Spider'!$D$8&lt; 10.8, Table15[[#This Row],[STR]], Table15[[#This Row],[STR]] / ('Evolved Spider'!$D$8 / 10.8)), 1)</f>
        <v>12</v>
      </c>
      <c r="Q14" s="14">
        <f>CEILING(Arachne!$B$4/ IF(Arachne!$D$4&lt; 10.8, Table15[[#This Row],[STR]], Table15[[#This Row],[STR]] / (Arachne!$D$4 / 10.8)), 1)</f>
        <v>16</v>
      </c>
      <c r="R14" s="12">
        <f>CEILING('Earth Elemental'!$B$6/ IF('Earth Elemental'!$D$6&lt; 10.8, Table15[[#This Row],[STR]], Table15[[#This Row],[STR]] / ('Earth Elemental'!$D$6 / 10.8)), 1)</f>
        <v>16</v>
      </c>
      <c r="S14" s="12">
        <f>CEILING('Wind Elemental'!$B$6/ IF('Wind Elemental'!$D$6&lt; 10.8, Table15[[#This Row],[STR]], Table15[[#This Row],[STR]] / ('Wind Elemental'!$D$6 / 10.8)), 1)</f>
        <v>14</v>
      </c>
      <c r="T14" s="12">
        <f>CEILING('Water Elemental'!$B$6/ IF('Water Elemental'!$D$6&lt; 10.8, Table15[[#This Row],[STR]], Table15[[#This Row],[STR]] / ('Water Elemental'!$D$6 / 10.8)), 1)</f>
        <v>22</v>
      </c>
      <c r="U14" s="12">
        <f>CEILING('Fire Elemental'!$B$4/ IF('Fire Elemental'!$D$4&lt; 10.8, Table15[[#This Row],[STR]], Table15[[#This Row],[STR]] / ('Fire Elemental'!$D$4 / 10.8)), 1)</f>
        <v>28</v>
      </c>
      <c r="V14" s="12">
        <f>CEILING(Wyvern!$B$4/ IF(Wyvern!$D$4&lt; 10.8, Table15[[#This Row],[STR]], Table15[[#This Row],[STR]] / (Wyvern!$D$4 / 10.8)), 1)</f>
        <v>37</v>
      </c>
      <c r="W14" s="12">
        <f>CEILING('Evolved Wyvern'!$B$4/ IF('Evolved Wyvern'!$D$4&lt; 10.8, Table15[[#This Row],[STR]], Table15[[#This Row],[STR]] / ('Evolved Wyvern'!$D$4 / 10.8)), 1)</f>
        <v>51</v>
      </c>
      <c r="X14" s="12">
        <f>CEILING(Dragon!$B$4/ IF(Dragon!$D$4&lt; 10.8, Table15[[#This Row],[STR]], Table15[[#This Row],[STR]] / (Dragon!$D$4 / 10.8)), 1)</f>
        <v>84</v>
      </c>
      <c r="Z14" s="8">
        <f>CEILING('Blue Slime'!$M$5/ IF('Blue Slime'!$O$5&lt; 10.8, Table15[[#This Row],[STR]], Table15[[#This Row],[STR]] / ('Blue Slime'!$O$5 / 10.8)), 1)</f>
        <v>1</v>
      </c>
      <c r="AA14" s="8">
        <f>CEILING('Green Slime'!$M$5/ IF('Green Slime'!$O$5&lt; 10.8, Table15[[#This Row],[STR]], Table15[[#This Row],[STR]] / ('Green Slime'!$O$5 / 10.8)), 1)</f>
        <v>2</v>
      </c>
      <c r="AB14" s="8">
        <f>CEILING(Wolf!$M$6/ IF(Wolf!$O$6&lt; 10.8, Table15[[#This Row],[STR]], Table15[[#This Row],[STR]] / (Wolf!$O$6 / 10.8)), 1)</f>
        <v>5</v>
      </c>
      <c r="AC14" s="8">
        <f>CEILING('Horned Wolf'!$M$5/ IF('Horned Wolf'!$O$5&lt; 10.8, Table15[[#This Row],[STR]], Table15[[#This Row],[STR]] / ('Horned Wolf'!$O$5 / 10.8)), 1)</f>
        <v>14</v>
      </c>
      <c r="AD14" s="14">
        <f>CEILING(Spider!$M$7/ IF(Spider!$O$7&lt; 10.8, Table15[[#This Row],[STR]], Table15[[#This Row],[STR]] / (Spider!$O$7 / 10.8)), 1)</f>
        <v>12</v>
      </c>
      <c r="AE14" s="14">
        <f>CEILING('Evolved Spider'!$M$8/ IF('Evolved Spider'!$O$8&lt; 10.8, Table15[[#This Row],[STR]], Table15[[#This Row],[STR]] / ('Evolved Spider'!$O$8 / 10.8)), 1)</f>
        <v>23</v>
      </c>
      <c r="AF14" s="14">
        <f>CEILING(Arachne!$M$4/ IF(Arachne!$O$4&lt; 10.8, Table15[[#This Row],[STR]], Table15[[#This Row],[STR]] / (Arachne!$O$4 / 10.8)), 1)</f>
        <v>31</v>
      </c>
      <c r="AG14" s="12">
        <f>CEILING('Earth Elemental'!$M$6/ IF('Earth Elemental'!$O$6&lt; 10.8, Table15[[#This Row],[STR]], Table15[[#This Row],[STR]] / ('Earth Elemental'!$O$6 / 10.8)), 1)</f>
        <v>28</v>
      </c>
      <c r="AH14" s="12">
        <f>CEILING('Wind Elemental'!$M$6/ IF('Wind Elemental'!$O$6&lt; 10.8, Table15[[#This Row],[STR]], Table15[[#This Row],[STR]] / ('Wind Elemental'!$O$6 / 10.8)), 1)</f>
        <v>23</v>
      </c>
      <c r="AI14" s="12">
        <f>CEILING('Water Elemental'!$M$6/ IF('Water Elemental'!$O$6&lt; 10.8, Table15[[#This Row],[STR]], Table15[[#This Row],[STR]] / ('Water Elemental'!$O$6 / 10.8)), 1)</f>
        <v>33</v>
      </c>
      <c r="AJ14" s="12">
        <f>CEILING('Fire Elemental'!$M$4/ IF('Fire Elemental'!$O$4&lt; 10.8, Table15[[#This Row],[STR]], Table15[[#This Row],[STR]] / ('Fire Elemental'!$O$4 / 10.8)), 1)</f>
        <v>48</v>
      </c>
      <c r="AK14" s="12">
        <f>CEILING(Wyvern!$M$4/ IF(Wyvern!$O$4&lt; 10.8, Table15[[#This Row],[STR]], Table15[[#This Row],[STR]] / (Wyvern!$O$4 / 10.8)), 1)</f>
        <v>61</v>
      </c>
      <c r="AL14" s="12">
        <f>CEILING('Evolved Wyvern'!$M$4/ IF('Evolved Wyvern'!$O$4&lt; 10.8, Table15[[#This Row],[STR]], Table15[[#This Row],[STR]] / ('Evolved Wyvern'!$O$4 / 10.8)), 1)</f>
        <v>81</v>
      </c>
      <c r="AM14" s="12">
        <f>CEILING(Dragon!$M$4/ IF(Dragon!$O$4&lt; 10.8, Table15[[#This Row],[STR]], Table15[[#This Row],[STR]] / (Dragon!$O$4 / 10.8)), 1)</f>
        <v>135</v>
      </c>
      <c r="AO14" s="8">
        <f>CEILING('Blue Slime'!$Z$5/ IF('Blue Slime'!$X$5&lt; 10.8, Table15[[#This Row],[STR]], Table15[[#This Row],[STR]] / ('Blue Slime'!$X$5 / 10.8)), 1)</f>
        <v>2</v>
      </c>
      <c r="AP14" s="8">
        <f>CEILING('Green Slime'!$Z$5/ IF('Green Slime'!$X$5&lt; 10.8, Table15[[#This Row],[STR]], Table15[[#This Row],[STR]] / ('Green Slime'!$X$5 / 10.8)), 1)</f>
        <v>3</v>
      </c>
      <c r="AQ14" s="8">
        <f>CEILING(Wolf!$Z$6/ IF(Wolf!$X$6&lt; 10.8, Table15[[#This Row],[STR]], Table15[[#This Row],[STR]] / (Wolf!$X$6 / 10.8)), 1)</f>
        <v>9</v>
      </c>
      <c r="AR14" s="8">
        <f>CEILING('Horned Wolf'!$Z$5/ IF('Horned Wolf'!$X$5&lt; 10.8, Table15[[#This Row],[STR]], Table15[[#This Row],[STR]] / ('Horned Wolf'!$X$5 / 10.8)), 1)</f>
        <v>24</v>
      </c>
      <c r="AS14" s="13">
        <f>CEILING(Spider!$Z$7/ IF(Spider!$X$7&lt; 10.8, Table15[[#This Row],[STR]], Table15[[#This Row],[STR]] / (Spider!$X$7 / 10.8)), 1)</f>
        <v>21</v>
      </c>
      <c r="AT14" s="13">
        <f>CEILING('Evolved Spider'!$Z$8/ IF('Evolved Spider'!$X$8&lt; 10.8, Table15[[#This Row],[STR]], Table15[[#This Row],[STR]] / ('Evolved Spider'!$X$8 / 10.8)), 1)</f>
        <v>37</v>
      </c>
      <c r="AU14" s="13">
        <f>CEILING(Arachne!$Z$4/ IF(Arachne!$X$4&lt; 10.8, Table15[[#This Row],[STR]], Table15[[#This Row],[STR]] / (Arachne!$X$4 / 10.8)), 1)</f>
        <v>50</v>
      </c>
      <c r="AV14" s="12">
        <f>CEILING('Earth Elemental'!$Z$6/ IF('Earth Elemental'!$X$6&lt; 10.8, Table15[[#This Row],[STR]], Table15[[#This Row],[STR]] / ('Earth Elemental'!$X$6 / 10.8)), 1)</f>
        <v>42</v>
      </c>
      <c r="AW14" s="12">
        <f>CEILING('Wind Elemental'!$Z$6/ IF('Wind Elemental'!$X$6&lt; 10.8, Table15[[#This Row],[STR]], Table15[[#This Row],[STR]] / ('Wind Elemental'!$X$6 / 10.8)), 1)</f>
        <v>33</v>
      </c>
      <c r="AX14" s="12">
        <f>CEILING('Water Elemental'!$Z$6/ IF('Water Elemental'!$X$6&lt; 10.8, Table15[[#This Row],[STR]], Table15[[#This Row],[STR]] / ('Water Elemental'!$X$6 / 10.8)), 1)</f>
        <v>45</v>
      </c>
      <c r="AY14" s="12">
        <f>CEILING('Fire Elemental'!$Z$4/ IF('Fire Elemental'!$X$4&lt; 10.8, Table15[[#This Row],[STR]], Table15[[#This Row],[STR]] / ('Fire Elemental'!$X$4 / 10.8)), 1)</f>
        <v>73</v>
      </c>
      <c r="AZ14" s="12">
        <f>CEILING(Wyvern!$Z$4/ IF(Wyvern!$X$4&lt; 10.8, Table15[[#This Row],[STR]], Table15[[#This Row],[STR]] / (Wyvern!$X$4 / 10.8)), 1)</f>
        <v>89</v>
      </c>
      <c r="BA14" s="12">
        <f>CEILING('Evolved Wyvern'!$Z$4/ IF('Evolved Wyvern'!$X$4&lt; 10.8, Table15[[#This Row],[STR]], Table15[[#This Row],[STR]] / ('Evolved Wyvern'!$X$4 / 10.8)), 1)</f>
        <v>113</v>
      </c>
      <c r="BB14" s="12">
        <f>CEILING(Dragon!$Z$4/ IF(Dragon!$X$4&lt; 10.8, Table15[[#This Row],[STR]], Table15[[#This Row],[STR]] / (Dragon!$X$4 / 10.8)), 1)</f>
        <v>191</v>
      </c>
    </row>
    <row r="15" spans="1:54" x14ac:dyDescent="0.3">
      <c r="A15" s="1">
        <v>13</v>
      </c>
      <c r="B15" s="1">
        <f>$B$3 + ((Table15[[#This Row],[Level]] / 10) + $B$3 / 8) * Table15[[#This Row],[Level]] + Equipment!$D$10</f>
        <v>49.15</v>
      </c>
      <c r="C15" s="1">
        <f xml:space="preserve"> 2*Table15[[#This Row],[INT]]</f>
        <v>76</v>
      </c>
      <c r="D15" s="1">
        <f>$D$3 + ($D$3 / 4) * Table15[[#This Row],[Level]] + Equipment!$E$10</f>
        <v>24.25</v>
      </c>
      <c r="E15" s="1">
        <f>$E$3 + ($E$3 / 4) * Table15[[#This Row],[Level]] + Equipment!$F$10</f>
        <v>28.5</v>
      </c>
      <c r="F15" s="1">
        <f>$F$3 + ($F$3 / 4) * Table15[[#This Row],[Level]] + Equipment!$G$10</f>
        <v>33.75</v>
      </c>
      <c r="G15" s="1">
        <f>$G$3 + ($G$3 / 4) * Table15[[#This Row],[Level]] + Equipment!$H$10</f>
        <v>38</v>
      </c>
      <c r="H15" s="1">
        <f>$H$3 + ($H$3 / 4) * Table15[[#This Row],[Level]] + Equipment!$I$10</f>
        <v>28.5</v>
      </c>
      <c r="I15" s="1">
        <f xml:space="preserve"> (4 * (Table15[[#This Row],[Level]] ^ 3))/7 + $I$3</f>
        <v>1355.4285714285713</v>
      </c>
      <c r="K15" s="8">
        <f>CEILING('Blue Slime'!$B$5/ IF('Blue Slime'!$D$5&lt; 10.8, Table15[[#This Row],[STR]], Table15[[#This Row],[STR]] / ('Blue Slime'!$D$5 / 10.8)), 1)</f>
        <v>1</v>
      </c>
      <c r="L15" s="8">
        <f>CEILING('Green Slime'!$B$5/ IF('Green Slime'!$D$5&lt; 10.8, Table15[[#This Row],[STR]], Table15[[#This Row],[STR]] / ('Green Slime'!$D$5 / 10.8)), 1)</f>
        <v>1</v>
      </c>
      <c r="M15" s="8">
        <f>CEILING(Wolf!$B$6/ IF(Wolf!$D$6&lt; 10.8, Table15[[#This Row],[STR]], Table15[[#This Row],[STR]] / (Wolf!$D$6 / 10.8)), 1)</f>
        <v>3</v>
      </c>
      <c r="N15" s="8">
        <f>CEILING('Horned Wolf'!$B$5/ IF('Horned Wolf'!$D$5&lt; 10.8, Table15[[#This Row],[STR]], Table15[[#This Row],[STR]] / ('Horned Wolf'!$D$5 / 10.8)), 1)</f>
        <v>6</v>
      </c>
      <c r="O15" s="14">
        <f>CEILING(Spider!$B$7/ IF(Spider!$D$7&lt; 10.8, Table15[[#This Row],[STR]], Table15[[#This Row],[STR]] / (Spider!$D$7 / 10.8)), 1)</f>
        <v>6</v>
      </c>
      <c r="P15" s="14">
        <f>CEILING('Evolved Spider'!$B$8/ IF('Evolved Spider'!$D$8&lt; 10.8, Table15[[#This Row],[STR]], Table15[[#This Row],[STR]] / ('Evolved Spider'!$D$8 / 10.8)), 1)</f>
        <v>11</v>
      </c>
      <c r="Q15" s="14">
        <f>CEILING(Arachne!$B$4/ IF(Arachne!$D$4&lt; 10.8, Table15[[#This Row],[STR]], Table15[[#This Row],[STR]] / (Arachne!$D$4 / 10.8)), 1)</f>
        <v>15</v>
      </c>
      <c r="R15" s="12">
        <f>CEILING('Earth Elemental'!$B$6/ IF('Earth Elemental'!$D$6&lt; 10.8, Table15[[#This Row],[STR]], Table15[[#This Row],[STR]] / ('Earth Elemental'!$D$6 / 10.8)), 1)</f>
        <v>15</v>
      </c>
      <c r="S15" s="12">
        <f>CEILING('Wind Elemental'!$B$6/ IF('Wind Elemental'!$D$6&lt; 10.8, Table15[[#This Row],[STR]], Table15[[#This Row],[STR]] / ('Wind Elemental'!$D$6 / 10.8)), 1)</f>
        <v>14</v>
      </c>
      <c r="T15" s="12">
        <f>CEILING('Water Elemental'!$B$6/ IF('Water Elemental'!$D$6&lt; 10.8, Table15[[#This Row],[STR]], Table15[[#This Row],[STR]] / ('Water Elemental'!$D$6 / 10.8)), 1)</f>
        <v>21</v>
      </c>
      <c r="U15" s="12">
        <f>CEILING('Fire Elemental'!$B$4/ IF('Fire Elemental'!$D$4&lt; 10.8, Table15[[#This Row],[STR]], Table15[[#This Row],[STR]] / ('Fire Elemental'!$D$4 / 10.8)), 1)</f>
        <v>26</v>
      </c>
      <c r="V15" s="12">
        <f>CEILING(Wyvern!$B$4/ IF(Wyvern!$D$4&lt; 10.8, Table15[[#This Row],[STR]], Table15[[#This Row],[STR]] / (Wyvern!$D$4 / 10.8)), 1)</f>
        <v>35</v>
      </c>
      <c r="W15" s="12">
        <f>CEILING('Evolved Wyvern'!$B$4/ IF('Evolved Wyvern'!$D$4&lt; 10.8, Table15[[#This Row],[STR]], Table15[[#This Row],[STR]] / ('Evolved Wyvern'!$D$4 / 10.8)), 1)</f>
        <v>49</v>
      </c>
      <c r="X15" s="12">
        <f>CEILING(Dragon!$B$4/ IF(Dragon!$D$4&lt; 10.8, Table15[[#This Row],[STR]], Table15[[#This Row],[STR]] / (Dragon!$D$4 / 10.8)), 1)</f>
        <v>80</v>
      </c>
      <c r="Z15" s="8">
        <f>CEILING('Blue Slime'!$M$5/ IF('Blue Slime'!$O$5&lt; 10.8, Table15[[#This Row],[STR]], Table15[[#This Row],[STR]] / ('Blue Slime'!$O$5 / 10.8)), 1)</f>
        <v>1</v>
      </c>
      <c r="AA15" s="8">
        <f>CEILING('Green Slime'!$M$5/ IF('Green Slime'!$O$5&lt; 10.8, Table15[[#This Row],[STR]], Table15[[#This Row],[STR]] / ('Green Slime'!$O$5 / 10.8)), 1)</f>
        <v>2</v>
      </c>
      <c r="AB15" s="8">
        <f>CEILING(Wolf!$M$6/ IF(Wolf!$O$6&lt; 10.8, Table15[[#This Row],[STR]], Table15[[#This Row],[STR]] / (Wolf!$O$6 / 10.8)), 1)</f>
        <v>5</v>
      </c>
      <c r="AC15" s="8">
        <f>CEILING('Horned Wolf'!$M$5/ IF('Horned Wolf'!$O$5&lt; 10.8, Table15[[#This Row],[STR]], Table15[[#This Row],[STR]] / ('Horned Wolf'!$O$5 / 10.8)), 1)</f>
        <v>13</v>
      </c>
      <c r="AD15" s="14">
        <f>CEILING(Spider!$M$7/ IF(Spider!$O$7&lt; 10.8, Table15[[#This Row],[STR]], Table15[[#This Row],[STR]] / (Spider!$O$7 / 10.8)), 1)</f>
        <v>12</v>
      </c>
      <c r="AE15" s="14">
        <f>CEILING('Evolved Spider'!$M$8/ IF('Evolved Spider'!$O$8&lt; 10.8, Table15[[#This Row],[STR]], Table15[[#This Row],[STR]] / ('Evolved Spider'!$O$8 / 10.8)), 1)</f>
        <v>22</v>
      </c>
      <c r="AF15" s="14">
        <f>CEILING(Arachne!$M$4/ IF(Arachne!$O$4&lt; 10.8, Table15[[#This Row],[STR]], Table15[[#This Row],[STR]] / (Arachne!$O$4 / 10.8)), 1)</f>
        <v>29</v>
      </c>
      <c r="AG15" s="12">
        <f>CEILING('Earth Elemental'!$M$6/ IF('Earth Elemental'!$O$6&lt; 10.8, Table15[[#This Row],[STR]], Table15[[#This Row],[STR]] / ('Earth Elemental'!$O$6 / 10.8)), 1)</f>
        <v>26</v>
      </c>
      <c r="AH15" s="12">
        <f>CEILING('Wind Elemental'!$M$6/ IF('Wind Elemental'!$O$6&lt; 10.8, Table15[[#This Row],[STR]], Table15[[#This Row],[STR]] / ('Wind Elemental'!$O$6 / 10.8)), 1)</f>
        <v>22</v>
      </c>
      <c r="AI15" s="12">
        <f>CEILING('Water Elemental'!$M$6/ IF('Water Elemental'!$O$6&lt; 10.8, Table15[[#This Row],[STR]], Table15[[#This Row],[STR]] / ('Water Elemental'!$O$6 / 10.8)), 1)</f>
        <v>31</v>
      </c>
      <c r="AJ15" s="12">
        <f>CEILING('Fire Elemental'!$M$4/ IF('Fire Elemental'!$O$4&lt; 10.8, Table15[[#This Row],[STR]], Table15[[#This Row],[STR]] / ('Fire Elemental'!$O$4 / 10.8)), 1)</f>
        <v>46</v>
      </c>
      <c r="AK15" s="12">
        <f>CEILING(Wyvern!$M$4/ IF(Wyvern!$O$4&lt; 10.8, Table15[[#This Row],[STR]], Table15[[#This Row],[STR]] / (Wyvern!$O$4 / 10.8)), 1)</f>
        <v>58</v>
      </c>
      <c r="AL15" s="12">
        <f>CEILING('Evolved Wyvern'!$M$4/ IF('Evolved Wyvern'!$O$4&lt; 10.8, Table15[[#This Row],[STR]], Table15[[#This Row],[STR]] / ('Evolved Wyvern'!$O$4 / 10.8)), 1)</f>
        <v>77</v>
      </c>
      <c r="AM15" s="12">
        <f>CEILING(Dragon!$M$4/ IF(Dragon!$O$4&lt; 10.8, Table15[[#This Row],[STR]], Table15[[#This Row],[STR]] / (Dragon!$O$4 / 10.8)), 1)</f>
        <v>128</v>
      </c>
      <c r="AO15" s="8">
        <f>CEILING('Blue Slime'!$Z$5/ IF('Blue Slime'!$X$5&lt; 10.8, Table15[[#This Row],[STR]], Table15[[#This Row],[STR]] / ('Blue Slime'!$X$5 / 10.8)), 1)</f>
        <v>2</v>
      </c>
      <c r="AP15" s="8">
        <f>CEILING('Green Slime'!$Z$5/ IF('Green Slime'!$X$5&lt; 10.8, Table15[[#This Row],[STR]], Table15[[#This Row],[STR]] / ('Green Slime'!$X$5 / 10.8)), 1)</f>
        <v>3</v>
      </c>
      <c r="AQ15" s="8">
        <f>CEILING(Wolf!$Z$6/ IF(Wolf!$X$6&lt; 10.8, Table15[[#This Row],[STR]], Table15[[#This Row],[STR]] / (Wolf!$X$6 / 10.8)), 1)</f>
        <v>8</v>
      </c>
      <c r="AR15" s="8">
        <f>CEILING('Horned Wolf'!$Z$5/ IF('Horned Wolf'!$X$5&lt; 10.8, Table15[[#This Row],[STR]], Table15[[#This Row],[STR]] / ('Horned Wolf'!$X$5 / 10.8)), 1)</f>
        <v>22</v>
      </c>
      <c r="AS15" s="13">
        <f>CEILING(Spider!$Z$7/ IF(Spider!$X$7&lt; 10.8, Table15[[#This Row],[STR]], Table15[[#This Row],[STR]] / (Spider!$X$7 / 10.8)), 1)</f>
        <v>20</v>
      </c>
      <c r="AT15" s="13">
        <f>CEILING('Evolved Spider'!$Z$8/ IF('Evolved Spider'!$X$8&lt; 10.8, Table15[[#This Row],[STR]], Table15[[#This Row],[STR]] / ('Evolved Spider'!$X$8 / 10.8)), 1)</f>
        <v>35</v>
      </c>
      <c r="AU15" s="13">
        <f>CEILING(Arachne!$Z$4/ IF(Arachne!$X$4&lt; 10.8, Table15[[#This Row],[STR]], Table15[[#This Row],[STR]] / (Arachne!$X$4 / 10.8)), 1)</f>
        <v>48</v>
      </c>
      <c r="AV15" s="12">
        <f>CEILING('Earth Elemental'!$Z$6/ IF('Earth Elemental'!$X$6&lt; 10.8, Table15[[#This Row],[STR]], Table15[[#This Row],[STR]] / ('Earth Elemental'!$X$6 / 10.8)), 1)</f>
        <v>40</v>
      </c>
      <c r="AW15" s="12">
        <f>CEILING('Wind Elemental'!$Z$6/ IF('Wind Elemental'!$X$6&lt; 10.8, Table15[[#This Row],[STR]], Table15[[#This Row],[STR]] / ('Wind Elemental'!$X$6 / 10.8)), 1)</f>
        <v>31</v>
      </c>
      <c r="AX15" s="12">
        <f>CEILING('Water Elemental'!$Z$6/ IF('Water Elemental'!$X$6&lt; 10.8, Table15[[#This Row],[STR]], Table15[[#This Row],[STR]] / ('Water Elemental'!$X$6 / 10.8)), 1)</f>
        <v>43</v>
      </c>
      <c r="AY15" s="12">
        <f>CEILING('Fire Elemental'!$Z$4/ IF('Fire Elemental'!$X$4&lt; 10.8, Table15[[#This Row],[STR]], Table15[[#This Row],[STR]] / ('Fire Elemental'!$X$4 / 10.8)), 1)</f>
        <v>70</v>
      </c>
      <c r="AZ15" s="12">
        <f>CEILING(Wyvern!$Z$4/ IF(Wyvern!$X$4&lt; 10.8, Table15[[#This Row],[STR]], Table15[[#This Row],[STR]] / (Wyvern!$X$4 / 10.8)), 1)</f>
        <v>84</v>
      </c>
      <c r="BA15" s="12">
        <f>CEILING('Evolved Wyvern'!$Z$4/ IF('Evolved Wyvern'!$X$4&lt; 10.8, Table15[[#This Row],[STR]], Table15[[#This Row],[STR]] / ('Evolved Wyvern'!$X$4 / 10.8)), 1)</f>
        <v>108</v>
      </c>
      <c r="BB15" s="12">
        <f>CEILING(Dragon!$Z$4/ IF(Dragon!$X$4&lt; 10.8, Table15[[#This Row],[STR]], Table15[[#This Row],[STR]] / (Dragon!$X$4 / 10.8)), 1)</f>
        <v>181</v>
      </c>
    </row>
    <row r="16" spans="1:54" x14ac:dyDescent="0.3">
      <c r="A16" s="30">
        <v>14</v>
      </c>
      <c r="B16" s="30">
        <f>$B$3 + ((Table15[[#This Row],[Level]] / 10) + $B$3 / 8) * Table15[[#This Row],[Level]] + Equipment!$D$10</f>
        <v>53.1</v>
      </c>
      <c r="C16" s="30">
        <f xml:space="preserve"> 2*Table15[[#This Row],[INT]]</f>
        <v>80</v>
      </c>
      <c r="D16" s="30">
        <f>$D$3 + ($D$3 / 4) * Table15[[#This Row],[Level]] + Equipment!$E$10</f>
        <v>25.5</v>
      </c>
      <c r="E16" s="30">
        <f>$E$3 + ($E$3 / 4) * Table15[[#This Row],[Level]] + Equipment!$F$10</f>
        <v>30</v>
      </c>
      <c r="F16" s="30">
        <f>$F$3 + ($F$3 / 4) * Table15[[#This Row],[Level]] + Equipment!$G$10</f>
        <v>35.5</v>
      </c>
      <c r="G16" s="30">
        <f>$G$3 + ($G$3 / 4) * Table15[[#This Row],[Level]] + Equipment!$H$10</f>
        <v>40</v>
      </c>
      <c r="H16" s="30">
        <f>$H$3 + ($H$3 / 4) * Table15[[#This Row],[Level]] + Equipment!$I$10</f>
        <v>30</v>
      </c>
      <c r="I16" s="30">
        <f xml:space="preserve"> (4 * (Table15[[#This Row],[Level]] ^ 3))/7 + $I$3</f>
        <v>1668</v>
      </c>
      <c r="K16" s="8">
        <f>CEILING('Blue Slime'!$B$5/ IF('Blue Slime'!$D$5&lt; 10.8, Table15[[#This Row],[STR]], Table15[[#This Row],[STR]] / ('Blue Slime'!$D$5 / 10.8)), 1)</f>
        <v>1</v>
      </c>
      <c r="L16" s="8">
        <f>CEILING('Green Slime'!$B$5/ IF('Green Slime'!$D$5&lt; 10.8, Table15[[#This Row],[STR]], Table15[[#This Row],[STR]] / ('Green Slime'!$D$5 / 10.8)), 1)</f>
        <v>1</v>
      </c>
      <c r="M16" s="8">
        <f>CEILING(Wolf!$B$6/ IF(Wolf!$D$6&lt; 10.8, Table15[[#This Row],[STR]], Table15[[#This Row],[STR]] / (Wolf!$D$6 / 10.8)), 1)</f>
        <v>2</v>
      </c>
      <c r="N16" s="8">
        <f>CEILING('Horned Wolf'!$B$5/ IF('Horned Wolf'!$D$5&lt; 10.8, Table15[[#This Row],[STR]], Table15[[#This Row],[STR]] / ('Horned Wolf'!$D$5 / 10.8)), 1)</f>
        <v>6</v>
      </c>
      <c r="O16" s="14">
        <f>CEILING(Spider!$B$7/ IF(Spider!$D$7&lt; 10.8, Table15[[#This Row],[STR]], Table15[[#This Row],[STR]] / (Spider!$D$7 / 10.8)), 1)</f>
        <v>6</v>
      </c>
      <c r="P16" s="14">
        <f>CEILING('Evolved Spider'!$B$8/ IF('Evolved Spider'!$D$8&lt; 10.8, Table15[[#This Row],[STR]], Table15[[#This Row],[STR]] / ('Evolved Spider'!$D$8 / 10.8)), 1)</f>
        <v>11</v>
      </c>
      <c r="Q16" s="14">
        <f>CEILING(Arachne!$B$4/ IF(Arachne!$D$4&lt; 10.8, Table15[[#This Row],[STR]], Table15[[#This Row],[STR]] / (Arachne!$D$4 / 10.8)), 1)</f>
        <v>14</v>
      </c>
      <c r="R16" s="12">
        <f>CEILING('Earth Elemental'!$B$6/ IF('Earth Elemental'!$D$6&lt; 10.8, Table15[[#This Row],[STR]], Table15[[#This Row],[STR]] / ('Earth Elemental'!$D$6 / 10.8)), 1)</f>
        <v>15</v>
      </c>
      <c r="S16" s="12">
        <f>CEILING('Wind Elemental'!$B$6/ IF('Wind Elemental'!$D$6&lt; 10.8, Table15[[#This Row],[STR]], Table15[[#This Row],[STR]] / ('Wind Elemental'!$D$6 / 10.8)), 1)</f>
        <v>13</v>
      </c>
      <c r="T16" s="12">
        <f>CEILING('Water Elemental'!$B$6/ IF('Water Elemental'!$D$6&lt; 10.8, Table15[[#This Row],[STR]], Table15[[#This Row],[STR]] / ('Water Elemental'!$D$6 / 10.8)), 1)</f>
        <v>20</v>
      </c>
      <c r="U16" s="12">
        <f>CEILING('Fire Elemental'!$B$4/ IF('Fire Elemental'!$D$4&lt; 10.8, Table15[[#This Row],[STR]], Table15[[#This Row],[STR]] / ('Fire Elemental'!$D$4 / 10.8)), 1)</f>
        <v>25</v>
      </c>
      <c r="V16" s="12">
        <f>CEILING(Wyvern!$B$4/ IF(Wyvern!$D$4&lt; 10.8, Table15[[#This Row],[STR]], Table15[[#This Row],[STR]] / (Wyvern!$D$4 / 10.8)), 1)</f>
        <v>33</v>
      </c>
      <c r="W16" s="12">
        <f>CEILING('Evolved Wyvern'!$B$4/ IF('Evolved Wyvern'!$D$4&lt; 10.8, Table15[[#This Row],[STR]], Table15[[#This Row],[STR]] / ('Evolved Wyvern'!$D$4 / 10.8)), 1)</f>
        <v>46</v>
      </c>
      <c r="X16" s="12">
        <f>CEILING(Dragon!$B$4/ IF(Dragon!$D$4&lt; 10.8, Table15[[#This Row],[STR]], Table15[[#This Row],[STR]] / (Dragon!$D$4 / 10.8)), 1)</f>
        <v>76</v>
      </c>
      <c r="Z16" s="8">
        <f>CEILING('Blue Slime'!$M$5/ IF('Blue Slime'!$O$5&lt; 10.8, Table15[[#This Row],[STR]], Table15[[#This Row],[STR]] / ('Blue Slime'!$O$5 / 10.8)), 1)</f>
        <v>1</v>
      </c>
      <c r="AA16" s="8">
        <f>CEILING('Green Slime'!$M$5/ IF('Green Slime'!$O$5&lt; 10.8, Table15[[#This Row],[STR]], Table15[[#This Row],[STR]] / ('Green Slime'!$O$5 / 10.8)), 1)</f>
        <v>2</v>
      </c>
      <c r="AB16" s="8">
        <f>CEILING(Wolf!$M$6/ IF(Wolf!$O$6&lt; 10.8, Table15[[#This Row],[STR]], Table15[[#This Row],[STR]] / (Wolf!$O$6 / 10.8)), 1)</f>
        <v>5</v>
      </c>
      <c r="AC16" s="8">
        <f>CEILING('Horned Wolf'!$M$5/ IF('Horned Wolf'!$O$5&lt; 10.8, Table15[[#This Row],[STR]], Table15[[#This Row],[STR]] / ('Horned Wolf'!$O$5 / 10.8)), 1)</f>
        <v>12</v>
      </c>
      <c r="AD16" s="14">
        <f>CEILING(Spider!$M$7/ IF(Spider!$O$7&lt; 10.8, Table15[[#This Row],[STR]], Table15[[#This Row],[STR]] / (Spider!$O$7 / 10.8)), 1)</f>
        <v>11</v>
      </c>
      <c r="AE16" s="14">
        <f>CEILING('Evolved Spider'!$M$8/ IF('Evolved Spider'!$O$8&lt; 10.8, Table15[[#This Row],[STR]], Table15[[#This Row],[STR]] / ('Evolved Spider'!$O$8 / 10.8)), 1)</f>
        <v>21</v>
      </c>
      <c r="AF16" s="14">
        <f>CEILING(Arachne!$M$4/ IF(Arachne!$O$4&lt; 10.8, Table15[[#This Row],[STR]], Table15[[#This Row],[STR]] / (Arachne!$O$4 / 10.8)), 1)</f>
        <v>28</v>
      </c>
      <c r="AG16" s="12">
        <f>CEILING('Earth Elemental'!$M$6/ IF('Earth Elemental'!$O$6&lt; 10.8, Table15[[#This Row],[STR]], Table15[[#This Row],[STR]] / ('Earth Elemental'!$O$6 / 10.8)), 1)</f>
        <v>25</v>
      </c>
      <c r="AH16" s="12">
        <f>CEILING('Wind Elemental'!$M$6/ IF('Wind Elemental'!$O$6&lt; 10.8, Table15[[#This Row],[STR]], Table15[[#This Row],[STR]] / ('Wind Elemental'!$O$6 / 10.8)), 1)</f>
        <v>21</v>
      </c>
      <c r="AI16" s="12">
        <f>CEILING('Water Elemental'!$M$6/ IF('Water Elemental'!$O$6&lt; 10.8, Table15[[#This Row],[STR]], Table15[[#This Row],[STR]] / ('Water Elemental'!$O$6 / 10.8)), 1)</f>
        <v>30</v>
      </c>
      <c r="AJ16" s="12">
        <f>CEILING('Fire Elemental'!$M$4/ IF('Fire Elemental'!$O$4&lt; 10.8, Table15[[#This Row],[STR]], Table15[[#This Row],[STR]] / ('Fire Elemental'!$O$4 / 10.8)), 1)</f>
        <v>43</v>
      </c>
      <c r="AK16" s="12">
        <f>CEILING(Wyvern!$M$4/ IF(Wyvern!$O$4&lt; 10.8, Table15[[#This Row],[STR]], Table15[[#This Row],[STR]] / (Wyvern!$O$4 / 10.8)), 1)</f>
        <v>55</v>
      </c>
      <c r="AL16" s="12">
        <f>CEILING('Evolved Wyvern'!$M$4/ IF('Evolved Wyvern'!$O$4&lt; 10.8, Table15[[#This Row],[STR]], Table15[[#This Row],[STR]] / ('Evolved Wyvern'!$O$4 / 10.8)), 1)</f>
        <v>73</v>
      </c>
      <c r="AM16" s="12">
        <f>CEILING(Dragon!$M$4/ IF(Dragon!$O$4&lt; 10.8, Table15[[#This Row],[STR]], Table15[[#This Row],[STR]] / (Dragon!$O$4 / 10.8)), 1)</f>
        <v>121</v>
      </c>
      <c r="AO16" s="8">
        <f>CEILING('Blue Slime'!$Z$5/ IF('Blue Slime'!$X$5&lt; 10.8, Table15[[#This Row],[STR]], Table15[[#This Row],[STR]] / ('Blue Slime'!$X$5 / 10.8)), 1)</f>
        <v>2</v>
      </c>
      <c r="AP16" s="8">
        <f>CEILING('Green Slime'!$Z$5/ IF('Green Slime'!$X$5&lt; 10.8, Table15[[#This Row],[STR]], Table15[[#This Row],[STR]] / ('Green Slime'!$X$5 / 10.8)), 1)</f>
        <v>3</v>
      </c>
      <c r="AQ16" s="8">
        <f>CEILING(Wolf!$Z$6/ IF(Wolf!$X$6&lt; 10.8, Table15[[#This Row],[STR]], Table15[[#This Row],[STR]] / (Wolf!$X$6 / 10.8)), 1)</f>
        <v>8</v>
      </c>
      <c r="AR16" s="8">
        <f>CEILING('Horned Wolf'!$Z$5/ IF('Horned Wolf'!$X$5&lt; 10.8, Table15[[#This Row],[STR]], Table15[[#This Row],[STR]] / ('Horned Wolf'!$X$5 / 10.8)), 1)</f>
        <v>21</v>
      </c>
      <c r="AS16" s="13">
        <f>CEILING(Spider!$Z$7/ IF(Spider!$X$7&lt; 10.8, Table15[[#This Row],[STR]], Table15[[#This Row],[STR]] / (Spider!$X$7 / 10.8)), 1)</f>
        <v>19</v>
      </c>
      <c r="AT16" s="13">
        <f>CEILING('Evolved Spider'!$Z$8/ IF('Evolved Spider'!$X$8&lt; 10.8, Table15[[#This Row],[STR]], Table15[[#This Row],[STR]] / ('Evolved Spider'!$X$8 / 10.8)), 1)</f>
        <v>33</v>
      </c>
      <c r="AU16" s="13">
        <f>CEILING(Arachne!$Z$4/ IF(Arachne!$X$4&lt; 10.8, Table15[[#This Row],[STR]], Table15[[#This Row],[STR]] / (Arachne!$X$4 / 10.8)), 1)</f>
        <v>46</v>
      </c>
      <c r="AV16" s="12">
        <f>CEILING('Earth Elemental'!$Z$6/ IF('Earth Elemental'!$X$6&lt; 10.8, Table15[[#This Row],[STR]], Table15[[#This Row],[STR]] / ('Earth Elemental'!$X$6 / 10.8)), 1)</f>
        <v>38</v>
      </c>
      <c r="AW16" s="12">
        <f>CEILING('Wind Elemental'!$Z$6/ IF('Wind Elemental'!$X$6&lt; 10.8, Table15[[#This Row],[STR]], Table15[[#This Row],[STR]] / ('Wind Elemental'!$X$6 / 10.8)), 1)</f>
        <v>30</v>
      </c>
      <c r="AX16" s="12">
        <f>CEILING('Water Elemental'!$Z$6/ IF('Water Elemental'!$X$6&lt; 10.8, Table15[[#This Row],[STR]], Table15[[#This Row],[STR]] / ('Water Elemental'!$X$6 / 10.8)), 1)</f>
        <v>41</v>
      </c>
      <c r="AY16" s="12">
        <f>CEILING('Fire Elemental'!$Z$4/ IF('Fire Elemental'!$X$4&lt; 10.8, Table15[[#This Row],[STR]], Table15[[#This Row],[STR]] / ('Fire Elemental'!$X$4 / 10.8)), 1)</f>
        <v>66</v>
      </c>
      <c r="AZ16" s="12">
        <f>CEILING(Wyvern!$Z$4/ IF(Wyvern!$X$4&lt; 10.8, Table15[[#This Row],[STR]], Table15[[#This Row],[STR]] / (Wyvern!$X$4 / 10.8)), 1)</f>
        <v>80</v>
      </c>
      <c r="BA16" s="12">
        <f>CEILING('Evolved Wyvern'!$Z$4/ IF('Evolved Wyvern'!$X$4&lt; 10.8, Table15[[#This Row],[STR]], Table15[[#This Row],[STR]] / ('Evolved Wyvern'!$X$4 / 10.8)), 1)</f>
        <v>102</v>
      </c>
      <c r="BB16" s="12">
        <f>CEILING(Dragon!$Z$4/ IF(Dragon!$X$4&lt; 10.8, Table15[[#This Row],[STR]], Table15[[#This Row],[STR]] / (Dragon!$X$4 / 10.8)), 1)</f>
        <v>172</v>
      </c>
    </row>
    <row r="17" spans="1:54" x14ac:dyDescent="0.3">
      <c r="A17" s="1">
        <v>15</v>
      </c>
      <c r="B17" s="1">
        <f>$B$3 + ((Table15[[#This Row],[Level]] / 10) + $B$3 / 8) * Table15[[#This Row],[Level]] + Equipment!$D$18</f>
        <v>67.25</v>
      </c>
      <c r="C17" s="1">
        <f xml:space="preserve"> 2*Table15[[#This Row],[INT]]</f>
        <v>104</v>
      </c>
      <c r="D17" s="1">
        <f>$D$3 + ($D$3 / 4) * Table15[[#This Row],[Level]] + Equipment!$E$18</f>
        <v>32.75</v>
      </c>
      <c r="E17" s="1">
        <f>$E$3 + ($E$3 / 4) * Table15[[#This Row],[Level]] + Equipment!$F$18</f>
        <v>39.5</v>
      </c>
      <c r="F17" s="1">
        <f>$F$3 + ($F$3 / 4) * Table15[[#This Row],[Level]] + Equipment!$G$18</f>
        <v>45.25</v>
      </c>
      <c r="G17" s="1">
        <f>$G$3 + ($G$3 / 4) * Table15[[#This Row],[Level]] + Equipment!$H$18</f>
        <v>52</v>
      </c>
      <c r="H17" s="1">
        <f>$H$3 + ($H$3 / 4) * Table15[[#This Row],[Level]] + Equipment!$I$18</f>
        <v>39.5</v>
      </c>
      <c r="I17" s="1">
        <f xml:space="preserve"> (4 * (Table15[[#This Row],[Level]] ^ 3))/7 + $I$3</f>
        <v>2028.5714285714287</v>
      </c>
      <c r="K17" s="8">
        <f>CEILING('Blue Slime'!$B$5/ IF('Blue Slime'!$D$5&lt; 10.8, Table15[[#This Row],[STR]], Table15[[#This Row],[STR]] / ('Blue Slime'!$D$5 / 10.8)), 1)</f>
        <v>1</v>
      </c>
      <c r="L17" s="8">
        <f>CEILING('Green Slime'!$B$5/ IF('Green Slime'!$D$5&lt; 10.8, Table15[[#This Row],[STR]], Table15[[#This Row],[STR]] / ('Green Slime'!$D$5 / 10.8)), 1)</f>
        <v>1</v>
      </c>
      <c r="M17" s="8">
        <f>CEILING(Wolf!$B$6/ IF(Wolf!$D$6&lt; 10.8, Table15[[#This Row],[STR]], Table15[[#This Row],[STR]] / (Wolf!$D$6 / 10.8)), 1)</f>
        <v>2</v>
      </c>
      <c r="N17" s="8">
        <f>CEILING('Horned Wolf'!$B$5/ IF('Horned Wolf'!$D$5&lt; 10.8, Table15[[#This Row],[STR]], Table15[[#This Row],[STR]] / ('Horned Wolf'!$D$5 / 10.8)), 1)</f>
        <v>5</v>
      </c>
      <c r="O17" s="14">
        <f>CEILING(Spider!$B$7/ IF(Spider!$D$7&lt; 10.8, Table15[[#This Row],[STR]], Table15[[#This Row],[STR]] / (Spider!$D$7 / 10.8)), 1)</f>
        <v>5</v>
      </c>
      <c r="P17" s="14">
        <f>CEILING('Evolved Spider'!$B$8/ IF('Evolved Spider'!$D$8&lt; 10.8, Table15[[#This Row],[STR]], Table15[[#This Row],[STR]] / ('Evolved Spider'!$D$8 / 10.8)), 1)</f>
        <v>9</v>
      </c>
      <c r="Q17" s="14">
        <f>CEILING(Arachne!$B$4/ IF(Arachne!$D$4&lt; 10.8, Table15[[#This Row],[STR]], Table15[[#This Row],[STR]] / (Arachne!$D$4 / 10.8)), 1)</f>
        <v>11</v>
      </c>
      <c r="R17" s="12">
        <f>CEILING('Earth Elemental'!$B$6/ IF('Earth Elemental'!$D$6&lt; 10.8, Table15[[#This Row],[STR]], Table15[[#This Row],[STR]] / ('Earth Elemental'!$D$6 / 10.8)), 1)</f>
        <v>12</v>
      </c>
      <c r="S17" s="12">
        <f>CEILING('Wind Elemental'!$B$6/ IF('Wind Elemental'!$D$6&lt; 10.8, Table15[[#This Row],[STR]], Table15[[#This Row],[STR]] / ('Wind Elemental'!$D$6 / 10.8)), 1)</f>
        <v>10</v>
      </c>
      <c r="T17" s="12">
        <f>CEILING('Water Elemental'!$B$6/ IF('Water Elemental'!$D$6&lt; 10.8, Table15[[#This Row],[STR]], Table15[[#This Row],[STR]] / ('Water Elemental'!$D$6 / 10.8)), 1)</f>
        <v>15</v>
      </c>
      <c r="U17" s="12">
        <f>CEILING('Fire Elemental'!$B$4/ IF('Fire Elemental'!$D$4&lt; 10.8, Table15[[#This Row],[STR]], Table15[[#This Row],[STR]] / ('Fire Elemental'!$D$4 / 10.8)), 1)</f>
        <v>20</v>
      </c>
      <c r="V17" s="12">
        <f>CEILING(Wyvern!$B$4/ IF(Wyvern!$D$4&lt; 10.8, Table15[[#This Row],[STR]], Table15[[#This Row],[STR]] / (Wyvern!$D$4 / 10.8)), 1)</f>
        <v>26</v>
      </c>
      <c r="W17" s="12">
        <f>CEILING('Evolved Wyvern'!$B$4/ IF('Evolved Wyvern'!$D$4&lt; 10.8, Table15[[#This Row],[STR]], Table15[[#This Row],[STR]] / ('Evolved Wyvern'!$D$4 / 10.8)), 1)</f>
        <v>36</v>
      </c>
      <c r="X17" s="12">
        <f>CEILING(Dragon!$B$4/ IF(Dragon!$D$4&lt; 10.8, Table15[[#This Row],[STR]], Table15[[#This Row],[STR]] / (Dragon!$D$4 / 10.8)), 1)</f>
        <v>60</v>
      </c>
      <c r="Z17" s="8">
        <f>CEILING('Blue Slime'!$M$5/ IF('Blue Slime'!$O$5&lt; 10.8, Table15[[#This Row],[STR]], Table15[[#This Row],[STR]] / ('Blue Slime'!$O$5 / 10.8)), 1)</f>
        <v>1</v>
      </c>
      <c r="AA17" s="8">
        <f>CEILING('Green Slime'!$M$5/ IF('Green Slime'!$O$5&lt; 10.8, Table15[[#This Row],[STR]], Table15[[#This Row],[STR]] / ('Green Slime'!$O$5 / 10.8)), 1)</f>
        <v>2</v>
      </c>
      <c r="AB17" s="8">
        <f>CEILING(Wolf!$M$6/ IF(Wolf!$O$6&lt; 10.8, Table15[[#This Row],[STR]], Table15[[#This Row],[STR]] / (Wolf!$O$6 / 10.8)), 1)</f>
        <v>4</v>
      </c>
      <c r="AC17" s="8">
        <f>CEILING('Horned Wolf'!$M$5/ IF('Horned Wolf'!$O$5&lt; 10.8, Table15[[#This Row],[STR]], Table15[[#This Row],[STR]] / ('Horned Wolf'!$O$5 / 10.8)), 1)</f>
        <v>10</v>
      </c>
      <c r="AD17" s="14">
        <f>CEILING(Spider!$M$7/ IF(Spider!$O$7&lt; 10.8, Table15[[#This Row],[STR]], Table15[[#This Row],[STR]] / (Spider!$O$7 / 10.8)), 1)</f>
        <v>9</v>
      </c>
      <c r="AE17" s="14">
        <f>CEILING('Evolved Spider'!$M$8/ IF('Evolved Spider'!$O$8&lt; 10.8, Table15[[#This Row],[STR]], Table15[[#This Row],[STR]] / ('Evolved Spider'!$O$8 / 10.8)), 1)</f>
        <v>16</v>
      </c>
      <c r="AF17" s="14">
        <f>CEILING(Arachne!$M$4/ IF(Arachne!$O$4&lt; 10.8, Table15[[#This Row],[STR]], Table15[[#This Row],[STR]] / (Arachne!$O$4 / 10.8)), 1)</f>
        <v>22</v>
      </c>
      <c r="AG17" s="12">
        <f>CEILING('Earth Elemental'!$M$6/ IF('Earth Elemental'!$O$6&lt; 10.8, Table15[[#This Row],[STR]], Table15[[#This Row],[STR]] / ('Earth Elemental'!$O$6 / 10.8)), 1)</f>
        <v>20</v>
      </c>
      <c r="AH17" s="12">
        <f>CEILING('Wind Elemental'!$M$6/ IF('Wind Elemental'!$O$6&lt; 10.8, Table15[[#This Row],[STR]], Table15[[#This Row],[STR]] / ('Wind Elemental'!$O$6 / 10.8)), 1)</f>
        <v>16</v>
      </c>
      <c r="AI17" s="12">
        <f>CEILING('Water Elemental'!$M$6/ IF('Water Elemental'!$O$6&lt; 10.8, Table15[[#This Row],[STR]], Table15[[#This Row],[STR]] / ('Water Elemental'!$O$6 / 10.8)), 1)</f>
        <v>24</v>
      </c>
      <c r="AJ17" s="12">
        <f>CEILING('Fire Elemental'!$M$4/ IF('Fire Elemental'!$O$4&lt; 10.8, Table15[[#This Row],[STR]], Table15[[#This Row],[STR]] / ('Fire Elemental'!$O$4 / 10.8)), 1)</f>
        <v>34</v>
      </c>
      <c r="AK17" s="12">
        <f>CEILING(Wyvern!$M$4/ IF(Wyvern!$O$4&lt; 10.8, Table15[[#This Row],[STR]], Table15[[#This Row],[STR]] / (Wyvern!$O$4 / 10.8)), 1)</f>
        <v>43</v>
      </c>
      <c r="AL17" s="12">
        <f>CEILING('Evolved Wyvern'!$M$4/ IF('Evolved Wyvern'!$O$4&lt; 10.8, Table15[[#This Row],[STR]], Table15[[#This Row],[STR]] / ('Evolved Wyvern'!$O$4 / 10.8)), 1)</f>
        <v>57</v>
      </c>
      <c r="AM17" s="12">
        <f>CEILING(Dragon!$M$4/ IF(Dragon!$O$4&lt; 10.8, Table15[[#This Row],[STR]], Table15[[#This Row],[STR]] / (Dragon!$O$4 / 10.8)), 1)</f>
        <v>95</v>
      </c>
      <c r="AO17" s="8">
        <f>CEILING('Blue Slime'!$Z$5/ IF('Blue Slime'!$X$5&lt; 10.8, Table15[[#This Row],[STR]], Table15[[#This Row],[STR]] / ('Blue Slime'!$X$5 / 10.8)), 1)</f>
        <v>2</v>
      </c>
      <c r="AP17" s="8">
        <f>CEILING('Green Slime'!$Z$5/ IF('Green Slime'!$X$5&lt; 10.8, Table15[[#This Row],[STR]], Table15[[#This Row],[STR]] / ('Green Slime'!$X$5 / 10.8)), 1)</f>
        <v>3</v>
      </c>
      <c r="AQ17" s="8">
        <f>CEILING(Wolf!$Z$6/ IF(Wolf!$X$6&lt; 10.8, Table15[[#This Row],[STR]], Table15[[#This Row],[STR]] / (Wolf!$X$6 / 10.8)), 1)</f>
        <v>6</v>
      </c>
      <c r="AR17" s="8">
        <f>CEILING('Horned Wolf'!$Z$5/ IF('Horned Wolf'!$X$5&lt; 10.8, Table15[[#This Row],[STR]], Table15[[#This Row],[STR]] / ('Horned Wolf'!$X$5 / 10.8)), 1)</f>
        <v>17</v>
      </c>
      <c r="AS17" s="13">
        <f>CEILING(Spider!$Z$7/ IF(Spider!$X$7&lt; 10.8, Table15[[#This Row],[STR]], Table15[[#This Row],[STR]] / (Spider!$X$7 / 10.8)), 1)</f>
        <v>15</v>
      </c>
      <c r="AT17" s="13">
        <f>CEILING('Evolved Spider'!$Z$8/ IF('Evolved Spider'!$X$8&lt; 10.8, Table15[[#This Row],[STR]], Table15[[#This Row],[STR]] / ('Evolved Spider'!$X$8 / 10.8)), 1)</f>
        <v>26</v>
      </c>
      <c r="AU17" s="13">
        <f>CEILING(Arachne!$Z$4/ IF(Arachne!$X$4&lt; 10.8, Table15[[#This Row],[STR]], Table15[[#This Row],[STR]] / (Arachne!$X$4 / 10.8)), 1)</f>
        <v>36</v>
      </c>
      <c r="AV17" s="12">
        <f>CEILING('Earth Elemental'!$Z$6/ IF('Earth Elemental'!$X$6&lt; 10.8, Table15[[#This Row],[STR]], Table15[[#This Row],[STR]] / ('Earth Elemental'!$X$6 / 10.8)), 1)</f>
        <v>30</v>
      </c>
      <c r="AW17" s="12">
        <f>CEILING('Wind Elemental'!$Z$6/ IF('Wind Elemental'!$X$6&lt; 10.8, Table15[[#This Row],[STR]], Table15[[#This Row],[STR]] / ('Wind Elemental'!$X$6 / 10.8)), 1)</f>
        <v>23</v>
      </c>
      <c r="AX17" s="12">
        <f>CEILING('Water Elemental'!$Z$6/ IF('Water Elemental'!$X$6&lt; 10.8, Table15[[#This Row],[STR]], Table15[[#This Row],[STR]] / ('Water Elemental'!$X$6 / 10.8)), 1)</f>
        <v>32</v>
      </c>
      <c r="AY17" s="12">
        <f>CEILING('Fire Elemental'!$Z$4/ IF('Fire Elemental'!$X$4&lt; 10.8, Table15[[#This Row],[STR]], Table15[[#This Row],[STR]] / ('Fire Elemental'!$X$4 / 10.8)), 1)</f>
        <v>52</v>
      </c>
      <c r="AZ17" s="12">
        <f>CEILING(Wyvern!$Z$4/ IF(Wyvern!$X$4&lt; 10.8, Table15[[#This Row],[STR]], Table15[[#This Row],[STR]] / (Wyvern!$X$4 / 10.8)), 1)</f>
        <v>63</v>
      </c>
      <c r="BA17" s="12">
        <f>CEILING('Evolved Wyvern'!$Z$4/ IF('Evolved Wyvern'!$X$4&lt; 10.8, Table15[[#This Row],[STR]], Table15[[#This Row],[STR]] / ('Evolved Wyvern'!$X$4 / 10.8)), 1)</f>
        <v>80</v>
      </c>
      <c r="BB17" s="12">
        <f>CEILING(Dragon!$Z$4/ IF(Dragon!$X$4&lt; 10.8, Table15[[#This Row],[STR]], Table15[[#This Row],[STR]] / (Dragon!$X$4 / 10.8)), 1)</f>
        <v>135</v>
      </c>
    </row>
    <row r="18" spans="1:54" x14ac:dyDescent="0.3">
      <c r="A18" s="1">
        <v>16</v>
      </c>
      <c r="B18" s="1">
        <f>$B$3 + ((Table15[[#This Row],[Level]] / 10) + $B$3 / 8) * Table15[[#This Row],[Level]] + Equipment!$D$18</f>
        <v>71.599999999999994</v>
      </c>
      <c r="C18" s="1">
        <f xml:space="preserve"> 2*Table15[[#This Row],[INT]]</f>
        <v>108</v>
      </c>
      <c r="D18" s="1">
        <f>$D$3 + ($D$3 / 4) * Table15[[#This Row],[Level]] + Equipment!$E$18</f>
        <v>34</v>
      </c>
      <c r="E18" s="1">
        <f>$E$3 + ($E$3 / 4) * Table15[[#This Row],[Level]] + Equipment!$F$18</f>
        <v>41</v>
      </c>
      <c r="F18" s="1">
        <f>$F$3 + ($F$3 / 4) * Table15[[#This Row],[Level]] + Equipment!$G$18</f>
        <v>47</v>
      </c>
      <c r="G18" s="1">
        <f>$G$3 + ($G$3 / 4) * Table15[[#This Row],[Level]] + Equipment!$H$18</f>
        <v>54</v>
      </c>
      <c r="H18" s="1">
        <f>$H$3 + ($H$3 / 4) * Table15[[#This Row],[Level]] + Equipment!$I$18</f>
        <v>41</v>
      </c>
      <c r="I18" s="1">
        <f xml:space="preserve"> (4 * (Table15[[#This Row],[Level]] ^ 3))/7 + $I$3</f>
        <v>2440.5714285714284</v>
      </c>
      <c r="K18" s="8">
        <f>CEILING('Blue Slime'!$B$5/ IF('Blue Slime'!$D$5&lt; 10.8, Table15[[#This Row],[STR]], Table15[[#This Row],[STR]] / ('Blue Slime'!$D$5 / 10.8)), 1)</f>
        <v>1</v>
      </c>
      <c r="L18" s="8">
        <f>CEILING('Green Slime'!$B$5/ IF('Green Slime'!$D$5&lt; 10.8, Table15[[#This Row],[STR]], Table15[[#This Row],[STR]] / ('Green Slime'!$D$5 / 10.8)), 1)</f>
        <v>1</v>
      </c>
      <c r="M18" s="8">
        <f>CEILING(Wolf!$B$6/ IF(Wolf!$D$6&lt; 10.8, Table15[[#This Row],[STR]], Table15[[#This Row],[STR]] / (Wolf!$D$6 / 10.8)), 1)</f>
        <v>2</v>
      </c>
      <c r="N18" s="8">
        <f>CEILING('Horned Wolf'!$B$5/ IF('Horned Wolf'!$D$5&lt; 10.8, Table15[[#This Row],[STR]], Table15[[#This Row],[STR]] / ('Horned Wolf'!$D$5 / 10.8)), 1)</f>
        <v>5</v>
      </c>
      <c r="O18" s="14">
        <f>CEILING(Spider!$B$7/ IF(Spider!$D$7&lt; 10.8, Table15[[#This Row],[STR]], Table15[[#This Row],[STR]] / (Spider!$D$7 / 10.8)), 1)</f>
        <v>4</v>
      </c>
      <c r="P18" s="14">
        <f>CEILING('Evolved Spider'!$B$8/ IF('Evolved Spider'!$D$8&lt; 10.8, Table15[[#This Row],[STR]], Table15[[#This Row],[STR]] / ('Evolved Spider'!$D$8 / 10.8)), 1)</f>
        <v>8</v>
      </c>
      <c r="Q18" s="14">
        <f>CEILING(Arachne!$B$4/ IF(Arachne!$D$4&lt; 10.8, Table15[[#This Row],[STR]], Table15[[#This Row],[STR]] / (Arachne!$D$4 / 10.8)), 1)</f>
        <v>11</v>
      </c>
      <c r="R18" s="12">
        <f>CEILING('Earth Elemental'!$B$6/ IF('Earth Elemental'!$D$6&lt; 10.8, Table15[[#This Row],[STR]], Table15[[#This Row],[STR]] / ('Earth Elemental'!$D$6 / 10.8)), 1)</f>
        <v>11</v>
      </c>
      <c r="S18" s="12">
        <f>CEILING('Wind Elemental'!$B$6/ IF('Wind Elemental'!$D$6&lt; 10.8, Table15[[#This Row],[STR]], Table15[[#This Row],[STR]] / ('Wind Elemental'!$D$6 / 10.8)), 1)</f>
        <v>10</v>
      </c>
      <c r="T18" s="12">
        <f>CEILING('Water Elemental'!$B$6/ IF('Water Elemental'!$D$6&lt; 10.8, Table15[[#This Row],[STR]], Table15[[#This Row],[STR]] / ('Water Elemental'!$D$6 / 10.8)), 1)</f>
        <v>15</v>
      </c>
      <c r="U18" s="12">
        <f>CEILING('Fire Elemental'!$B$4/ IF('Fire Elemental'!$D$4&lt; 10.8, Table15[[#This Row],[STR]], Table15[[#This Row],[STR]] / ('Fire Elemental'!$D$4 / 10.8)), 1)</f>
        <v>19</v>
      </c>
      <c r="V18" s="12">
        <f>CEILING(Wyvern!$B$4/ IF(Wyvern!$D$4&lt; 10.8, Table15[[#This Row],[STR]], Table15[[#This Row],[STR]] / (Wyvern!$D$4 / 10.8)), 1)</f>
        <v>25</v>
      </c>
      <c r="W18" s="12">
        <f>CEILING('Evolved Wyvern'!$B$4/ IF('Evolved Wyvern'!$D$4&lt; 10.8, Table15[[#This Row],[STR]], Table15[[#This Row],[STR]] / ('Evolved Wyvern'!$D$4 / 10.8)), 1)</f>
        <v>35</v>
      </c>
      <c r="X18" s="12">
        <f>CEILING(Dragon!$B$4/ IF(Dragon!$D$4&lt; 10.8, Table15[[#This Row],[STR]], Table15[[#This Row],[STR]] / (Dragon!$D$4 / 10.8)), 1)</f>
        <v>57</v>
      </c>
      <c r="Z18" s="8">
        <f>CEILING('Blue Slime'!$M$5/ IF('Blue Slime'!$O$5&lt; 10.8, Table15[[#This Row],[STR]], Table15[[#This Row],[STR]] / ('Blue Slime'!$O$5 / 10.8)), 1)</f>
        <v>1</v>
      </c>
      <c r="AA18" s="8">
        <f>CEILING('Green Slime'!$M$5/ IF('Green Slime'!$O$5&lt; 10.8, Table15[[#This Row],[STR]], Table15[[#This Row],[STR]] / ('Green Slime'!$O$5 / 10.8)), 1)</f>
        <v>2</v>
      </c>
      <c r="AB18" s="8">
        <f>CEILING(Wolf!$M$6/ IF(Wolf!$O$6&lt; 10.8, Table15[[#This Row],[STR]], Table15[[#This Row],[STR]] / (Wolf!$O$6 / 10.8)), 1)</f>
        <v>4</v>
      </c>
      <c r="AC18" s="8">
        <f>CEILING('Horned Wolf'!$M$5/ IF('Horned Wolf'!$O$5&lt; 10.8, Table15[[#This Row],[STR]], Table15[[#This Row],[STR]] / ('Horned Wolf'!$O$5 / 10.8)), 1)</f>
        <v>9</v>
      </c>
      <c r="AD18" s="14">
        <f>CEILING(Spider!$M$7/ IF(Spider!$O$7&lt; 10.8, Table15[[#This Row],[STR]], Table15[[#This Row],[STR]] / (Spider!$O$7 / 10.8)), 1)</f>
        <v>9</v>
      </c>
      <c r="AE18" s="14">
        <f>CEILING('Evolved Spider'!$M$8/ IF('Evolved Spider'!$O$8&lt; 10.8, Table15[[#This Row],[STR]], Table15[[#This Row],[STR]] / ('Evolved Spider'!$O$8 / 10.8)), 1)</f>
        <v>16</v>
      </c>
      <c r="AF18" s="14">
        <f>CEILING(Arachne!$M$4/ IF(Arachne!$O$4&lt; 10.8, Table15[[#This Row],[STR]], Table15[[#This Row],[STR]] / (Arachne!$O$4 / 10.8)), 1)</f>
        <v>21</v>
      </c>
      <c r="AG18" s="12">
        <f>CEILING('Earth Elemental'!$M$6/ IF('Earth Elemental'!$O$6&lt; 10.8, Table15[[#This Row],[STR]], Table15[[#This Row],[STR]] / ('Earth Elemental'!$O$6 / 10.8)), 1)</f>
        <v>19</v>
      </c>
      <c r="AH18" s="12">
        <f>CEILING('Wind Elemental'!$M$6/ IF('Wind Elemental'!$O$6&lt; 10.8, Table15[[#This Row],[STR]], Table15[[#This Row],[STR]] / ('Wind Elemental'!$O$6 / 10.8)), 1)</f>
        <v>16</v>
      </c>
      <c r="AI18" s="12">
        <f>CEILING('Water Elemental'!$M$6/ IF('Water Elemental'!$O$6&lt; 10.8, Table15[[#This Row],[STR]], Table15[[#This Row],[STR]] / ('Water Elemental'!$O$6 / 10.8)), 1)</f>
        <v>23</v>
      </c>
      <c r="AJ18" s="12">
        <f>CEILING('Fire Elemental'!$M$4/ IF('Fire Elemental'!$O$4&lt; 10.8, Table15[[#This Row],[STR]], Table15[[#This Row],[STR]] / ('Fire Elemental'!$O$4 / 10.8)), 1)</f>
        <v>33</v>
      </c>
      <c r="AK18" s="12">
        <f>CEILING(Wyvern!$M$4/ IF(Wyvern!$O$4&lt; 10.8, Table15[[#This Row],[STR]], Table15[[#This Row],[STR]] / (Wyvern!$O$4 / 10.8)), 1)</f>
        <v>42</v>
      </c>
      <c r="AL18" s="12">
        <f>CEILING('Evolved Wyvern'!$M$4/ IF('Evolved Wyvern'!$O$4&lt; 10.8, Table15[[#This Row],[STR]], Table15[[#This Row],[STR]] / ('Evolved Wyvern'!$O$4 / 10.8)), 1)</f>
        <v>55</v>
      </c>
      <c r="AM18" s="12">
        <f>CEILING(Dragon!$M$4/ IF(Dragon!$O$4&lt; 10.8, Table15[[#This Row],[STR]], Table15[[#This Row],[STR]] / (Dragon!$O$4 / 10.8)), 1)</f>
        <v>92</v>
      </c>
      <c r="AO18" s="8">
        <f>CEILING('Blue Slime'!$Z$5/ IF('Blue Slime'!$X$5&lt; 10.8, Table15[[#This Row],[STR]], Table15[[#This Row],[STR]] / ('Blue Slime'!$X$5 / 10.8)), 1)</f>
        <v>2</v>
      </c>
      <c r="AP18" s="8">
        <f>CEILING('Green Slime'!$Z$5/ IF('Green Slime'!$X$5&lt; 10.8, Table15[[#This Row],[STR]], Table15[[#This Row],[STR]] / ('Green Slime'!$X$5 / 10.8)), 1)</f>
        <v>2</v>
      </c>
      <c r="AQ18" s="8">
        <f>CEILING(Wolf!$Z$6/ IF(Wolf!$X$6&lt; 10.8, Table15[[#This Row],[STR]], Table15[[#This Row],[STR]] / (Wolf!$X$6 / 10.8)), 1)</f>
        <v>6</v>
      </c>
      <c r="AR18" s="8">
        <f>CEILING('Horned Wolf'!$Z$5/ IF('Horned Wolf'!$X$5&lt; 10.8, Table15[[#This Row],[STR]], Table15[[#This Row],[STR]] / ('Horned Wolf'!$X$5 / 10.8)), 1)</f>
        <v>16</v>
      </c>
      <c r="AS18" s="13">
        <f>CEILING(Spider!$Z$7/ IF(Spider!$X$7&lt; 10.8, Table15[[#This Row],[STR]], Table15[[#This Row],[STR]] / (Spider!$X$7 / 10.8)), 1)</f>
        <v>14</v>
      </c>
      <c r="AT18" s="13">
        <f>CEILING('Evolved Spider'!$Z$8/ IF('Evolved Spider'!$X$8&lt; 10.8, Table15[[#This Row],[STR]], Table15[[#This Row],[STR]] / ('Evolved Spider'!$X$8 / 10.8)), 1)</f>
        <v>25</v>
      </c>
      <c r="AU18" s="13">
        <f>CEILING(Arachne!$Z$4/ IF(Arachne!$X$4&lt; 10.8, Table15[[#This Row],[STR]], Table15[[#This Row],[STR]] / (Arachne!$X$4 / 10.8)), 1)</f>
        <v>35</v>
      </c>
      <c r="AV18" s="12">
        <f>CEILING('Earth Elemental'!$Z$6/ IF('Earth Elemental'!$X$6&lt; 10.8, Table15[[#This Row],[STR]], Table15[[#This Row],[STR]] / ('Earth Elemental'!$X$6 / 10.8)), 1)</f>
        <v>29</v>
      </c>
      <c r="AW18" s="12">
        <f>CEILING('Wind Elemental'!$Z$6/ IF('Wind Elemental'!$X$6&lt; 10.8, Table15[[#This Row],[STR]], Table15[[#This Row],[STR]] / ('Wind Elemental'!$X$6 / 10.8)), 1)</f>
        <v>23</v>
      </c>
      <c r="AX18" s="12">
        <f>CEILING('Water Elemental'!$Z$6/ IF('Water Elemental'!$X$6&lt; 10.8, Table15[[#This Row],[STR]], Table15[[#This Row],[STR]] / ('Water Elemental'!$X$6 / 10.8)), 1)</f>
        <v>31</v>
      </c>
      <c r="AY18" s="12">
        <f>CEILING('Fire Elemental'!$Z$4/ IF('Fire Elemental'!$X$4&lt; 10.8, Table15[[#This Row],[STR]], Table15[[#This Row],[STR]] / ('Fire Elemental'!$X$4 / 10.8)), 1)</f>
        <v>50</v>
      </c>
      <c r="AZ18" s="12">
        <f>CEILING(Wyvern!$Z$4/ IF(Wyvern!$X$4&lt; 10.8, Table15[[#This Row],[STR]], Table15[[#This Row],[STR]] / (Wyvern!$X$4 / 10.8)), 1)</f>
        <v>60</v>
      </c>
      <c r="BA18" s="12">
        <f>CEILING('Evolved Wyvern'!$Z$4/ IF('Evolved Wyvern'!$X$4&lt; 10.8, Table15[[#This Row],[STR]], Table15[[#This Row],[STR]] / ('Evolved Wyvern'!$X$4 / 10.8)), 1)</f>
        <v>77</v>
      </c>
      <c r="BB18" s="12">
        <f>CEILING(Dragon!$Z$4/ IF(Dragon!$X$4&lt; 10.8, Table15[[#This Row],[STR]], Table15[[#This Row],[STR]] / (Dragon!$X$4 / 10.8)), 1)</f>
        <v>130</v>
      </c>
    </row>
    <row r="19" spans="1:54" x14ac:dyDescent="0.3">
      <c r="A19" s="1">
        <v>17</v>
      </c>
      <c r="B19" s="1">
        <f>$B$3 + ((Table15[[#This Row],[Level]] / 10) + $B$3 / 8) * Table15[[#This Row],[Level]] + Equipment!$D$18</f>
        <v>76.150000000000006</v>
      </c>
      <c r="C19" s="1">
        <f xml:space="preserve"> 2*Table15[[#This Row],[INT]]</f>
        <v>112</v>
      </c>
      <c r="D19" s="1">
        <f>$D$3 + ($D$3 / 4) * Table15[[#This Row],[Level]] + Equipment!$E$18</f>
        <v>35.25</v>
      </c>
      <c r="E19" s="1">
        <f>$E$3 + ($E$3 / 4) * Table15[[#This Row],[Level]] + Equipment!$F$18</f>
        <v>42.5</v>
      </c>
      <c r="F19" s="1">
        <f>$F$3 + ($F$3 / 4) * Table15[[#This Row],[Level]] + Equipment!$G$18</f>
        <v>48.75</v>
      </c>
      <c r="G19" s="1">
        <f>$G$3 + ($G$3 / 4) * Table15[[#This Row],[Level]] + Equipment!$H$18</f>
        <v>56</v>
      </c>
      <c r="H19" s="1">
        <f>$H$3 + ($H$3 / 4) * Table15[[#This Row],[Level]] + Equipment!$I$18</f>
        <v>42.5</v>
      </c>
      <c r="I19" s="1">
        <f xml:space="preserve"> (4 * (Table15[[#This Row],[Level]] ^ 3))/7 + $I$3</f>
        <v>2907.4285714285716</v>
      </c>
      <c r="K19" s="8">
        <f>CEILING('Blue Slime'!$B$5/ IF('Blue Slime'!$D$5&lt; 10.8, Table15[[#This Row],[STR]], Table15[[#This Row],[STR]] / ('Blue Slime'!$D$5 / 10.8)), 1)</f>
        <v>1</v>
      </c>
      <c r="L19" s="8">
        <f>CEILING('Green Slime'!$B$5/ IF('Green Slime'!$D$5&lt; 10.8, Table15[[#This Row],[STR]], Table15[[#This Row],[STR]] / ('Green Slime'!$D$5 / 10.8)), 1)</f>
        <v>1</v>
      </c>
      <c r="M19" s="8">
        <f>CEILING(Wolf!$B$6/ IF(Wolf!$D$6&lt; 10.8, Table15[[#This Row],[STR]], Table15[[#This Row],[STR]] / (Wolf!$D$6 / 10.8)), 1)</f>
        <v>2</v>
      </c>
      <c r="N19" s="8">
        <f>CEILING('Horned Wolf'!$B$5/ IF('Horned Wolf'!$D$5&lt; 10.8, Table15[[#This Row],[STR]], Table15[[#This Row],[STR]] / ('Horned Wolf'!$D$5 / 10.8)), 1)</f>
        <v>4</v>
      </c>
      <c r="O19" s="14">
        <f>CEILING(Spider!$B$7/ IF(Spider!$D$7&lt; 10.8, Table15[[#This Row],[STR]], Table15[[#This Row],[STR]] / (Spider!$D$7 / 10.8)), 1)</f>
        <v>4</v>
      </c>
      <c r="P19" s="14">
        <f>CEILING('Evolved Spider'!$B$8/ IF('Evolved Spider'!$D$8&lt; 10.8, Table15[[#This Row],[STR]], Table15[[#This Row],[STR]] / ('Evolved Spider'!$D$8 / 10.8)), 1)</f>
        <v>8</v>
      </c>
      <c r="Q19" s="14">
        <f>CEILING(Arachne!$B$4/ IF(Arachne!$D$4&lt; 10.8, Table15[[#This Row],[STR]], Table15[[#This Row],[STR]] / (Arachne!$D$4 / 10.8)), 1)</f>
        <v>11</v>
      </c>
      <c r="R19" s="12">
        <f>CEILING('Earth Elemental'!$B$6/ IF('Earth Elemental'!$D$6&lt; 10.8, Table15[[#This Row],[STR]], Table15[[#This Row],[STR]] / ('Earth Elemental'!$D$6 / 10.8)), 1)</f>
        <v>11</v>
      </c>
      <c r="S19" s="12">
        <f>CEILING('Wind Elemental'!$B$6/ IF('Wind Elemental'!$D$6&lt; 10.8, Table15[[#This Row],[STR]], Table15[[#This Row],[STR]] / ('Wind Elemental'!$D$6 / 10.8)), 1)</f>
        <v>10</v>
      </c>
      <c r="T19" s="12">
        <f>CEILING('Water Elemental'!$B$6/ IF('Water Elemental'!$D$6&lt; 10.8, Table15[[#This Row],[STR]], Table15[[#This Row],[STR]] / ('Water Elemental'!$D$6 / 10.8)), 1)</f>
        <v>14</v>
      </c>
      <c r="U19" s="12">
        <f>CEILING('Fire Elemental'!$B$4/ IF('Fire Elemental'!$D$4&lt; 10.8, Table15[[#This Row],[STR]], Table15[[#This Row],[STR]] / ('Fire Elemental'!$D$4 / 10.8)), 1)</f>
        <v>18</v>
      </c>
      <c r="V19" s="12">
        <f>CEILING(Wyvern!$B$4/ IF(Wyvern!$D$4&lt; 10.8, Table15[[#This Row],[STR]], Table15[[#This Row],[STR]] / (Wyvern!$D$4 / 10.8)), 1)</f>
        <v>25</v>
      </c>
      <c r="W19" s="12">
        <f>CEILING('Evolved Wyvern'!$B$4/ IF('Evolved Wyvern'!$D$4&lt; 10.8, Table15[[#This Row],[STR]], Table15[[#This Row],[STR]] / ('Evolved Wyvern'!$D$4 / 10.8)), 1)</f>
        <v>34</v>
      </c>
      <c r="X19" s="12">
        <f>CEILING(Dragon!$B$4/ IF(Dragon!$D$4&lt; 10.8, Table15[[#This Row],[STR]], Table15[[#This Row],[STR]] / (Dragon!$D$4 / 10.8)), 1)</f>
        <v>55</v>
      </c>
      <c r="Z19" s="8">
        <f>CEILING('Blue Slime'!$M$5/ IF('Blue Slime'!$O$5&lt; 10.8, Table15[[#This Row],[STR]], Table15[[#This Row],[STR]] / ('Blue Slime'!$O$5 / 10.8)), 1)</f>
        <v>1</v>
      </c>
      <c r="AA19" s="8">
        <f>CEILING('Green Slime'!$M$5/ IF('Green Slime'!$O$5&lt; 10.8, Table15[[#This Row],[STR]], Table15[[#This Row],[STR]] / ('Green Slime'!$O$5 / 10.8)), 1)</f>
        <v>2</v>
      </c>
      <c r="AB19" s="8">
        <f>CEILING(Wolf!$M$6/ IF(Wolf!$O$6&lt; 10.8, Table15[[#This Row],[STR]], Table15[[#This Row],[STR]] / (Wolf!$O$6 / 10.8)), 1)</f>
        <v>4</v>
      </c>
      <c r="AC19" s="8">
        <f>CEILING('Horned Wolf'!$M$5/ IF('Horned Wolf'!$O$5&lt; 10.8, Table15[[#This Row],[STR]], Table15[[#This Row],[STR]] / ('Horned Wolf'!$O$5 / 10.8)), 1)</f>
        <v>9</v>
      </c>
      <c r="AD19" s="14">
        <f>CEILING(Spider!$M$7/ IF(Spider!$O$7&lt; 10.8, Table15[[#This Row],[STR]], Table15[[#This Row],[STR]] / (Spider!$O$7 / 10.8)), 1)</f>
        <v>8</v>
      </c>
      <c r="AE19" s="14">
        <f>CEILING('Evolved Spider'!$M$8/ IF('Evolved Spider'!$O$8&lt; 10.8, Table15[[#This Row],[STR]], Table15[[#This Row],[STR]] / ('Evolved Spider'!$O$8 / 10.8)), 1)</f>
        <v>15</v>
      </c>
      <c r="AF19" s="14">
        <f>CEILING(Arachne!$M$4/ IF(Arachne!$O$4&lt; 10.8, Table15[[#This Row],[STR]], Table15[[#This Row],[STR]] / (Arachne!$O$4 / 10.8)), 1)</f>
        <v>20</v>
      </c>
      <c r="AG19" s="12">
        <f>CEILING('Earth Elemental'!$M$6/ IF('Earth Elemental'!$O$6&lt; 10.8, Table15[[#This Row],[STR]], Table15[[#This Row],[STR]] / ('Earth Elemental'!$O$6 / 10.8)), 1)</f>
        <v>18</v>
      </c>
      <c r="AH19" s="12">
        <f>CEILING('Wind Elemental'!$M$6/ IF('Wind Elemental'!$O$6&lt; 10.8, Table15[[#This Row],[STR]], Table15[[#This Row],[STR]] / ('Wind Elemental'!$O$6 / 10.8)), 1)</f>
        <v>15</v>
      </c>
      <c r="AI19" s="12">
        <f>CEILING('Water Elemental'!$M$6/ IF('Water Elemental'!$O$6&lt; 10.8, Table15[[#This Row],[STR]], Table15[[#This Row],[STR]] / ('Water Elemental'!$O$6 / 10.8)), 1)</f>
        <v>22</v>
      </c>
      <c r="AJ19" s="12">
        <f>CEILING('Fire Elemental'!$M$4/ IF('Fire Elemental'!$O$4&lt; 10.8, Table15[[#This Row],[STR]], Table15[[#This Row],[STR]] / ('Fire Elemental'!$O$4 / 10.8)), 1)</f>
        <v>32</v>
      </c>
      <c r="AK19" s="12">
        <f>CEILING(Wyvern!$M$4/ IF(Wyvern!$O$4&lt; 10.8, Table15[[#This Row],[STR]], Table15[[#This Row],[STR]] / (Wyvern!$O$4 / 10.8)), 1)</f>
        <v>40</v>
      </c>
      <c r="AL19" s="12">
        <f>CEILING('Evolved Wyvern'!$M$4/ IF('Evolved Wyvern'!$O$4&lt; 10.8, Table15[[#This Row],[STR]], Table15[[#This Row],[STR]] / ('Evolved Wyvern'!$O$4 / 10.8)), 1)</f>
        <v>53</v>
      </c>
      <c r="AM19" s="12">
        <f>CEILING(Dragon!$M$4/ IF(Dragon!$O$4&lt; 10.8, Table15[[#This Row],[STR]], Table15[[#This Row],[STR]] / (Dragon!$O$4 / 10.8)), 1)</f>
        <v>89</v>
      </c>
      <c r="AO19" s="8">
        <f>CEILING('Blue Slime'!$Z$5/ IF('Blue Slime'!$X$5&lt; 10.8, Table15[[#This Row],[STR]], Table15[[#This Row],[STR]] / ('Blue Slime'!$X$5 / 10.8)), 1)</f>
        <v>2</v>
      </c>
      <c r="AP19" s="8">
        <f>CEILING('Green Slime'!$Z$5/ IF('Green Slime'!$X$5&lt; 10.8, Table15[[#This Row],[STR]], Table15[[#This Row],[STR]] / ('Green Slime'!$X$5 / 10.8)), 1)</f>
        <v>2</v>
      </c>
      <c r="AQ19" s="8">
        <f>CEILING(Wolf!$Z$6/ IF(Wolf!$X$6&lt; 10.8, Table15[[#This Row],[STR]], Table15[[#This Row],[STR]] / (Wolf!$X$6 / 10.8)), 1)</f>
        <v>6</v>
      </c>
      <c r="AR19" s="8">
        <f>CEILING('Horned Wolf'!$Z$5/ IF('Horned Wolf'!$X$5&lt; 10.8, Table15[[#This Row],[STR]], Table15[[#This Row],[STR]] / ('Horned Wolf'!$X$5 / 10.8)), 1)</f>
        <v>16</v>
      </c>
      <c r="AS19" s="13">
        <f>CEILING(Spider!$Z$7/ IF(Spider!$X$7&lt; 10.8, Table15[[#This Row],[STR]], Table15[[#This Row],[STR]] / (Spider!$X$7 / 10.8)), 1)</f>
        <v>14</v>
      </c>
      <c r="AT19" s="13">
        <f>CEILING('Evolved Spider'!$Z$8/ IF('Evolved Spider'!$X$8&lt; 10.8, Table15[[#This Row],[STR]], Table15[[#This Row],[STR]] / ('Evolved Spider'!$X$8 / 10.8)), 1)</f>
        <v>25</v>
      </c>
      <c r="AU19" s="13">
        <f>CEILING(Arachne!$Z$4/ IF(Arachne!$X$4&lt; 10.8, Table15[[#This Row],[STR]], Table15[[#This Row],[STR]] / (Arachne!$X$4 / 10.8)), 1)</f>
        <v>33</v>
      </c>
      <c r="AV19" s="12">
        <f>CEILING('Earth Elemental'!$Z$6/ IF('Earth Elemental'!$X$6&lt; 10.8, Table15[[#This Row],[STR]], Table15[[#This Row],[STR]] / ('Earth Elemental'!$X$6 / 10.8)), 1)</f>
        <v>28</v>
      </c>
      <c r="AW19" s="12">
        <f>CEILING('Wind Elemental'!$Z$6/ IF('Wind Elemental'!$X$6&lt; 10.8, Table15[[#This Row],[STR]], Table15[[#This Row],[STR]] / ('Wind Elemental'!$X$6 / 10.8)), 1)</f>
        <v>22</v>
      </c>
      <c r="AX19" s="12">
        <f>CEILING('Water Elemental'!$Z$6/ IF('Water Elemental'!$X$6&lt; 10.8, Table15[[#This Row],[STR]], Table15[[#This Row],[STR]] / ('Water Elemental'!$X$6 / 10.8)), 1)</f>
        <v>30</v>
      </c>
      <c r="AY19" s="12">
        <f>CEILING('Fire Elemental'!$Z$4/ IF('Fire Elemental'!$X$4&lt; 10.8, Table15[[#This Row],[STR]], Table15[[#This Row],[STR]] / ('Fire Elemental'!$X$4 / 10.8)), 1)</f>
        <v>48</v>
      </c>
      <c r="AZ19" s="12">
        <f>CEILING(Wyvern!$Z$4/ IF(Wyvern!$X$4&lt; 10.8, Table15[[#This Row],[STR]], Table15[[#This Row],[STR]] / (Wyvern!$X$4 / 10.8)), 1)</f>
        <v>58</v>
      </c>
      <c r="BA19" s="12">
        <f>CEILING('Evolved Wyvern'!$Z$4/ IF('Evolved Wyvern'!$X$4&lt; 10.8, Table15[[#This Row],[STR]], Table15[[#This Row],[STR]] / ('Evolved Wyvern'!$X$4 / 10.8)), 1)</f>
        <v>75</v>
      </c>
      <c r="BB19" s="12">
        <f>CEILING(Dragon!$Z$4/ IF(Dragon!$X$4&lt; 10.8, Table15[[#This Row],[STR]], Table15[[#This Row],[STR]] / (Dragon!$X$4 / 10.8)), 1)</f>
        <v>126</v>
      </c>
    </row>
    <row r="20" spans="1:54" x14ac:dyDescent="0.3">
      <c r="A20" s="1">
        <v>18</v>
      </c>
      <c r="B20" s="1">
        <f>$B$3 + ((Table15[[#This Row],[Level]] / 10) + $B$3 / 8) * Table15[[#This Row],[Level]] + Equipment!$D$18</f>
        <v>80.900000000000006</v>
      </c>
      <c r="C20" s="1">
        <f xml:space="preserve"> 2*Table15[[#This Row],[INT]]</f>
        <v>116</v>
      </c>
      <c r="D20" s="1">
        <f>$D$3 + ($D$3 / 4) * Table15[[#This Row],[Level]] + Equipment!$E$18</f>
        <v>36.5</v>
      </c>
      <c r="E20" s="1">
        <f>$E$3 + ($E$3 / 4) * Table15[[#This Row],[Level]] + Equipment!$F$18</f>
        <v>44</v>
      </c>
      <c r="F20" s="1">
        <f>$F$3 + ($F$3 / 4) * Table15[[#This Row],[Level]] + Equipment!$G$18</f>
        <v>50.5</v>
      </c>
      <c r="G20" s="1">
        <f>$G$3 + ($G$3 / 4) * Table15[[#This Row],[Level]] + Equipment!$H$18</f>
        <v>58</v>
      </c>
      <c r="H20" s="1">
        <f>$H$3 + ($H$3 / 4) * Table15[[#This Row],[Level]] + Equipment!$I$18</f>
        <v>44</v>
      </c>
      <c r="I20" s="1">
        <f xml:space="preserve"> (4 * (Table15[[#This Row],[Level]] ^ 3))/7 + $I$3</f>
        <v>3432.5714285714284</v>
      </c>
      <c r="K20" s="8">
        <f>CEILING('Blue Slime'!$B$5/ IF('Blue Slime'!$D$5&lt; 10.8, Table15[[#This Row],[STR]], Table15[[#This Row],[STR]] / ('Blue Slime'!$D$5 / 10.8)), 1)</f>
        <v>1</v>
      </c>
      <c r="L20" s="8">
        <f>CEILING('Green Slime'!$B$5/ IF('Green Slime'!$D$5&lt; 10.8, Table15[[#This Row],[STR]], Table15[[#This Row],[STR]] / ('Green Slime'!$D$5 / 10.8)), 1)</f>
        <v>1</v>
      </c>
      <c r="M20" s="8">
        <f>CEILING(Wolf!$B$6/ IF(Wolf!$D$6&lt; 10.8, Table15[[#This Row],[STR]], Table15[[#This Row],[STR]] / (Wolf!$D$6 / 10.8)), 1)</f>
        <v>2</v>
      </c>
      <c r="N20" s="8">
        <f>CEILING('Horned Wolf'!$B$5/ IF('Horned Wolf'!$D$5&lt; 10.8, Table15[[#This Row],[STR]], Table15[[#This Row],[STR]] / ('Horned Wolf'!$D$5 / 10.8)), 1)</f>
        <v>4</v>
      </c>
      <c r="O20" s="14">
        <f>CEILING(Spider!$B$7/ IF(Spider!$D$7&lt; 10.8, Table15[[#This Row],[STR]], Table15[[#This Row],[STR]] / (Spider!$D$7 / 10.8)), 1)</f>
        <v>4</v>
      </c>
      <c r="P20" s="14">
        <f>CEILING('Evolved Spider'!$B$8/ IF('Evolved Spider'!$D$8&lt; 10.8, Table15[[#This Row],[STR]], Table15[[#This Row],[STR]] / ('Evolved Spider'!$D$8 / 10.8)), 1)</f>
        <v>8</v>
      </c>
      <c r="Q20" s="14">
        <f>CEILING(Arachne!$B$4/ IF(Arachne!$D$4&lt; 10.8, Table15[[#This Row],[STR]], Table15[[#This Row],[STR]] / (Arachne!$D$4 / 10.8)), 1)</f>
        <v>10</v>
      </c>
      <c r="R20" s="12">
        <f>CEILING('Earth Elemental'!$B$6/ IF('Earth Elemental'!$D$6&lt; 10.8, Table15[[#This Row],[STR]], Table15[[#This Row],[STR]] / ('Earth Elemental'!$D$6 / 10.8)), 1)</f>
        <v>10</v>
      </c>
      <c r="S20" s="12">
        <f>CEILING('Wind Elemental'!$B$6/ IF('Wind Elemental'!$D$6&lt; 10.8, Table15[[#This Row],[STR]], Table15[[#This Row],[STR]] / ('Wind Elemental'!$D$6 / 10.8)), 1)</f>
        <v>9</v>
      </c>
      <c r="T20" s="12">
        <f>CEILING('Water Elemental'!$B$6/ IF('Water Elemental'!$D$6&lt; 10.8, Table15[[#This Row],[STR]], Table15[[#This Row],[STR]] / ('Water Elemental'!$D$6 / 10.8)), 1)</f>
        <v>14</v>
      </c>
      <c r="U20" s="12">
        <f>CEILING('Fire Elemental'!$B$4/ IF('Fire Elemental'!$D$4&lt; 10.8, Table15[[#This Row],[STR]], Table15[[#This Row],[STR]] / ('Fire Elemental'!$D$4 / 10.8)), 1)</f>
        <v>18</v>
      </c>
      <c r="V20" s="12">
        <f>CEILING(Wyvern!$B$4/ IF(Wyvern!$D$4&lt; 10.8, Table15[[#This Row],[STR]], Table15[[#This Row],[STR]] / (Wyvern!$D$4 / 10.8)), 1)</f>
        <v>24</v>
      </c>
      <c r="W20" s="12">
        <f>CEILING('Evolved Wyvern'!$B$4/ IF('Evolved Wyvern'!$D$4&lt; 10.8, Table15[[#This Row],[STR]], Table15[[#This Row],[STR]] / ('Evolved Wyvern'!$D$4 / 10.8)), 1)</f>
        <v>33</v>
      </c>
      <c r="X20" s="12">
        <f>CEILING(Dragon!$B$4/ IF(Dragon!$D$4&lt; 10.8, Table15[[#This Row],[STR]], Table15[[#This Row],[STR]] / (Dragon!$D$4 / 10.8)), 1)</f>
        <v>53</v>
      </c>
      <c r="Z20" s="8">
        <f>CEILING('Blue Slime'!$M$5/ IF('Blue Slime'!$O$5&lt; 10.8, Table15[[#This Row],[STR]], Table15[[#This Row],[STR]] / ('Blue Slime'!$O$5 / 10.8)), 1)</f>
        <v>1</v>
      </c>
      <c r="AA20" s="8">
        <f>CEILING('Green Slime'!$M$5/ IF('Green Slime'!$O$5&lt; 10.8, Table15[[#This Row],[STR]], Table15[[#This Row],[STR]] / ('Green Slime'!$O$5 / 10.8)), 1)</f>
        <v>2</v>
      </c>
      <c r="AB20" s="8">
        <f>CEILING(Wolf!$M$6/ IF(Wolf!$O$6&lt; 10.8, Table15[[#This Row],[STR]], Table15[[#This Row],[STR]] / (Wolf!$O$6 / 10.8)), 1)</f>
        <v>3</v>
      </c>
      <c r="AC20" s="8">
        <f>CEILING('Horned Wolf'!$M$5/ IF('Horned Wolf'!$O$5&lt; 10.8, Table15[[#This Row],[STR]], Table15[[#This Row],[STR]] / ('Horned Wolf'!$O$5 / 10.8)), 1)</f>
        <v>9</v>
      </c>
      <c r="AD20" s="14">
        <f>CEILING(Spider!$M$7/ IF(Spider!$O$7&lt; 10.8, Table15[[#This Row],[STR]], Table15[[#This Row],[STR]] / (Spider!$O$7 / 10.8)), 1)</f>
        <v>8</v>
      </c>
      <c r="AE20" s="14">
        <f>CEILING('Evolved Spider'!$M$8/ IF('Evolved Spider'!$O$8&lt; 10.8, Table15[[#This Row],[STR]], Table15[[#This Row],[STR]] / ('Evolved Spider'!$O$8 / 10.8)), 1)</f>
        <v>15</v>
      </c>
      <c r="AF20" s="14">
        <f>CEILING(Arachne!$M$4/ IF(Arachne!$O$4&lt; 10.8, Table15[[#This Row],[STR]], Table15[[#This Row],[STR]] / (Arachne!$O$4 / 10.8)), 1)</f>
        <v>20</v>
      </c>
      <c r="AG20" s="12">
        <f>CEILING('Earth Elemental'!$M$6/ IF('Earth Elemental'!$O$6&lt; 10.8, Table15[[#This Row],[STR]], Table15[[#This Row],[STR]] / ('Earth Elemental'!$O$6 / 10.8)), 1)</f>
        <v>18</v>
      </c>
      <c r="AH20" s="12">
        <f>CEILING('Wind Elemental'!$M$6/ IF('Wind Elemental'!$O$6&lt; 10.8, Table15[[#This Row],[STR]], Table15[[#This Row],[STR]] / ('Wind Elemental'!$O$6 / 10.8)), 1)</f>
        <v>15</v>
      </c>
      <c r="AI20" s="12">
        <f>CEILING('Water Elemental'!$M$6/ IF('Water Elemental'!$O$6&lt; 10.8, Table15[[#This Row],[STR]], Table15[[#This Row],[STR]] / ('Water Elemental'!$O$6 / 10.8)), 1)</f>
        <v>21</v>
      </c>
      <c r="AJ20" s="12">
        <f>CEILING('Fire Elemental'!$M$4/ IF('Fire Elemental'!$O$4&lt; 10.8, Table15[[#This Row],[STR]], Table15[[#This Row],[STR]] / ('Fire Elemental'!$O$4 / 10.8)), 1)</f>
        <v>31</v>
      </c>
      <c r="AK20" s="12">
        <f>CEILING(Wyvern!$M$4/ IF(Wyvern!$O$4&lt; 10.8, Table15[[#This Row],[STR]], Table15[[#This Row],[STR]] / (Wyvern!$O$4 / 10.8)), 1)</f>
        <v>39</v>
      </c>
      <c r="AL20" s="12">
        <f>CEILING('Evolved Wyvern'!$M$4/ IF('Evolved Wyvern'!$O$4&lt; 10.8, Table15[[#This Row],[STR]], Table15[[#This Row],[STR]] / ('Evolved Wyvern'!$O$4 / 10.8)), 1)</f>
        <v>51</v>
      </c>
      <c r="AM20" s="12">
        <f>CEILING(Dragon!$M$4/ IF(Dragon!$O$4&lt; 10.8, Table15[[#This Row],[STR]], Table15[[#This Row],[STR]] / (Dragon!$O$4 / 10.8)), 1)</f>
        <v>85</v>
      </c>
      <c r="AO20" s="8">
        <f>CEILING('Blue Slime'!$Z$5/ IF('Blue Slime'!$X$5&lt; 10.8, Table15[[#This Row],[STR]], Table15[[#This Row],[STR]] / ('Blue Slime'!$X$5 / 10.8)), 1)</f>
        <v>2</v>
      </c>
      <c r="AP20" s="8">
        <f>CEILING('Green Slime'!$Z$5/ IF('Green Slime'!$X$5&lt; 10.8, Table15[[#This Row],[STR]], Table15[[#This Row],[STR]] / ('Green Slime'!$X$5 / 10.8)), 1)</f>
        <v>2</v>
      </c>
      <c r="AQ20" s="8">
        <f>CEILING(Wolf!$Z$6/ IF(Wolf!$X$6&lt; 10.8, Table15[[#This Row],[STR]], Table15[[#This Row],[STR]] / (Wolf!$X$6 / 10.8)), 1)</f>
        <v>6</v>
      </c>
      <c r="AR20" s="8">
        <f>CEILING('Horned Wolf'!$Z$5/ IF('Horned Wolf'!$X$5&lt; 10.8, Table15[[#This Row],[STR]], Table15[[#This Row],[STR]] / ('Horned Wolf'!$X$5 / 10.8)), 1)</f>
        <v>15</v>
      </c>
      <c r="AS20" s="13">
        <f>CEILING(Spider!$Z$7/ IF(Spider!$X$7&lt; 10.8, Table15[[#This Row],[STR]], Table15[[#This Row],[STR]] / (Spider!$X$7 / 10.8)), 1)</f>
        <v>13</v>
      </c>
      <c r="AT20" s="13">
        <f>CEILING('Evolved Spider'!$Z$8/ IF('Evolved Spider'!$X$8&lt; 10.8, Table15[[#This Row],[STR]], Table15[[#This Row],[STR]] / ('Evolved Spider'!$X$8 / 10.8)), 1)</f>
        <v>24</v>
      </c>
      <c r="AU20" s="13">
        <f>CEILING(Arachne!$Z$4/ IF(Arachne!$X$4&lt; 10.8, Table15[[#This Row],[STR]], Table15[[#This Row],[STR]] / (Arachne!$X$4 / 10.8)), 1)</f>
        <v>32</v>
      </c>
      <c r="AV20" s="12">
        <f>CEILING('Earth Elemental'!$Z$6/ IF('Earth Elemental'!$X$6&lt; 10.8, Table15[[#This Row],[STR]], Table15[[#This Row],[STR]] / ('Earth Elemental'!$X$6 / 10.8)), 1)</f>
        <v>27</v>
      </c>
      <c r="AW20" s="12">
        <f>CEILING('Wind Elemental'!$Z$6/ IF('Wind Elemental'!$X$6&lt; 10.8, Table15[[#This Row],[STR]], Table15[[#This Row],[STR]] / ('Wind Elemental'!$X$6 / 10.8)), 1)</f>
        <v>21</v>
      </c>
      <c r="AX20" s="12">
        <f>CEILING('Water Elemental'!$Z$6/ IF('Water Elemental'!$X$6&lt; 10.8, Table15[[#This Row],[STR]], Table15[[#This Row],[STR]] / ('Water Elemental'!$X$6 / 10.8)), 1)</f>
        <v>29</v>
      </c>
      <c r="AY20" s="12">
        <f>CEILING('Fire Elemental'!$Z$4/ IF('Fire Elemental'!$X$4&lt; 10.8, Table15[[#This Row],[STR]], Table15[[#This Row],[STR]] / ('Fire Elemental'!$X$4 / 10.8)), 1)</f>
        <v>47</v>
      </c>
      <c r="AZ20" s="12">
        <f>CEILING(Wyvern!$Z$4/ IF(Wyvern!$X$4&lt; 10.8, Table15[[#This Row],[STR]], Table15[[#This Row],[STR]] / (Wyvern!$X$4 / 10.8)), 1)</f>
        <v>56</v>
      </c>
      <c r="BA20" s="12">
        <f>CEILING('Evolved Wyvern'!$Z$4/ IF('Evolved Wyvern'!$X$4&lt; 10.8, Table15[[#This Row],[STR]], Table15[[#This Row],[STR]] / ('Evolved Wyvern'!$X$4 / 10.8)), 1)</f>
        <v>72</v>
      </c>
      <c r="BB20" s="12">
        <f>CEILING(Dragon!$Z$4/ IF(Dragon!$X$4&lt; 10.8, Table15[[#This Row],[STR]], Table15[[#This Row],[STR]] / (Dragon!$X$4 / 10.8)), 1)</f>
        <v>121</v>
      </c>
    </row>
    <row r="21" spans="1:54" x14ac:dyDescent="0.3">
      <c r="A21" s="1">
        <v>19</v>
      </c>
      <c r="B21" s="1">
        <f>$B$3 + ((Table15[[#This Row],[Level]] / 10) + $B$3 / 8) * Table15[[#This Row],[Level]] + Equipment!$D$18</f>
        <v>85.85</v>
      </c>
      <c r="C21" s="1">
        <f xml:space="preserve"> 2*Table15[[#This Row],[INT]]</f>
        <v>120</v>
      </c>
      <c r="D21" s="1">
        <f>$D$3 + ($D$3 / 4) * Table15[[#This Row],[Level]] + Equipment!$E$18</f>
        <v>37.75</v>
      </c>
      <c r="E21" s="1">
        <f>$E$3 + ($E$3 / 4) * Table15[[#This Row],[Level]] + Equipment!$F$18</f>
        <v>45.5</v>
      </c>
      <c r="F21" s="1">
        <f>$F$3 + ($F$3 / 4) * Table15[[#This Row],[Level]] + Equipment!$G$18</f>
        <v>52.25</v>
      </c>
      <c r="G21" s="1">
        <f>$G$3 + ($G$3 / 4) * Table15[[#This Row],[Level]] + Equipment!$H$18</f>
        <v>60</v>
      </c>
      <c r="H21" s="1">
        <f>$H$3 + ($H$3 / 4) * Table15[[#This Row],[Level]] + Equipment!$I$18</f>
        <v>45.5</v>
      </c>
      <c r="I21" s="1">
        <f xml:space="preserve"> (4 * (Table15[[#This Row],[Level]] ^ 3))/7 + $I$3</f>
        <v>4019.4285714285716</v>
      </c>
      <c r="K21" s="8">
        <f>CEILING('Blue Slime'!$B$5/ IF('Blue Slime'!$D$5&lt; 10.8, Table15[[#This Row],[STR]], Table15[[#This Row],[STR]] / ('Blue Slime'!$D$5 / 10.8)), 1)</f>
        <v>1</v>
      </c>
      <c r="L21" s="8">
        <f>CEILING('Green Slime'!$B$5/ IF('Green Slime'!$D$5&lt; 10.8, Table15[[#This Row],[STR]], Table15[[#This Row],[STR]] / ('Green Slime'!$D$5 / 10.8)), 1)</f>
        <v>1</v>
      </c>
      <c r="M21" s="8">
        <f>CEILING(Wolf!$B$6/ IF(Wolf!$D$6&lt; 10.8, Table15[[#This Row],[STR]], Table15[[#This Row],[STR]] / (Wolf!$D$6 / 10.8)), 1)</f>
        <v>2</v>
      </c>
      <c r="N21" s="8">
        <f>CEILING('Horned Wolf'!$B$5/ IF('Horned Wolf'!$D$5&lt; 10.8, Table15[[#This Row],[STR]], Table15[[#This Row],[STR]] / ('Horned Wolf'!$D$5 / 10.8)), 1)</f>
        <v>4</v>
      </c>
      <c r="O21" s="14">
        <f>CEILING(Spider!$B$7/ IF(Spider!$D$7&lt; 10.8, Table15[[#This Row],[STR]], Table15[[#This Row],[STR]] / (Spider!$D$7 / 10.8)), 1)</f>
        <v>4</v>
      </c>
      <c r="P21" s="14">
        <f>CEILING('Evolved Spider'!$B$8/ IF('Evolved Spider'!$D$8&lt; 10.8, Table15[[#This Row],[STR]], Table15[[#This Row],[STR]] / ('Evolved Spider'!$D$8 / 10.8)), 1)</f>
        <v>8</v>
      </c>
      <c r="Q21" s="14">
        <f>CEILING(Arachne!$B$4/ IF(Arachne!$D$4&lt; 10.8, Table15[[#This Row],[STR]], Table15[[#This Row],[STR]] / (Arachne!$D$4 / 10.8)), 1)</f>
        <v>10</v>
      </c>
      <c r="R21" s="12">
        <f>CEILING('Earth Elemental'!$B$6/ IF('Earth Elemental'!$D$6&lt; 10.8, Table15[[#This Row],[STR]], Table15[[#This Row],[STR]] / ('Earth Elemental'!$D$6 / 10.8)), 1)</f>
        <v>10</v>
      </c>
      <c r="S21" s="12">
        <f>CEILING('Wind Elemental'!$B$6/ IF('Wind Elemental'!$D$6&lt; 10.8, Table15[[#This Row],[STR]], Table15[[#This Row],[STR]] / ('Wind Elemental'!$D$6 / 10.8)), 1)</f>
        <v>9</v>
      </c>
      <c r="T21" s="12">
        <f>CEILING('Water Elemental'!$B$6/ IF('Water Elemental'!$D$6&lt; 10.8, Table15[[#This Row],[STR]], Table15[[#This Row],[STR]] / ('Water Elemental'!$D$6 / 10.8)), 1)</f>
        <v>13</v>
      </c>
      <c r="U21" s="12">
        <f>CEILING('Fire Elemental'!$B$4/ IF('Fire Elemental'!$D$4&lt; 10.8, Table15[[#This Row],[STR]], Table15[[#This Row],[STR]] / ('Fire Elemental'!$D$4 / 10.8)), 1)</f>
        <v>17</v>
      </c>
      <c r="V21" s="12">
        <f>CEILING(Wyvern!$B$4/ IF(Wyvern!$D$4&lt; 10.8, Table15[[#This Row],[STR]], Table15[[#This Row],[STR]] / (Wyvern!$D$4 / 10.8)), 1)</f>
        <v>23</v>
      </c>
      <c r="W21" s="12">
        <f>CEILING('Evolved Wyvern'!$B$4/ IF('Evolved Wyvern'!$D$4&lt; 10.8, Table15[[#This Row],[STR]], Table15[[#This Row],[STR]] / ('Evolved Wyvern'!$D$4 / 10.8)), 1)</f>
        <v>32</v>
      </c>
      <c r="X21" s="12">
        <f>CEILING(Dragon!$B$4/ IF(Dragon!$D$4&lt; 10.8, Table15[[#This Row],[STR]], Table15[[#This Row],[STR]] / (Dragon!$D$4 / 10.8)), 1)</f>
        <v>52</v>
      </c>
      <c r="Z21" s="8">
        <f>CEILING('Blue Slime'!$M$5/ IF('Blue Slime'!$O$5&lt; 10.8, Table15[[#This Row],[STR]], Table15[[#This Row],[STR]] / ('Blue Slime'!$O$5 / 10.8)), 1)</f>
        <v>1</v>
      </c>
      <c r="AA21" s="8">
        <f>CEILING('Green Slime'!$M$5/ IF('Green Slime'!$O$5&lt; 10.8, Table15[[#This Row],[STR]], Table15[[#This Row],[STR]] / ('Green Slime'!$O$5 / 10.8)), 1)</f>
        <v>1</v>
      </c>
      <c r="AB21" s="8">
        <f>CEILING(Wolf!$M$6/ IF(Wolf!$O$6&lt; 10.8, Table15[[#This Row],[STR]], Table15[[#This Row],[STR]] / (Wolf!$O$6 / 10.8)), 1)</f>
        <v>3</v>
      </c>
      <c r="AC21" s="8">
        <f>CEILING('Horned Wolf'!$M$5/ IF('Horned Wolf'!$O$5&lt; 10.8, Table15[[#This Row],[STR]], Table15[[#This Row],[STR]] / ('Horned Wolf'!$O$5 / 10.8)), 1)</f>
        <v>9</v>
      </c>
      <c r="AD21" s="14">
        <f>CEILING(Spider!$M$7/ IF(Spider!$O$7&lt; 10.8, Table15[[#This Row],[STR]], Table15[[#This Row],[STR]] / (Spider!$O$7 / 10.8)), 1)</f>
        <v>8</v>
      </c>
      <c r="AE21" s="14">
        <f>CEILING('Evolved Spider'!$M$8/ IF('Evolved Spider'!$O$8&lt; 10.8, Table15[[#This Row],[STR]], Table15[[#This Row],[STR]] / ('Evolved Spider'!$O$8 / 10.8)), 1)</f>
        <v>14</v>
      </c>
      <c r="AF21" s="14">
        <f>CEILING(Arachne!$M$4/ IF(Arachne!$O$4&lt; 10.8, Table15[[#This Row],[STR]], Table15[[#This Row],[STR]] / (Arachne!$O$4 / 10.8)), 1)</f>
        <v>19</v>
      </c>
      <c r="AG21" s="12">
        <f>CEILING('Earth Elemental'!$M$6/ IF('Earth Elemental'!$O$6&lt; 10.8, Table15[[#This Row],[STR]], Table15[[#This Row],[STR]] / ('Earth Elemental'!$O$6 / 10.8)), 1)</f>
        <v>17</v>
      </c>
      <c r="AH21" s="12">
        <f>CEILING('Wind Elemental'!$M$6/ IF('Wind Elemental'!$O$6&lt; 10.8, Table15[[#This Row],[STR]], Table15[[#This Row],[STR]] / ('Wind Elemental'!$O$6 / 10.8)), 1)</f>
        <v>14</v>
      </c>
      <c r="AI21" s="12">
        <f>CEILING('Water Elemental'!$M$6/ IF('Water Elemental'!$O$6&lt; 10.8, Table15[[#This Row],[STR]], Table15[[#This Row],[STR]] / ('Water Elemental'!$O$6 / 10.8)), 1)</f>
        <v>20</v>
      </c>
      <c r="AJ21" s="12">
        <f>CEILING('Fire Elemental'!$M$4/ IF('Fire Elemental'!$O$4&lt; 10.8, Table15[[#This Row],[STR]], Table15[[#This Row],[STR]] / ('Fire Elemental'!$O$4 / 10.8)), 1)</f>
        <v>30</v>
      </c>
      <c r="AK21" s="12">
        <f>CEILING(Wyvern!$M$4/ IF(Wyvern!$O$4&lt; 10.8, Table15[[#This Row],[STR]], Table15[[#This Row],[STR]] / (Wyvern!$O$4 / 10.8)), 1)</f>
        <v>38</v>
      </c>
      <c r="AL21" s="12">
        <f>CEILING('Evolved Wyvern'!$M$4/ IF('Evolved Wyvern'!$O$4&lt; 10.8, Table15[[#This Row],[STR]], Table15[[#This Row],[STR]] / ('Evolved Wyvern'!$O$4 / 10.8)), 1)</f>
        <v>50</v>
      </c>
      <c r="AM21" s="12">
        <f>CEILING(Dragon!$M$4/ IF(Dragon!$O$4&lt; 10.8, Table15[[#This Row],[STR]], Table15[[#This Row],[STR]] / (Dragon!$O$4 / 10.8)), 1)</f>
        <v>83</v>
      </c>
      <c r="AO21" s="8">
        <f>CEILING('Blue Slime'!$Z$5/ IF('Blue Slime'!$X$5&lt; 10.8, Table15[[#This Row],[STR]], Table15[[#This Row],[STR]] / ('Blue Slime'!$X$5 / 10.8)), 1)</f>
        <v>1</v>
      </c>
      <c r="AP21" s="8">
        <f>CEILING('Green Slime'!$Z$5/ IF('Green Slime'!$X$5&lt; 10.8, Table15[[#This Row],[STR]], Table15[[#This Row],[STR]] / ('Green Slime'!$X$5 / 10.8)), 1)</f>
        <v>2</v>
      </c>
      <c r="AQ21" s="8">
        <f>CEILING(Wolf!$Z$6/ IF(Wolf!$X$6&lt; 10.8, Table15[[#This Row],[STR]], Table15[[#This Row],[STR]] / (Wolf!$X$6 / 10.8)), 1)</f>
        <v>6</v>
      </c>
      <c r="AR21" s="8">
        <f>CEILING('Horned Wolf'!$Z$5/ IF('Horned Wolf'!$X$5&lt; 10.8, Table15[[#This Row],[STR]], Table15[[#This Row],[STR]] / ('Horned Wolf'!$X$5 / 10.8)), 1)</f>
        <v>15</v>
      </c>
      <c r="AS21" s="13">
        <f>CEILING(Spider!$Z$7/ IF(Spider!$X$7&lt; 10.8, Table15[[#This Row],[STR]], Table15[[#This Row],[STR]] / (Spider!$X$7 / 10.8)), 1)</f>
        <v>13</v>
      </c>
      <c r="AT21" s="13">
        <f>CEILING('Evolved Spider'!$Z$8/ IF('Evolved Spider'!$X$8&lt; 10.8, Table15[[#This Row],[STR]], Table15[[#This Row],[STR]] / ('Evolved Spider'!$X$8 / 10.8)), 1)</f>
        <v>23</v>
      </c>
      <c r="AU21" s="13">
        <f>CEILING(Arachne!$Z$4/ IF(Arachne!$X$4&lt; 10.8, Table15[[#This Row],[STR]], Table15[[#This Row],[STR]] / (Arachne!$X$4 / 10.8)), 1)</f>
        <v>31</v>
      </c>
      <c r="AV21" s="12">
        <f>CEILING('Earth Elemental'!$Z$6/ IF('Earth Elemental'!$X$6&lt; 10.8, Table15[[#This Row],[STR]], Table15[[#This Row],[STR]] / ('Earth Elemental'!$X$6 / 10.8)), 1)</f>
        <v>26</v>
      </c>
      <c r="AW21" s="12">
        <f>CEILING('Wind Elemental'!$Z$6/ IF('Wind Elemental'!$X$6&lt; 10.8, Table15[[#This Row],[STR]], Table15[[#This Row],[STR]] / ('Wind Elemental'!$X$6 / 10.8)), 1)</f>
        <v>20</v>
      </c>
      <c r="AX21" s="12">
        <f>CEILING('Water Elemental'!$Z$6/ IF('Water Elemental'!$X$6&lt; 10.8, Table15[[#This Row],[STR]], Table15[[#This Row],[STR]] / ('Water Elemental'!$X$6 / 10.8)), 1)</f>
        <v>28</v>
      </c>
      <c r="AY21" s="12">
        <f>CEILING('Fire Elemental'!$Z$4/ IF('Fire Elemental'!$X$4&lt; 10.8, Table15[[#This Row],[STR]], Table15[[#This Row],[STR]] / ('Fire Elemental'!$X$4 / 10.8)), 1)</f>
        <v>45</v>
      </c>
      <c r="AZ21" s="12">
        <f>CEILING(Wyvern!$Z$4/ IF(Wyvern!$X$4&lt; 10.8, Table15[[#This Row],[STR]], Table15[[#This Row],[STR]] / (Wyvern!$X$4 / 10.8)), 1)</f>
        <v>54</v>
      </c>
      <c r="BA21" s="12">
        <f>CEILING('Evolved Wyvern'!$Z$4/ IF('Evolved Wyvern'!$X$4&lt; 10.8, Table15[[#This Row],[STR]], Table15[[#This Row],[STR]] / ('Evolved Wyvern'!$X$4 / 10.8)), 1)</f>
        <v>70</v>
      </c>
      <c r="BB21" s="12">
        <f>CEILING(Dragon!$Z$4/ IF(Dragon!$X$4&lt; 10.8, Table15[[#This Row],[STR]], Table15[[#This Row],[STR]] / (Dragon!$X$4 / 10.8)), 1)</f>
        <v>117</v>
      </c>
    </row>
    <row r="22" spans="1:54" x14ac:dyDescent="0.3">
      <c r="A22" s="1">
        <v>20</v>
      </c>
      <c r="B22" s="1">
        <f>$B$3 + ((Table15[[#This Row],[Level]] / 10) + $B$3 / 8) * Table15[[#This Row],[Level]] + Equipment!$D$18</f>
        <v>91</v>
      </c>
      <c r="C22" s="1">
        <f xml:space="preserve"> 2*Table15[[#This Row],[INT]]</f>
        <v>124</v>
      </c>
      <c r="D22" s="1">
        <f>$D$3 + ($D$3 / 4) * Table15[[#This Row],[Level]] + Equipment!$E$18</f>
        <v>39</v>
      </c>
      <c r="E22" s="1">
        <f>$E$3 + ($E$3 / 4) * Table15[[#This Row],[Level]] + Equipment!$F$18</f>
        <v>47</v>
      </c>
      <c r="F22" s="1">
        <f>$F$3 + ($F$3 / 4) * Table15[[#This Row],[Level]] + Equipment!$G$18</f>
        <v>54</v>
      </c>
      <c r="G22" s="1">
        <f>$G$3 + ($G$3 / 4) * Table15[[#This Row],[Level]] + Equipment!$H$18</f>
        <v>62</v>
      </c>
      <c r="H22" s="1">
        <f>$H$3 + ($H$3 / 4) * Table15[[#This Row],[Level]] + Equipment!$I$18</f>
        <v>47</v>
      </c>
      <c r="I22" s="1">
        <f xml:space="preserve"> (4 * (Table15[[#This Row],[Level]] ^ 3))/7 + $I$3</f>
        <v>4671.4285714285716</v>
      </c>
      <c r="K22" s="8">
        <f>CEILING('Blue Slime'!$B$5/ IF('Blue Slime'!$D$5&lt; 10.8, Table15[[#This Row],[STR]], Table15[[#This Row],[STR]] / ('Blue Slime'!$D$5 / 10.8)), 1)</f>
        <v>1</v>
      </c>
      <c r="L22" s="8">
        <f>CEILING('Green Slime'!$B$5/ IF('Green Slime'!$D$5&lt; 10.8, Table15[[#This Row],[STR]], Table15[[#This Row],[STR]] / ('Green Slime'!$D$5 / 10.8)), 1)</f>
        <v>1</v>
      </c>
      <c r="M22" s="8">
        <f>CEILING(Wolf!$B$6/ IF(Wolf!$D$6&lt; 10.8, Table15[[#This Row],[STR]], Table15[[#This Row],[STR]] / (Wolf!$D$6 / 10.8)), 1)</f>
        <v>2</v>
      </c>
      <c r="N22" s="8">
        <f>CEILING('Horned Wolf'!$B$5/ IF('Horned Wolf'!$D$5&lt; 10.8, Table15[[#This Row],[STR]], Table15[[#This Row],[STR]] / ('Horned Wolf'!$D$5 / 10.8)), 1)</f>
        <v>4</v>
      </c>
      <c r="O22" s="14">
        <f>CEILING(Spider!$B$7/ IF(Spider!$D$7&lt; 10.8, Table15[[#This Row],[STR]], Table15[[#This Row],[STR]] / (Spider!$D$7 / 10.8)), 1)</f>
        <v>4</v>
      </c>
      <c r="P22" s="14">
        <f>CEILING('Evolved Spider'!$B$8/ IF('Evolved Spider'!$D$8&lt; 10.8, Table15[[#This Row],[STR]], Table15[[#This Row],[STR]] / ('Evolved Spider'!$D$8 / 10.8)), 1)</f>
        <v>7</v>
      </c>
      <c r="Q22" s="14">
        <f>CEILING(Arachne!$B$4/ IF(Arachne!$D$4&lt; 10.8, Table15[[#This Row],[STR]], Table15[[#This Row],[STR]] / (Arachne!$D$4 / 10.8)), 1)</f>
        <v>10</v>
      </c>
      <c r="R22" s="12">
        <f>CEILING('Earth Elemental'!$B$6/ IF('Earth Elemental'!$D$6&lt; 10.8, Table15[[#This Row],[STR]], Table15[[#This Row],[STR]] / ('Earth Elemental'!$D$6 / 10.8)), 1)</f>
        <v>10</v>
      </c>
      <c r="S22" s="12">
        <f>CEILING('Wind Elemental'!$B$6/ IF('Wind Elemental'!$D$6&lt; 10.8, Table15[[#This Row],[STR]], Table15[[#This Row],[STR]] / ('Wind Elemental'!$D$6 / 10.8)), 1)</f>
        <v>9</v>
      </c>
      <c r="T22" s="12">
        <f>CEILING('Water Elemental'!$B$6/ IF('Water Elemental'!$D$6&lt; 10.8, Table15[[#This Row],[STR]], Table15[[#This Row],[STR]] / ('Water Elemental'!$D$6 / 10.8)), 1)</f>
        <v>13</v>
      </c>
      <c r="U22" s="12">
        <f>CEILING('Fire Elemental'!$B$4/ IF('Fire Elemental'!$D$4&lt; 10.8, Table15[[#This Row],[STR]], Table15[[#This Row],[STR]] / ('Fire Elemental'!$D$4 / 10.8)), 1)</f>
        <v>17</v>
      </c>
      <c r="V22" s="12">
        <f>CEILING(Wyvern!$B$4/ IF(Wyvern!$D$4&lt; 10.8, Table15[[#This Row],[STR]], Table15[[#This Row],[STR]] / (Wyvern!$D$4 / 10.8)), 1)</f>
        <v>22</v>
      </c>
      <c r="W22" s="12">
        <f>CEILING('Evolved Wyvern'!$B$4/ IF('Evolved Wyvern'!$D$4&lt; 10.8, Table15[[#This Row],[STR]], Table15[[#This Row],[STR]] / ('Evolved Wyvern'!$D$4 / 10.8)), 1)</f>
        <v>31</v>
      </c>
      <c r="X22" s="12">
        <f>CEILING(Dragon!$B$4/ IF(Dragon!$D$4&lt; 10.8, Table15[[#This Row],[STR]], Table15[[#This Row],[STR]] / (Dragon!$D$4 / 10.8)), 1)</f>
        <v>50</v>
      </c>
      <c r="Z22" s="8">
        <f>CEILING('Blue Slime'!$M$5/ IF('Blue Slime'!$O$5&lt; 10.8, Table15[[#This Row],[STR]], Table15[[#This Row],[STR]] / ('Blue Slime'!$O$5 / 10.8)), 1)</f>
        <v>1</v>
      </c>
      <c r="AA22" s="8">
        <f>CEILING('Green Slime'!$M$5/ IF('Green Slime'!$O$5&lt; 10.8, Table15[[#This Row],[STR]], Table15[[#This Row],[STR]] / ('Green Slime'!$O$5 / 10.8)), 1)</f>
        <v>1</v>
      </c>
      <c r="AB22" s="8">
        <f>CEILING(Wolf!$M$6/ IF(Wolf!$O$6&lt; 10.8, Table15[[#This Row],[STR]], Table15[[#This Row],[STR]] / (Wolf!$O$6 / 10.8)), 1)</f>
        <v>3</v>
      </c>
      <c r="AC22" s="8">
        <f>CEILING('Horned Wolf'!$M$5/ IF('Horned Wolf'!$O$5&lt; 10.8, Table15[[#This Row],[STR]], Table15[[#This Row],[STR]] / ('Horned Wolf'!$O$5 / 10.8)), 1)</f>
        <v>8</v>
      </c>
      <c r="AD22" s="14">
        <f>CEILING(Spider!$M$7/ IF(Spider!$O$7&lt; 10.8, Table15[[#This Row],[STR]], Table15[[#This Row],[STR]] / (Spider!$O$7 / 10.8)), 1)</f>
        <v>8</v>
      </c>
      <c r="AE22" s="14">
        <f>CEILING('Evolved Spider'!$M$8/ IF('Evolved Spider'!$O$8&lt; 10.8, Table15[[#This Row],[STR]], Table15[[#This Row],[STR]] / ('Evolved Spider'!$O$8 / 10.8)), 1)</f>
        <v>14</v>
      </c>
      <c r="AF22" s="14">
        <f>CEILING(Arachne!$M$4/ IF(Arachne!$O$4&lt; 10.8, Table15[[#This Row],[STR]], Table15[[#This Row],[STR]] / (Arachne!$O$4 / 10.8)), 1)</f>
        <v>18</v>
      </c>
      <c r="AG22" s="12">
        <f>CEILING('Earth Elemental'!$M$6/ IF('Earth Elemental'!$O$6&lt; 10.8, Table15[[#This Row],[STR]], Table15[[#This Row],[STR]] / ('Earth Elemental'!$O$6 / 10.8)), 1)</f>
        <v>17</v>
      </c>
      <c r="AH22" s="12">
        <f>CEILING('Wind Elemental'!$M$6/ IF('Wind Elemental'!$O$6&lt; 10.8, Table15[[#This Row],[STR]], Table15[[#This Row],[STR]] / ('Wind Elemental'!$O$6 / 10.8)), 1)</f>
        <v>14</v>
      </c>
      <c r="AI22" s="12">
        <f>CEILING('Water Elemental'!$M$6/ IF('Water Elemental'!$O$6&lt; 10.8, Table15[[#This Row],[STR]], Table15[[#This Row],[STR]] / ('Water Elemental'!$O$6 / 10.8)), 1)</f>
        <v>20</v>
      </c>
      <c r="AJ22" s="12">
        <f>CEILING('Fire Elemental'!$M$4/ IF('Fire Elemental'!$O$4&lt; 10.8, Table15[[#This Row],[STR]], Table15[[#This Row],[STR]] / ('Fire Elemental'!$O$4 / 10.8)), 1)</f>
        <v>29</v>
      </c>
      <c r="AK22" s="12">
        <f>CEILING(Wyvern!$M$4/ IF(Wyvern!$O$4&lt; 10.8, Table15[[#This Row],[STR]], Table15[[#This Row],[STR]] / (Wyvern!$O$4 / 10.8)), 1)</f>
        <v>36</v>
      </c>
      <c r="AL22" s="12">
        <f>CEILING('Evolved Wyvern'!$M$4/ IF('Evolved Wyvern'!$O$4&lt; 10.8, Table15[[#This Row],[STR]], Table15[[#This Row],[STR]] / ('Evolved Wyvern'!$O$4 / 10.8)), 1)</f>
        <v>48</v>
      </c>
      <c r="AM22" s="12">
        <f>CEILING(Dragon!$M$4/ IF(Dragon!$O$4&lt; 10.8, Table15[[#This Row],[STR]], Table15[[#This Row],[STR]] / (Dragon!$O$4 / 10.8)), 1)</f>
        <v>80</v>
      </c>
      <c r="AO22" s="8">
        <f>CEILING('Blue Slime'!$Z$5/ IF('Blue Slime'!$X$5&lt; 10.8, Table15[[#This Row],[STR]], Table15[[#This Row],[STR]] / ('Blue Slime'!$X$5 / 10.8)), 1)</f>
        <v>1</v>
      </c>
      <c r="AP22" s="8">
        <f>CEILING('Green Slime'!$Z$5/ IF('Green Slime'!$X$5&lt; 10.8, Table15[[#This Row],[STR]], Table15[[#This Row],[STR]] / ('Green Slime'!$X$5 / 10.8)), 1)</f>
        <v>2</v>
      </c>
      <c r="AQ22" s="8">
        <f>CEILING(Wolf!$Z$6/ IF(Wolf!$X$6&lt; 10.8, Table15[[#This Row],[STR]], Table15[[#This Row],[STR]] / (Wolf!$X$6 / 10.8)), 1)</f>
        <v>5</v>
      </c>
      <c r="AR22" s="8">
        <f>CEILING('Horned Wolf'!$Z$5/ IF('Horned Wolf'!$X$5&lt; 10.8, Table15[[#This Row],[STR]], Table15[[#This Row],[STR]] / ('Horned Wolf'!$X$5 / 10.8)), 1)</f>
        <v>14</v>
      </c>
      <c r="AS22" s="13">
        <f>CEILING(Spider!$Z$7/ IF(Spider!$X$7&lt; 10.8, Table15[[#This Row],[STR]], Table15[[#This Row],[STR]] / (Spider!$X$7 / 10.8)), 1)</f>
        <v>12</v>
      </c>
      <c r="AT22" s="13">
        <f>CEILING('Evolved Spider'!$Z$8/ IF('Evolved Spider'!$X$8&lt; 10.8, Table15[[#This Row],[STR]], Table15[[#This Row],[STR]] / ('Evolved Spider'!$X$8 / 10.8)), 1)</f>
        <v>22</v>
      </c>
      <c r="AU22" s="13">
        <f>CEILING(Arachne!$Z$4/ IF(Arachne!$X$4&lt; 10.8, Table15[[#This Row],[STR]], Table15[[#This Row],[STR]] / (Arachne!$X$4 / 10.8)), 1)</f>
        <v>30</v>
      </c>
      <c r="AV22" s="12">
        <f>CEILING('Earth Elemental'!$Z$6/ IF('Earth Elemental'!$X$6&lt; 10.8, Table15[[#This Row],[STR]], Table15[[#This Row],[STR]] / ('Earth Elemental'!$X$6 / 10.8)), 1)</f>
        <v>25</v>
      </c>
      <c r="AW22" s="12">
        <f>CEILING('Wind Elemental'!$Z$6/ IF('Wind Elemental'!$X$6&lt; 10.8, Table15[[#This Row],[STR]], Table15[[#This Row],[STR]] / ('Wind Elemental'!$X$6 / 10.8)), 1)</f>
        <v>20</v>
      </c>
      <c r="AX22" s="12">
        <f>CEILING('Water Elemental'!$Z$6/ IF('Water Elemental'!$X$6&lt; 10.8, Table15[[#This Row],[STR]], Table15[[#This Row],[STR]] / ('Water Elemental'!$X$6 / 10.8)), 1)</f>
        <v>27</v>
      </c>
      <c r="AY22" s="12">
        <f>CEILING('Fire Elemental'!$Z$4/ IF('Fire Elemental'!$X$4&lt; 10.8, Table15[[#This Row],[STR]], Table15[[#This Row],[STR]] / ('Fire Elemental'!$X$4 / 10.8)), 1)</f>
        <v>44</v>
      </c>
      <c r="AZ22" s="12">
        <f>CEILING(Wyvern!$Z$4/ IF(Wyvern!$X$4&lt; 10.8, Table15[[#This Row],[STR]], Table15[[#This Row],[STR]] / (Wyvern!$X$4 / 10.8)), 1)</f>
        <v>53</v>
      </c>
      <c r="BA22" s="12">
        <f>CEILING('Evolved Wyvern'!$Z$4/ IF('Evolved Wyvern'!$X$4&lt; 10.8, Table15[[#This Row],[STR]], Table15[[#This Row],[STR]] / ('Evolved Wyvern'!$X$4 / 10.8)), 1)</f>
        <v>67</v>
      </c>
      <c r="BB22" s="12">
        <f>CEILING(Dragon!$Z$4/ IF(Dragon!$X$4&lt; 10.8, Table15[[#This Row],[STR]], Table15[[#This Row],[STR]] / (Dragon!$X$4 / 10.8)), 1)</f>
        <v>113</v>
      </c>
    </row>
    <row r="23" spans="1:54" x14ac:dyDescent="0.3">
      <c r="A23" s="1">
        <v>21</v>
      </c>
      <c r="B23" s="1">
        <f>$B$3 + ((Table15[[#This Row],[Level]] / 10) + $B$3 / 8) * Table15[[#This Row],[Level]] + Equipment!$D$18</f>
        <v>96.350000000000009</v>
      </c>
      <c r="C23" s="1">
        <f xml:space="preserve"> 2*Table15[[#This Row],[INT]]</f>
        <v>128</v>
      </c>
      <c r="D23" s="1">
        <f>$D$3 + ($D$3 / 4) * Table15[[#This Row],[Level]] + Equipment!$E$18</f>
        <v>40.25</v>
      </c>
      <c r="E23" s="1">
        <f>$E$3 + ($E$3 / 4) * Table15[[#This Row],[Level]] + Equipment!$F$18</f>
        <v>48.5</v>
      </c>
      <c r="F23" s="1">
        <f>$F$3 + ($F$3 / 4) * Table15[[#This Row],[Level]] + Equipment!$G$18</f>
        <v>55.75</v>
      </c>
      <c r="G23" s="1">
        <f>$G$3 + ($G$3 / 4) * Table15[[#This Row],[Level]] + Equipment!$H$18</f>
        <v>64</v>
      </c>
      <c r="H23" s="1">
        <f>$H$3 + ($H$3 / 4) * Table15[[#This Row],[Level]] + Equipment!$I$18</f>
        <v>48.5</v>
      </c>
      <c r="I23" s="1">
        <f xml:space="preserve"> (4 * (Table15[[#This Row],[Level]] ^ 3))/7 + $I$3</f>
        <v>5392</v>
      </c>
      <c r="K23" s="8">
        <f>CEILING('Blue Slime'!$B$5/ IF('Blue Slime'!$D$5&lt; 10.8, Table15[[#This Row],[STR]], Table15[[#This Row],[STR]] / ('Blue Slime'!$D$5 / 10.8)), 1)</f>
        <v>1</v>
      </c>
      <c r="L23" s="8">
        <f>CEILING('Green Slime'!$B$5/ IF('Green Slime'!$D$5&lt; 10.8, Table15[[#This Row],[STR]], Table15[[#This Row],[STR]] / ('Green Slime'!$D$5 / 10.8)), 1)</f>
        <v>1</v>
      </c>
      <c r="M23" s="8">
        <f>CEILING(Wolf!$B$6/ IF(Wolf!$D$6&lt; 10.8, Table15[[#This Row],[STR]], Table15[[#This Row],[STR]] / (Wolf!$D$6 / 10.8)), 1)</f>
        <v>2</v>
      </c>
      <c r="N23" s="8">
        <f>CEILING('Horned Wolf'!$B$5/ IF('Horned Wolf'!$D$5&lt; 10.8, Table15[[#This Row],[STR]], Table15[[#This Row],[STR]] / ('Horned Wolf'!$D$5 / 10.8)), 1)</f>
        <v>4</v>
      </c>
      <c r="O23" s="8">
        <f>CEILING(Spider!$B$7/ IF(Spider!$D$7&lt; 10.8, Table15[[#This Row],[STR]], Table15[[#This Row],[STR]] / (Spider!$D$7 / 10.8)), 1)</f>
        <v>4</v>
      </c>
      <c r="P23" s="8">
        <f>CEILING('Evolved Spider'!$B$8/ IF('Evolved Spider'!$D$8&lt; 10.8, Table15[[#This Row],[STR]], Table15[[#This Row],[STR]] / ('Evolved Spider'!$D$8 / 10.8)), 1)</f>
        <v>7</v>
      </c>
      <c r="Q23" s="8">
        <f>CEILING(Arachne!$B$4/ IF(Arachne!$D$4&lt; 10.8, Table15[[#This Row],[STR]], Table15[[#This Row],[STR]] / (Arachne!$D$4 / 10.8)), 1)</f>
        <v>9</v>
      </c>
      <c r="R23" s="15">
        <f>CEILING('Earth Elemental'!$B$6/ IF('Earth Elemental'!$D$6&lt; 10.8, Table15[[#This Row],[STR]], Table15[[#This Row],[STR]] / ('Earth Elemental'!$D$6 / 10.8)), 1)</f>
        <v>9</v>
      </c>
      <c r="S23" s="15">
        <f>CEILING('Wind Elemental'!$B$6/ IF('Wind Elemental'!$D$6&lt; 10.8, Table15[[#This Row],[STR]], Table15[[#This Row],[STR]] / ('Wind Elemental'!$D$6 / 10.8)), 1)</f>
        <v>9</v>
      </c>
      <c r="T23" s="15">
        <f>CEILING('Water Elemental'!$B$6/ IF('Water Elemental'!$D$6&lt; 10.8, Table15[[#This Row],[STR]], Table15[[#This Row],[STR]] / ('Water Elemental'!$D$6 / 10.8)), 1)</f>
        <v>13</v>
      </c>
      <c r="U23" s="15">
        <f>CEILING('Fire Elemental'!$B$4/ IF('Fire Elemental'!$D$4&lt; 10.8, Table15[[#This Row],[STR]], Table15[[#This Row],[STR]] / ('Fire Elemental'!$D$4 / 10.8)), 1)</f>
        <v>16</v>
      </c>
      <c r="V23" s="12">
        <f>CEILING(Wyvern!$B$4/ IF(Wyvern!$D$4&lt; 10.8, Table15[[#This Row],[STR]], Table15[[#This Row],[STR]] / (Wyvern!$D$4 / 10.8)), 1)</f>
        <v>22</v>
      </c>
      <c r="W23" s="12">
        <f>CEILING('Evolved Wyvern'!$B$4/ IF('Evolved Wyvern'!$D$4&lt; 10.8, Table15[[#This Row],[STR]], Table15[[#This Row],[STR]] / ('Evolved Wyvern'!$D$4 / 10.8)), 1)</f>
        <v>30</v>
      </c>
      <c r="X23" s="12">
        <f>CEILING(Dragon!$B$4/ IF(Dragon!$D$4&lt; 10.8, Table15[[#This Row],[STR]], Table15[[#This Row],[STR]] / (Dragon!$D$4 / 10.8)), 1)</f>
        <v>48</v>
      </c>
      <c r="Z23" s="8">
        <f>CEILING('Blue Slime'!$M$5/ IF('Blue Slime'!$O$5&lt; 10.8, Table15[[#This Row],[STR]], Table15[[#This Row],[STR]] / ('Blue Slime'!$O$5 / 10.8)), 1)</f>
        <v>1</v>
      </c>
      <c r="AA23" s="8">
        <f>CEILING('Green Slime'!$M$5/ IF('Green Slime'!$O$5&lt; 10.8, Table15[[#This Row],[STR]], Table15[[#This Row],[STR]] / ('Green Slime'!$O$5 / 10.8)), 1)</f>
        <v>1</v>
      </c>
      <c r="AB23" s="8">
        <f>CEILING(Wolf!$M$6/ IF(Wolf!$O$6&lt; 10.8, Table15[[#This Row],[STR]], Table15[[#This Row],[STR]] / (Wolf!$O$6 / 10.8)), 1)</f>
        <v>3</v>
      </c>
      <c r="AC23" s="8">
        <f>CEILING('Horned Wolf'!$M$5/ IF('Horned Wolf'!$O$5&lt; 10.8, Table15[[#This Row],[STR]], Table15[[#This Row],[STR]] / ('Horned Wolf'!$O$5 / 10.8)), 1)</f>
        <v>8</v>
      </c>
      <c r="AD23" s="8">
        <f>CEILING(Spider!$M$7/ IF(Spider!$O$7&lt; 10.8, Table15[[#This Row],[STR]], Table15[[#This Row],[STR]] / (Spider!$O$7 / 10.8)), 1)</f>
        <v>7</v>
      </c>
      <c r="AE23" s="8">
        <f>CEILING('Evolved Spider'!$M$8/ IF('Evolved Spider'!$O$8&lt; 10.8, Table15[[#This Row],[STR]], Table15[[#This Row],[STR]] / ('Evolved Spider'!$O$8 / 10.8)), 1)</f>
        <v>13</v>
      </c>
      <c r="AF23" s="8">
        <f>CEILING(Arachne!$M$4/ IF(Arachne!$O$4&lt; 10.8, Table15[[#This Row],[STR]], Table15[[#This Row],[STR]] / (Arachne!$O$4 / 10.8)), 1)</f>
        <v>18</v>
      </c>
      <c r="AG23" s="15">
        <f>CEILING('Earth Elemental'!$M$6/ IF('Earth Elemental'!$O$6&lt; 10.8, Table15[[#This Row],[STR]], Table15[[#This Row],[STR]] / ('Earth Elemental'!$O$6 / 10.8)), 1)</f>
        <v>16</v>
      </c>
      <c r="AH23" s="15">
        <f>CEILING('Wind Elemental'!$M$6/ IF('Wind Elemental'!$O$6&lt; 10.8, Table15[[#This Row],[STR]], Table15[[#This Row],[STR]] / ('Wind Elemental'!$O$6 / 10.8)), 1)</f>
        <v>13</v>
      </c>
      <c r="AI23" s="15">
        <f>CEILING('Water Elemental'!$M$6/ IF('Water Elemental'!$O$6&lt; 10.8, Table15[[#This Row],[STR]], Table15[[#This Row],[STR]] / ('Water Elemental'!$O$6 / 10.8)), 1)</f>
        <v>19</v>
      </c>
      <c r="AJ23" s="15">
        <f>CEILING('Fire Elemental'!$M$4/ IF('Fire Elemental'!$O$4&lt; 10.8, Table15[[#This Row],[STR]], Table15[[#This Row],[STR]] / ('Fire Elemental'!$O$4 / 10.8)), 1)</f>
        <v>28</v>
      </c>
      <c r="AK23" s="12">
        <f>CEILING(Wyvern!$M$4/ IF(Wyvern!$O$4&lt; 10.8, Table15[[#This Row],[STR]], Table15[[#This Row],[STR]] / (Wyvern!$O$4 / 10.8)), 1)</f>
        <v>35</v>
      </c>
      <c r="AL23" s="12">
        <f>CEILING('Evolved Wyvern'!$M$4/ IF('Evolved Wyvern'!$O$4&lt; 10.8, Table15[[#This Row],[STR]], Table15[[#This Row],[STR]] / ('Evolved Wyvern'!$O$4 / 10.8)), 1)</f>
        <v>47</v>
      </c>
      <c r="AM23" s="12">
        <f>CEILING(Dragon!$M$4/ IF(Dragon!$O$4&lt; 10.8, Table15[[#This Row],[STR]], Table15[[#This Row],[STR]] / (Dragon!$O$4 / 10.8)), 1)</f>
        <v>77</v>
      </c>
      <c r="AO23" s="8">
        <f>CEILING('Blue Slime'!$Z$5/ IF('Blue Slime'!$X$5&lt; 10.8, Table15[[#This Row],[STR]], Table15[[#This Row],[STR]] / ('Blue Slime'!$X$5 / 10.8)), 1)</f>
        <v>1</v>
      </c>
      <c r="AP23" s="8">
        <f>CEILING('Green Slime'!$Z$5/ IF('Green Slime'!$X$5&lt; 10.8, Table15[[#This Row],[STR]], Table15[[#This Row],[STR]] / ('Green Slime'!$X$5 / 10.8)), 1)</f>
        <v>2</v>
      </c>
      <c r="AQ23" s="8">
        <f>CEILING(Wolf!$Z$6/ IF(Wolf!$X$6&lt; 10.8, Table15[[#This Row],[STR]], Table15[[#This Row],[STR]] / (Wolf!$X$6 / 10.8)), 1)</f>
        <v>5</v>
      </c>
      <c r="AR23" s="8">
        <f>CEILING('Horned Wolf'!$Z$5/ IF('Horned Wolf'!$X$5&lt; 10.8, Table15[[#This Row],[STR]], Table15[[#This Row],[STR]] / ('Horned Wolf'!$X$5 / 10.8)), 1)</f>
        <v>14</v>
      </c>
      <c r="AS23" s="8">
        <f>CEILING(Spider!$Z$7/ IF(Spider!$X$7&lt; 10.8, Table15[[#This Row],[STR]], Table15[[#This Row],[STR]] / (Spider!$X$7 / 10.8)), 1)</f>
        <v>12</v>
      </c>
      <c r="AT23" s="8">
        <f>CEILING('Evolved Spider'!$Z$8/ IF('Evolved Spider'!$X$8&lt; 10.8, Table15[[#This Row],[STR]], Table15[[#This Row],[STR]] / ('Evolved Spider'!$X$8 / 10.8)), 1)</f>
        <v>21</v>
      </c>
      <c r="AU23" s="8">
        <f>CEILING(Arachne!$Z$4/ IF(Arachne!$X$4&lt; 10.8, Table15[[#This Row],[STR]], Table15[[#This Row],[STR]] / (Arachne!$X$4 / 10.8)), 1)</f>
        <v>29</v>
      </c>
      <c r="AV23" s="15">
        <f>CEILING('Earth Elemental'!$Z$6/ IF('Earth Elemental'!$X$6&lt; 10.8, Table15[[#This Row],[STR]], Table15[[#This Row],[STR]] / ('Earth Elemental'!$X$6 / 10.8)), 1)</f>
        <v>25</v>
      </c>
      <c r="AW23" s="15">
        <f>CEILING('Wind Elemental'!$Z$6/ IF('Wind Elemental'!$X$6&lt; 10.8, Table15[[#This Row],[STR]], Table15[[#This Row],[STR]] / ('Wind Elemental'!$X$6 / 10.8)), 1)</f>
        <v>19</v>
      </c>
      <c r="AX23" s="15">
        <f>CEILING('Water Elemental'!$Z$6/ IF('Water Elemental'!$X$6&lt; 10.8, Table15[[#This Row],[STR]], Table15[[#This Row],[STR]] / ('Water Elemental'!$X$6 / 10.8)), 1)</f>
        <v>26</v>
      </c>
      <c r="AY23" s="15">
        <f>CEILING('Fire Elemental'!$Z$4/ IF('Fire Elemental'!$X$4&lt; 10.8, Table15[[#This Row],[STR]], Table15[[#This Row],[STR]] / ('Fire Elemental'!$X$4 / 10.8)), 1)</f>
        <v>42</v>
      </c>
      <c r="AZ23" s="12">
        <f>CEILING(Wyvern!$Z$4/ IF(Wyvern!$X$4&lt; 10.8, Table15[[#This Row],[STR]], Table15[[#This Row],[STR]] / (Wyvern!$X$4 / 10.8)), 1)</f>
        <v>51</v>
      </c>
      <c r="BA23" s="12">
        <f>CEILING('Evolved Wyvern'!$Z$4/ IF('Evolved Wyvern'!$X$4&lt; 10.8, Table15[[#This Row],[STR]], Table15[[#This Row],[STR]] / ('Evolved Wyvern'!$X$4 / 10.8)), 1)</f>
        <v>65</v>
      </c>
      <c r="BB23" s="12">
        <f>CEILING(Dragon!$Z$4/ IF(Dragon!$X$4&lt; 10.8, Table15[[#This Row],[STR]], Table15[[#This Row],[STR]] / (Dragon!$X$4 / 10.8)), 1)</f>
        <v>110</v>
      </c>
    </row>
    <row r="24" spans="1:54" x14ac:dyDescent="0.3">
      <c r="A24" s="1">
        <v>22</v>
      </c>
      <c r="B24" s="1">
        <f>$B$3 + ((Table15[[#This Row],[Level]] / 10) + $B$3 / 8) * Table15[[#This Row],[Level]] + Equipment!$D$18</f>
        <v>101.9</v>
      </c>
      <c r="C24" s="1">
        <f xml:space="preserve"> 2*Table15[[#This Row],[INT]]</f>
        <v>132</v>
      </c>
      <c r="D24" s="1">
        <f>$D$3 + ($D$3 / 4) * Table15[[#This Row],[Level]] + Equipment!$E$18</f>
        <v>41.5</v>
      </c>
      <c r="E24" s="1">
        <f>$E$3 + ($E$3 / 4) * Table15[[#This Row],[Level]] + Equipment!$F$18</f>
        <v>50</v>
      </c>
      <c r="F24" s="1">
        <f>$F$3 + ($F$3 / 4) * Table15[[#This Row],[Level]] + Equipment!$G$18</f>
        <v>57.5</v>
      </c>
      <c r="G24" s="1">
        <f>$G$3 + ($G$3 / 4) * Table15[[#This Row],[Level]] + Equipment!$H$18</f>
        <v>66</v>
      </c>
      <c r="H24" s="1">
        <f>$H$3 + ($H$3 / 4) * Table15[[#This Row],[Level]] + Equipment!$I$18</f>
        <v>50</v>
      </c>
      <c r="I24" s="1">
        <f xml:space="preserve"> (4 * (Table15[[#This Row],[Level]] ^ 3))/7 + $I$3</f>
        <v>6184.5714285714284</v>
      </c>
      <c r="K24" s="8">
        <f>CEILING('Blue Slime'!$B$5/ IF('Blue Slime'!$D$5&lt; 10.8, Table15[[#This Row],[STR]], Table15[[#This Row],[STR]] / ('Blue Slime'!$D$5 / 10.8)), 1)</f>
        <v>1</v>
      </c>
      <c r="L24" s="8">
        <f>CEILING('Green Slime'!$B$5/ IF('Green Slime'!$D$5&lt; 10.8, Table15[[#This Row],[STR]], Table15[[#This Row],[STR]] / ('Green Slime'!$D$5 / 10.8)), 1)</f>
        <v>1</v>
      </c>
      <c r="M24" s="8">
        <f>CEILING(Wolf!$B$6/ IF(Wolf!$D$6&lt; 10.8, Table15[[#This Row],[STR]], Table15[[#This Row],[STR]] / (Wolf!$D$6 / 10.8)), 1)</f>
        <v>2</v>
      </c>
      <c r="N24" s="8">
        <f>CEILING('Horned Wolf'!$B$5/ IF('Horned Wolf'!$D$5&lt; 10.8, Table15[[#This Row],[STR]], Table15[[#This Row],[STR]] / ('Horned Wolf'!$D$5 / 10.8)), 1)</f>
        <v>4</v>
      </c>
      <c r="O24" s="8">
        <f>CEILING(Spider!$B$7/ IF(Spider!$D$7&lt; 10.8, Table15[[#This Row],[STR]], Table15[[#This Row],[STR]] / (Spider!$D$7 / 10.8)), 1)</f>
        <v>4</v>
      </c>
      <c r="P24" s="8">
        <f>CEILING('Evolved Spider'!$B$8/ IF('Evolved Spider'!$D$8&lt; 10.8, Table15[[#This Row],[STR]], Table15[[#This Row],[STR]] / ('Evolved Spider'!$D$8 / 10.8)), 1)</f>
        <v>7</v>
      </c>
      <c r="Q24" s="8">
        <f>CEILING(Arachne!$B$4/ IF(Arachne!$D$4&lt; 10.8, Table15[[#This Row],[STR]], Table15[[#This Row],[STR]] / (Arachne!$D$4 / 10.8)), 1)</f>
        <v>9</v>
      </c>
      <c r="R24" s="15">
        <f>CEILING('Earth Elemental'!$B$6/ IF('Earth Elemental'!$D$6&lt; 10.8, Table15[[#This Row],[STR]], Table15[[#This Row],[STR]] / ('Earth Elemental'!$D$6 / 10.8)), 1)</f>
        <v>9</v>
      </c>
      <c r="S24" s="15">
        <f>CEILING('Wind Elemental'!$B$6/ IF('Wind Elemental'!$D$6&lt; 10.8, Table15[[#This Row],[STR]], Table15[[#This Row],[STR]] / ('Wind Elemental'!$D$6 / 10.8)), 1)</f>
        <v>8</v>
      </c>
      <c r="T24" s="15">
        <f>CEILING('Water Elemental'!$B$6/ IF('Water Elemental'!$D$6&lt; 10.8, Table15[[#This Row],[STR]], Table15[[#This Row],[STR]] / ('Water Elemental'!$D$6 / 10.8)), 1)</f>
        <v>12</v>
      </c>
      <c r="U24" s="15">
        <f>CEILING('Fire Elemental'!$B$4/ IF('Fire Elemental'!$D$4&lt; 10.8, Table15[[#This Row],[STR]], Table15[[#This Row],[STR]] / ('Fire Elemental'!$D$4 / 10.8)), 1)</f>
        <v>16</v>
      </c>
      <c r="V24" s="12">
        <f>CEILING(Wyvern!$B$4/ IF(Wyvern!$D$4&lt; 10.8, Table15[[#This Row],[STR]], Table15[[#This Row],[STR]] / (Wyvern!$D$4 / 10.8)), 1)</f>
        <v>21</v>
      </c>
      <c r="W24" s="12">
        <f>CEILING('Evolved Wyvern'!$B$4/ IF('Evolved Wyvern'!$D$4&lt; 10.8, Table15[[#This Row],[STR]], Table15[[#This Row],[STR]] / ('Evolved Wyvern'!$D$4 / 10.8)), 1)</f>
        <v>29</v>
      </c>
      <c r="X24" s="12">
        <f>CEILING(Dragon!$B$4/ IF(Dragon!$D$4&lt; 10.8, Table15[[#This Row],[STR]], Table15[[#This Row],[STR]] / (Dragon!$D$4 / 10.8)), 1)</f>
        <v>47</v>
      </c>
      <c r="Z24" s="8">
        <f>CEILING('Blue Slime'!$M$5/ IF('Blue Slime'!$O$5&lt; 10.8, Table15[[#This Row],[STR]], Table15[[#This Row],[STR]] / ('Blue Slime'!$O$5 / 10.8)), 1)</f>
        <v>1</v>
      </c>
      <c r="AA24" s="8">
        <f>CEILING('Green Slime'!$M$5/ IF('Green Slime'!$O$5&lt; 10.8, Table15[[#This Row],[STR]], Table15[[#This Row],[STR]] / ('Green Slime'!$O$5 / 10.8)), 1)</f>
        <v>1</v>
      </c>
      <c r="AB24" s="8">
        <f>CEILING(Wolf!$M$6/ IF(Wolf!$O$6&lt; 10.8, Table15[[#This Row],[STR]], Table15[[#This Row],[STR]] / (Wolf!$O$6 / 10.8)), 1)</f>
        <v>3</v>
      </c>
      <c r="AC24" s="8">
        <f>CEILING('Horned Wolf'!$M$5/ IF('Horned Wolf'!$O$5&lt; 10.8, Table15[[#This Row],[STR]], Table15[[#This Row],[STR]] / ('Horned Wolf'!$O$5 / 10.8)), 1)</f>
        <v>8</v>
      </c>
      <c r="AD24" s="8">
        <f>CEILING(Spider!$M$7/ IF(Spider!$O$7&lt; 10.8, Table15[[#This Row],[STR]], Table15[[#This Row],[STR]] / (Spider!$O$7 / 10.8)), 1)</f>
        <v>7</v>
      </c>
      <c r="AE24" s="8">
        <f>CEILING('Evolved Spider'!$M$8/ IF('Evolved Spider'!$O$8&lt; 10.8, Table15[[#This Row],[STR]], Table15[[#This Row],[STR]] / ('Evolved Spider'!$O$8 / 10.8)), 1)</f>
        <v>13</v>
      </c>
      <c r="AF24" s="8">
        <f>CEILING(Arachne!$M$4/ IF(Arachne!$O$4&lt; 10.8, Table15[[#This Row],[STR]], Table15[[#This Row],[STR]] / (Arachne!$O$4 / 10.8)), 1)</f>
        <v>17</v>
      </c>
      <c r="AG24" s="15">
        <f>CEILING('Earth Elemental'!$M$6/ IF('Earth Elemental'!$O$6&lt; 10.8, Table15[[#This Row],[STR]], Table15[[#This Row],[STR]] / ('Earth Elemental'!$O$6 / 10.8)), 1)</f>
        <v>16</v>
      </c>
      <c r="AH24" s="15">
        <f>CEILING('Wind Elemental'!$M$6/ IF('Wind Elemental'!$O$6&lt; 10.8, Table15[[#This Row],[STR]], Table15[[#This Row],[STR]] / ('Wind Elemental'!$O$6 / 10.8)), 1)</f>
        <v>13</v>
      </c>
      <c r="AI24" s="15">
        <f>CEILING('Water Elemental'!$M$6/ IF('Water Elemental'!$O$6&lt; 10.8, Table15[[#This Row],[STR]], Table15[[#This Row],[STR]] / ('Water Elemental'!$O$6 / 10.8)), 1)</f>
        <v>19</v>
      </c>
      <c r="AJ24" s="15">
        <f>CEILING('Fire Elemental'!$M$4/ IF('Fire Elemental'!$O$4&lt; 10.8, Table15[[#This Row],[STR]], Table15[[#This Row],[STR]] / ('Fire Elemental'!$O$4 / 10.8)), 1)</f>
        <v>27</v>
      </c>
      <c r="AK24" s="12">
        <f>CEILING(Wyvern!$M$4/ IF(Wyvern!$O$4&lt; 10.8, Table15[[#This Row],[STR]], Table15[[#This Row],[STR]] / (Wyvern!$O$4 / 10.8)), 1)</f>
        <v>34</v>
      </c>
      <c r="AL24" s="12">
        <f>CEILING('Evolved Wyvern'!$M$4/ IF('Evolved Wyvern'!$O$4&lt; 10.8, Table15[[#This Row],[STR]], Table15[[#This Row],[STR]] / ('Evolved Wyvern'!$O$4 / 10.8)), 1)</f>
        <v>45</v>
      </c>
      <c r="AM24" s="12">
        <f>CEILING(Dragon!$M$4/ IF(Dragon!$O$4&lt; 10.8, Table15[[#This Row],[STR]], Table15[[#This Row],[STR]] / (Dragon!$O$4 / 10.8)), 1)</f>
        <v>75</v>
      </c>
      <c r="AO24" s="8">
        <f>CEILING('Blue Slime'!$Z$5/ IF('Blue Slime'!$X$5&lt; 10.8, Table15[[#This Row],[STR]], Table15[[#This Row],[STR]] / ('Blue Slime'!$X$5 / 10.8)), 1)</f>
        <v>1</v>
      </c>
      <c r="AP24" s="8">
        <f>CEILING('Green Slime'!$Z$5/ IF('Green Slime'!$X$5&lt; 10.8, Table15[[#This Row],[STR]], Table15[[#This Row],[STR]] / ('Green Slime'!$X$5 / 10.8)), 1)</f>
        <v>2</v>
      </c>
      <c r="AQ24" s="8">
        <f>CEILING(Wolf!$Z$6/ IF(Wolf!$X$6&lt; 10.8, Table15[[#This Row],[STR]], Table15[[#This Row],[STR]] / (Wolf!$X$6 / 10.8)), 1)</f>
        <v>5</v>
      </c>
      <c r="AR24" s="8">
        <f>CEILING('Horned Wolf'!$Z$5/ IF('Horned Wolf'!$X$5&lt; 10.8, Table15[[#This Row],[STR]], Table15[[#This Row],[STR]] / ('Horned Wolf'!$X$5 / 10.8)), 1)</f>
        <v>13</v>
      </c>
      <c r="AS24" s="8">
        <f>CEILING(Spider!$Z$7/ IF(Spider!$X$7&lt; 10.8, Table15[[#This Row],[STR]], Table15[[#This Row],[STR]] / (Spider!$X$7 / 10.8)), 1)</f>
        <v>12</v>
      </c>
      <c r="AT24" s="8">
        <f>CEILING('Evolved Spider'!$Z$8/ IF('Evolved Spider'!$X$8&lt; 10.8, Table15[[#This Row],[STR]], Table15[[#This Row],[STR]] / ('Evolved Spider'!$X$8 / 10.8)), 1)</f>
        <v>21</v>
      </c>
      <c r="AU24" s="8">
        <f>CEILING(Arachne!$Z$4/ IF(Arachne!$X$4&lt; 10.8, Table15[[#This Row],[STR]], Table15[[#This Row],[STR]] / (Arachne!$X$4 / 10.8)), 1)</f>
        <v>28</v>
      </c>
      <c r="AV24" s="15">
        <f>CEILING('Earth Elemental'!$Z$6/ IF('Earth Elemental'!$X$6&lt; 10.8, Table15[[#This Row],[STR]], Table15[[#This Row],[STR]] / ('Earth Elemental'!$X$6 / 10.8)), 1)</f>
        <v>24</v>
      </c>
      <c r="AW24" s="15">
        <f>CEILING('Wind Elemental'!$Z$6/ IF('Wind Elemental'!$X$6&lt; 10.8, Table15[[#This Row],[STR]], Table15[[#This Row],[STR]] / ('Wind Elemental'!$X$6 / 10.8)), 1)</f>
        <v>18</v>
      </c>
      <c r="AX24" s="15">
        <f>CEILING('Water Elemental'!$Z$6/ IF('Water Elemental'!$X$6&lt; 10.8, Table15[[#This Row],[STR]], Table15[[#This Row],[STR]] / ('Water Elemental'!$X$6 / 10.8)), 1)</f>
        <v>25</v>
      </c>
      <c r="AY24" s="15">
        <f>CEILING('Fire Elemental'!$Z$4/ IF('Fire Elemental'!$X$4&lt; 10.8, Table15[[#This Row],[STR]], Table15[[#This Row],[STR]] / ('Fire Elemental'!$X$4 / 10.8)), 1)</f>
        <v>41</v>
      </c>
      <c r="AZ24" s="12">
        <f>CEILING(Wyvern!$Z$4/ IF(Wyvern!$X$4&lt; 10.8, Table15[[#This Row],[STR]], Table15[[#This Row],[STR]] / (Wyvern!$X$4 / 10.8)), 1)</f>
        <v>49</v>
      </c>
      <c r="BA24" s="12">
        <f>CEILING('Evolved Wyvern'!$Z$4/ IF('Evolved Wyvern'!$X$4&lt; 10.8, Table15[[#This Row],[STR]], Table15[[#This Row],[STR]] / ('Evolved Wyvern'!$X$4 / 10.8)), 1)</f>
        <v>63</v>
      </c>
      <c r="BB24" s="12">
        <f>CEILING(Dragon!$Z$4/ IF(Dragon!$X$4&lt; 10.8, Table15[[#This Row],[STR]], Table15[[#This Row],[STR]] / (Dragon!$X$4 / 10.8)), 1)</f>
        <v>107</v>
      </c>
    </row>
    <row r="25" spans="1:54" x14ac:dyDescent="0.3">
      <c r="A25" s="1">
        <v>23</v>
      </c>
      <c r="B25" s="1">
        <f>$B$3 + ((Table15[[#This Row],[Level]] / 10) + $B$3 / 8) * Table15[[#This Row],[Level]] + Equipment!$D$18</f>
        <v>107.64999999999999</v>
      </c>
      <c r="C25" s="1">
        <f xml:space="preserve"> 2*Table15[[#This Row],[INT]]</f>
        <v>136</v>
      </c>
      <c r="D25" s="1">
        <f>$D$3 + ($D$3 / 4) * Table15[[#This Row],[Level]] + Equipment!$E$18</f>
        <v>42.75</v>
      </c>
      <c r="E25" s="1">
        <f>$E$3 + ($E$3 / 4) * Table15[[#This Row],[Level]] + Equipment!$F$18</f>
        <v>51.5</v>
      </c>
      <c r="F25" s="1">
        <f>$F$3 + ($F$3 / 4) * Table15[[#This Row],[Level]] + Equipment!$G$18</f>
        <v>59.25</v>
      </c>
      <c r="G25" s="1">
        <f>$G$3 + ($G$3 / 4) * Table15[[#This Row],[Level]] + Equipment!$H$18</f>
        <v>68</v>
      </c>
      <c r="H25" s="1">
        <f>$H$3 + ($H$3 / 4) * Table15[[#This Row],[Level]] + Equipment!$I$18</f>
        <v>51.5</v>
      </c>
      <c r="I25" s="1">
        <f xml:space="preserve"> (4 * (Table15[[#This Row],[Level]] ^ 3))/7 + $I$3</f>
        <v>7052.5714285714284</v>
      </c>
      <c r="K25" s="8">
        <f>CEILING('Blue Slime'!$B$5/ IF('Blue Slime'!$D$5&lt; 10.8, Table15[[#This Row],[STR]], Table15[[#This Row],[STR]] / ('Blue Slime'!$D$5 / 10.8)), 1)</f>
        <v>1</v>
      </c>
      <c r="L25" s="8">
        <f>CEILING('Green Slime'!$B$5/ IF('Green Slime'!$D$5&lt; 10.8, Table15[[#This Row],[STR]], Table15[[#This Row],[STR]] / ('Green Slime'!$D$5 / 10.8)), 1)</f>
        <v>1</v>
      </c>
      <c r="M25" s="8">
        <f>CEILING(Wolf!$B$6/ IF(Wolf!$D$6&lt; 10.8, Table15[[#This Row],[STR]], Table15[[#This Row],[STR]] / (Wolf!$D$6 / 10.8)), 1)</f>
        <v>2</v>
      </c>
      <c r="N25" s="8">
        <f>CEILING('Horned Wolf'!$B$5/ IF('Horned Wolf'!$D$5&lt; 10.8, Table15[[#This Row],[STR]], Table15[[#This Row],[STR]] / ('Horned Wolf'!$D$5 / 10.8)), 1)</f>
        <v>4</v>
      </c>
      <c r="O25" s="8">
        <f>CEILING(Spider!$B$7/ IF(Spider!$D$7&lt; 10.8, Table15[[#This Row],[STR]], Table15[[#This Row],[STR]] / (Spider!$D$7 / 10.8)), 1)</f>
        <v>4</v>
      </c>
      <c r="P25" s="8">
        <f>CEILING('Evolved Spider'!$B$8/ IF('Evolved Spider'!$D$8&lt; 10.8, Table15[[#This Row],[STR]], Table15[[#This Row],[STR]] / ('Evolved Spider'!$D$8 / 10.8)), 1)</f>
        <v>7</v>
      </c>
      <c r="Q25" s="8">
        <f>CEILING(Arachne!$B$4/ IF(Arachne!$D$4&lt; 10.8, Table15[[#This Row],[STR]], Table15[[#This Row],[STR]] / (Arachne!$D$4 / 10.8)), 1)</f>
        <v>9</v>
      </c>
      <c r="R25" s="15">
        <f>CEILING('Earth Elemental'!$B$6/ IF('Earth Elemental'!$D$6&lt; 10.8, Table15[[#This Row],[STR]], Table15[[#This Row],[STR]] / ('Earth Elemental'!$D$6 / 10.8)), 1)</f>
        <v>9</v>
      </c>
      <c r="S25" s="15">
        <f>CEILING('Wind Elemental'!$B$6/ IF('Wind Elemental'!$D$6&lt; 10.8, Table15[[#This Row],[STR]], Table15[[#This Row],[STR]] / ('Wind Elemental'!$D$6 / 10.8)), 1)</f>
        <v>8</v>
      </c>
      <c r="T25" s="15">
        <f>CEILING('Water Elemental'!$B$6/ IF('Water Elemental'!$D$6&lt; 10.8, Table15[[#This Row],[STR]], Table15[[#This Row],[STR]] / ('Water Elemental'!$D$6 / 10.8)), 1)</f>
        <v>12</v>
      </c>
      <c r="U25" s="15">
        <f>CEILING('Fire Elemental'!$B$4/ IF('Fire Elemental'!$D$4&lt; 10.8, Table15[[#This Row],[STR]], Table15[[#This Row],[STR]] / ('Fire Elemental'!$D$4 / 10.8)), 1)</f>
        <v>15</v>
      </c>
      <c r="V25" s="12">
        <f>CEILING(Wyvern!$B$4/ IF(Wyvern!$D$4&lt; 10.8, Table15[[#This Row],[STR]], Table15[[#This Row],[STR]] / (Wyvern!$D$4 / 10.8)), 1)</f>
        <v>20</v>
      </c>
      <c r="W25" s="12">
        <f>CEILING('Evolved Wyvern'!$B$4/ IF('Evolved Wyvern'!$D$4&lt; 10.8, Table15[[#This Row],[STR]], Table15[[#This Row],[STR]] / ('Evolved Wyvern'!$D$4 / 10.8)), 1)</f>
        <v>28</v>
      </c>
      <c r="X25" s="12">
        <f>CEILING(Dragon!$B$4/ IF(Dragon!$D$4&lt; 10.8, Table15[[#This Row],[STR]], Table15[[#This Row],[STR]] / (Dragon!$D$4 / 10.8)), 1)</f>
        <v>46</v>
      </c>
      <c r="Z25" s="8">
        <f>CEILING('Blue Slime'!$M$5/ IF('Blue Slime'!$O$5&lt; 10.8, Table15[[#This Row],[STR]], Table15[[#This Row],[STR]] / ('Blue Slime'!$O$5 / 10.8)), 1)</f>
        <v>1</v>
      </c>
      <c r="AA25" s="8">
        <f>CEILING('Green Slime'!$M$5/ IF('Green Slime'!$O$5&lt; 10.8, Table15[[#This Row],[STR]], Table15[[#This Row],[STR]] / ('Green Slime'!$O$5 / 10.8)), 1)</f>
        <v>1</v>
      </c>
      <c r="AB25" s="8">
        <f>CEILING(Wolf!$M$6/ IF(Wolf!$O$6&lt; 10.8, Table15[[#This Row],[STR]], Table15[[#This Row],[STR]] / (Wolf!$O$6 / 10.8)), 1)</f>
        <v>3</v>
      </c>
      <c r="AC25" s="8">
        <f>CEILING('Horned Wolf'!$M$5/ IF('Horned Wolf'!$O$5&lt; 10.8, Table15[[#This Row],[STR]], Table15[[#This Row],[STR]] / ('Horned Wolf'!$O$5 / 10.8)), 1)</f>
        <v>8</v>
      </c>
      <c r="AD25" s="8">
        <f>CEILING(Spider!$M$7/ IF(Spider!$O$7&lt; 10.8, Table15[[#This Row],[STR]], Table15[[#This Row],[STR]] / (Spider!$O$7 / 10.8)), 1)</f>
        <v>7</v>
      </c>
      <c r="AE25" s="8">
        <f>CEILING('Evolved Spider'!$M$8/ IF('Evolved Spider'!$O$8&lt; 10.8, Table15[[#This Row],[STR]], Table15[[#This Row],[STR]] / ('Evolved Spider'!$O$8 / 10.8)), 1)</f>
        <v>13</v>
      </c>
      <c r="AF25" s="8">
        <f>CEILING(Arachne!$M$4/ IF(Arachne!$O$4&lt; 10.8, Table15[[#This Row],[STR]], Table15[[#This Row],[STR]] / (Arachne!$O$4 / 10.8)), 1)</f>
        <v>17</v>
      </c>
      <c r="AG25" s="15">
        <f>CEILING('Earth Elemental'!$M$6/ IF('Earth Elemental'!$O$6&lt; 10.8, Table15[[#This Row],[STR]], Table15[[#This Row],[STR]] / ('Earth Elemental'!$O$6 / 10.8)), 1)</f>
        <v>15</v>
      </c>
      <c r="AH25" s="15">
        <f>CEILING('Wind Elemental'!$M$6/ IF('Wind Elemental'!$O$6&lt; 10.8, Table15[[#This Row],[STR]], Table15[[#This Row],[STR]] / ('Wind Elemental'!$O$6 / 10.8)), 1)</f>
        <v>13</v>
      </c>
      <c r="AI25" s="15">
        <f>CEILING('Water Elemental'!$M$6/ IF('Water Elemental'!$O$6&lt; 10.8, Table15[[#This Row],[STR]], Table15[[#This Row],[STR]] / ('Water Elemental'!$O$6 / 10.8)), 1)</f>
        <v>18</v>
      </c>
      <c r="AJ25" s="15">
        <f>CEILING('Fire Elemental'!$M$4/ IF('Fire Elemental'!$O$4&lt; 10.8, Table15[[#This Row],[STR]], Table15[[#This Row],[STR]] / ('Fire Elemental'!$O$4 / 10.8)), 1)</f>
        <v>26</v>
      </c>
      <c r="AK25" s="12">
        <f>CEILING(Wyvern!$M$4/ IF(Wyvern!$O$4&lt; 10.8, Table15[[#This Row],[STR]], Table15[[#This Row],[STR]] / (Wyvern!$O$4 / 10.8)), 1)</f>
        <v>33</v>
      </c>
      <c r="AL25" s="12">
        <f>CEILING('Evolved Wyvern'!$M$4/ IF('Evolved Wyvern'!$O$4&lt; 10.8, Table15[[#This Row],[STR]], Table15[[#This Row],[STR]] / ('Evolved Wyvern'!$O$4 / 10.8)), 1)</f>
        <v>44</v>
      </c>
      <c r="AM25" s="12">
        <f>CEILING(Dragon!$M$4/ IF(Dragon!$O$4&lt; 10.8, Table15[[#This Row],[STR]], Table15[[#This Row],[STR]] / (Dragon!$O$4 / 10.8)), 1)</f>
        <v>73</v>
      </c>
      <c r="AO25" s="8">
        <f>CEILING('Blue Slime'!$Z$5/ IF('Blue Slime'!$X$5&lt; 10.8, Table15[[#This Row],[STR]], Table15[[#This Row],[STR]] / ('Blue Slime'!$X$5 / 10.8)), 1)</f>
        <v>1</v>
      </c>
      <c r="AP25" s="8">
        <f>CEILING('Green Slime'!$Z$5/ IF('Green Slime'!$X$5&lt; 10.8, Table15[[#This Row],[STR]], Table15[[#This Row],[STR]] / ('Green Slime'!$X$5 / 10.8)), 1)</f>
        <v>2</v>
      </c>
      <c r="AQ25" s="8">
        <f>CEILING(Wolf!$Z$6/ IF(Wolf!$X$6&lt; 10.8, Table15[[#This Row],[STR]], Table15[[#This Row],[STR]] / (Wolf!$X$6 / 10.8)), 1)</f>
        <v>5</v>
      </c>
      <c r="AR25" s="8">
        <f>CEILING('Horned Wolf'!$Z$5/ IF('Horned Wolf'!$X$5&lt; 10.8, Table15[[#This Row],[STR]], Table15[[#This Row],[STR]] / ('Horned Wolf'!$X$5 / 10.8)), 1)</f>
        <v>13</v>
      </c>
      <c r="AS25" s="8">
        <f>CEILING(Spider!$Z$7/ IF(Spider!$X$7&lt; 10.8, Table15[[#This Row],[STR]], Table15[[#This Row],[STR]] / (Spider!$X$7 / 10.8)), 1)</f>
        <v>11</v>
      </c>
      <c r="AT25" s="8">
        <f>CEILING('Evolved Spider'!$Z$8/ IF('Evolved Spider'!$X$8&lt; 10.8, Table15[[#This Row],[STR]], Table15[[#This Row],[STR]] / ('Evolved Spider'!$X$8 / 10.8)), 1)</f>
        <v>20</v>
      </c>
      <c r="AU25" s="8">
        <f>CEILING(Arachne!$Z$4/ IF(Arachne!$X$4&lt; 10.8, Table15[[#This Row],[STR]], Table15[[#This Row],[STR]] / (Arachne!$X$4 / 10.8)), 1)</f>
        <v>28</v>
      </c>
      <c r="AV25" s="15">
        <f>CEILING('Earth Elemental'!$Z$6/ IF('Earth Elemental'!$X$6&lt; 10.8, Table15[[#This Row],[STR]], Table15[[#This Row],[STR]] / ('Earth Elemental'!$X$6 / 10.8)), 1)</f>
        <v>23</v>
      </c>
      <c r="AW25" s="15">
        <f>CEILING('Wind Elemental'!$Z$6/ IF('Wind Elemental'!$X$6&lt; 10.8, Table15[[#This Row],[STR]], Table15[[#This Row],[STR]] / ('Wind Elemental'!$X$6 / 10.8)), 1)</f>
        <v>18</v>
      </c>
      <c r="AX25" s="15">
        <f>CEILING('Water Elemental'!$Z$6/ IF('Water Elemental'!$X$6&lt; 10.8, Table15[[#This Row],[STR]], Table15[[#This Row],[STR]] / ('Water Elemental'!$X$6 / 10.8)), 1)</f>
        <v>25</v>
      </c>
      <c r="AY25" s="15">
        <f>CEILING('Fire Elemental'!$Z$4/ IF('Fire Elemental'!$X$4&lt; 10.8, Table15[[#This Row],[STR]], Table15[[#This Row],[STR]] / ('Fire Elemental'!$X$4 / 10.8)), 1)</f>
        <v>40</v>
      </c>
      <c r="AZ25" s="12">
        <f>CEILING(Wyvern!$Z$4/ IF(Wyvern!$X$4&lt; 10.8, Table15[[#This Row],[STR]], Table15[[#This Row],[STR]] / (Wyvern!$X$4 / 10.8)), 1)</f>
        <v>48</v>
      </c>
      <c r="BA25" s="12">
        <f>CEILING('Evolved Wyvern'!$Z$4/ IF('Evolved Wyvern'!$X$4&lt; 10.8, Table15[[#This Row],[STR]], Table15[[#This Row],[STR]] / ('Evolved Wyvern'!$X$4 / 10.8)), 1)</f>
        <v>61</v>
      </c>
      <c r="BB25" s="12">
        <f>CEILING(Dragon!$Z$4/ IF(Dragon!$X$4&lt; 10.8, Table15[[#This Row],[STR]], Table15[[#This Row],[STR]] / (Dragon!$X$4 / 10.8)), 1)</f>
        <v>103</v>
      </c>
    </row>
    <row r="26" spans="1:54" x14ac:dyDescent="0.3">
      <c r="A26" s="30">
        <v>24</v>
      </c>
      <c r="B26" s="30">
        <f>$B$3 + ((Table15[[#This Row],[Level]] / 10) + $B$3 / 8) * Table15[[#This Row],[Level]] + Equipment!$D$18</f>
        <v>113.6</v>
      </c>
      <c r="C26" s="30">
        <f xml:space="preserve"> 2*Table15[[#This Row],[INT]]</f>
        <v>140</v>
      </c>
      <c r="D26" s="30">
        <f>$D$3 + ($D$3 / 4) * Table15[[#This Row],[Level]] + Equipment!$E$18</f>
        <v>44</v>
      </c>
      <c r="E26" s="30">
        <f>$E$3 + ($E$3 / 4) * Table15[[#This Row],[Level]] + Equipment!$F$18</f>
        <v>53</v>
      </c>
      <c r="F26" s="30">
        <f>$F$3 + ($F$3 / 4) * Table15[[#This Row],[Level]] + Equipment!$G$18</f>
        <v>61</v>
      </c>
      <c r="G26" s="30">
        <f>$G$3 + ($G$3 / 4) * Table15[[#This Row],[Level]] + Equipment!$H$18</f>
        <v>70</v>
      </c>
      <c r="H26" s="30">
        <f>$H$3 + ($H$3 / 4) * Table15[[#This Row],[Level]] + Equipment!$I$18</f>
        <v>53</v>
      </c>
      <c r="I26" s="30">
        <f xml:space="preserve"> (4 * (Table15[[#This Row],[Level]] ^ 3))/7 + $I$3</f>
        <v>7999.4285714285716</v>
      </c>
      <c r="K26" s="8">
        <f>CEILING('Blue Slime'!$B$5/ IF('Blue Slime'!$D$5&lt; 10.8, Table15[[#This Row],[STR]], Table15[[#This Row],[STR]] / ('Blue Slime'!$D$5 / 10.8)), 1)</f>
        <v>1</v>
      </c>
      <c r="L26" s="8">
        <f>CEILING('Green Slime'!$B$5/ IF('Green Slime'!$D$5&lt; 10.8, Table15[[#This Row],[STR]], Table15[[#This Row],[STR]] / ('Green Slime'!$D$5 / 10.8)), 1)</f>
        <v>1</v>
      </c>
      <c r="M26" s="8">
        <f>CEILING(Wolf!$B$6/ IF(Wolf!$D$6&lt; 10.8, Table15[[#This Row],[STR]], Table15[[#This Row],[STR]] / (Wolf!$D$6 / 10.8)), 1)</f>
        <v>2</v>
      </c>
      <c r="N26" s="8">
        <f>CEILING('Horned Wolf'!$B$5/ IF('Horned Wolf'!$D$5&lt; 10.8, Table15[[#This Row],[STR]], Table15[[#This Row],[STR]] / ('Horned Wolf'!$D$5 / 10.8)), 1)</f>
        <v>4</v>
      </c>
      <c r="O26" s="8">
        <f>CEILING(Spider!$B$7/ IF(Spider!$D$7&lt; 10.8, Table15[[#This Row],[STR]], Table15[[#This Row],[STR]] / (Spider!$D$7 / 10.8)), 1)</f>
        <v>4</v>
      </c>
      <c r="P26" s="8">
        <f>CEILING('Evolved Spider'!$B$8/ IF('Evolved Spider'!$D$8&lt; 10.8, Table15[[#This Row],[STR]], Table15[[#This Row],[STR]] / ('Evolved Spider'!$D$8 / 10.8)), 1)</f>
        <v>7</v>
      </c>
      <c r="Q26" s="8">
        <f>CEILING(Arachne!$B$4/ IF(Arachne!$D$4&lt; 10.8, Table15[[#This Row],[STR]], Table15[[#This Row],[STR]] / (Arachne!$D$4 / 10.8)), 1)</f>
        <v>9</v>
      </c>
      <c r="R26" s="15">
        <f>CEILING('Earth Elemental'!$B$6/ IF('Earth Elemental'!$D$6&lt; 10.8, Table15[[#This Row],[STR]], Table15[[#This Row],[STR]] / ('Earth Elemental'!$D$6 / 10.8)), 1)</f>
        <v>9</v>
      </c>
      <c r="S26" s="15">
        <f>CEILING('Wind Elemental'!$B$6/ IF('Wind Elemental'!$D$6&lt; 10.8, Table15[[#This Row],[STR]], Table15[[#This Row],[STR]] / ('Wind Elemental'!$D$6 / 10.8)), 1)</f>
        <v>8</v>
      </c>
      <c r="T26" s="15">
        <f>CEILING('Water Elemental'!$B$6/ IF('Water Elemental'!$D$6&lt; 10.8, Table15[[#This Row],[STR]], Table15[[#This Row],[STR]] / ('Water Elemental'!$D$6 / 10.8)), 1)</f>
        <v>12</v>
      </c>
      <c r="U26" s="15">
        <f>CEILING('Fire Elemental'!$B$4/ IF('Fire Elemental'!$D$4&lt; 10.8, Table15[[#This Row],[STR]], Table15[[#This Row],[STR]] / ('Fire Elemental'!$D$4 / 10.8)), 1)</f>
        <v>15</v>
      </c>
      <c r="V26" s="12">
        <f>CEILING(Wyvern!$B$4/ IF(Wyvern!$D$4&lt; 10.8, Table15[[#This Row],[STR]], Table15[[#This Row],[STR]] / (Wyvern!$D$4 / 10.8)), 1)</f>
        <v>20</v>
      </c>
      <c r="W26" s="12">
        <f>CEILING('Evolved Wyvern'!$B$4/ IF('Evolved Wyvern'!$D$4&lt; 10.8, Table15[[#This Row],[STR]], Table15[[#This Row],[STR]] / ('Evolved Wyvern'!$D$4 / 10.8)), 1)</f>
        <v>27</v>
      </c>
      <c r="X26" s="12">
        <f>CEILING(Dragon!$B$4/ IF(Dragon!$D$4&lt; 10.8, Table15[[#This Row],[STR]], Table15[[#This Row],[STR]] / (Dragon!$D$4 / 10.8)), 1)</f>
        <v>44</v>
      </c>
      <c r="Z26" s="8">
        <f>CEILING('Blue Slime'!$M$5/ IF('Blue Slime'!$O$5&lt; 10.8, Table15[[#This Row],[STR]], Table15[[#This Row],[STR]] / ('Blue Slime'!$O$5 / 10.8)), 1)</f>
        <v>1</v>
      </c>
      <c r="AA26" s="8">
        <f>CEILING('Green Slime'!$M$5/ IF('Green Slime'!$O$5&lt; 10.8, Table15[[#This Row],[STR]], Table15[[#This Row],[STR]] / ('Green Slime'!$O$5 / 10.8)), 1)</f>
        <v>1</v>
      </c>
      <c r="AB26" s="8">
        <f>CEILING(Wolf!$M$6/ IF(Wolf!$O$6&lt; 10.8, Table15[[#This Row],[STR]], Table15[[#This Row],[STR]] / (Wolf!$O$6 / 10.8)), 1)</f>
        <v>3</v>
      </c>
      <c r="AC26" s="8">
        <f>CEILING('Horned Wolf'!$M$5/ IF('Horned Wolf'!$O$5&lt; 10.8, Table15[[#This Row],[STR]], Table15[[#This Row],[STR]] / ('Horned Wolf'!$O$5 / 10.8)), 1)</f>
        <v>7</v>
      </c>
      <c r="AD26" s="8">
        <f>CEILING(Spider!$M$7/ IF(Spider!$O$7&lt; 10.8, Table15[[#This Row],[STR]], Table15[[#This Row],[STR]] / (Spider!$O$7 / 10.8)), 1)</f>
        <v>7</v>
      </c>
      <c r="AE26" s="8">
        <f>CEILING('Evolved Spider'!$M$8/ IF('Evolved Spider'!$O$8&lt; 10.8, Table15[[#This Row],[STR]], Table15[[#This Row],[STR]] / ('Evolved Spider'!$O$8 / 10.8)), 1)</f>
        <v>12</v>
      </c>
      <c r="AF26" s="8">
        <f>CEILING(Arachne!$M$4/ IF(Arachne!$O$4&lt; 10.8, Table15[[#This Row],[STR]], Table15[[#This Row],[STR]] / (Arachne!$O$4 / 10.8)), 1)</f>
        <v>16</v>
      </c>
      <c r="AG26" s="15">
        <f>CEILING('Earth Elemental'!$M$6/ IF('Earth Elemental'!$O$6&lt; 10.8, Table15[[#This Row],[STR]], Table15[[#This Row],[STR]] / ('Earth Elemental'!$O$6 / 10.8)), 1)</f>
        <v>15</v>
      </c>
      <c r="AH26" s="15">
        <f>CEILING('Wind Elemental'!$M$6/ IF('Wind Elemental'!$O$6&lt; 10.8, Table15[[#This Row],[STR]], Table15[[#This Row],[STR]] / ('Wind Elemental'!$O$6 / 10.8)), 1)</f>
        <v>12</v>
      </c>
      <c r="AI26" s="15">
        <f>CEILING('Water Elemental'!$M$6/ IF('Water Elemental'!$O$6&lt; 10.8, Table15[[#This Row],[STR]], Table15[[#This Row],[STR]] / ('Water Elemental'!$O$6 / 10.8)), 1)</f>
        <v>18</v>
      </c>
      <c r="AJ26" s="15">
        <f>CEILING('Fire Elemental'!$M$4/ IF('Fire Elemental'!$O$4&lt; 10.8, Table15[[#This Row],[STR]], Table15[[#This Row],[STR]] / ('Fire Elemental'!$O$4 / 10.8)), 1)</f>
        <v>25</v>
      </c>
      <c r="AK26" s="12">
        <f>CEILING(Wyvern!$M$4/ IF(Wyvern!$O$4&lt; 10.8, Table15[[#This Row],[STR]], Table15[[#This Row],[STR]] / (Wyvern!$O$4 / 10.8)), 1)</f>
        <v>32</v>
      </c>
      <c r="AL26" s="12">
        <f>CEILING('Evolved Wyvern'!$M$4/ IF('Evolved Wyvern'!$O$4&lt; 10.8, Table15[[#This Row],[STR]], Table15[[#This Row],[STR]] / ('Evolved Wyvern'!$O$4 / 10.8)), 1)</f>
        <v>43</v>
      </c>
      <c r="AM26" s="12">
        <f>CEILING(Dragon!$M$4/ IF(Dragon!$O$4&lt; 10.8, Table15[[#This Row],[STR]], Table15[[#This Row],[STR]] / (Dragon!$O$4 / 10.8)), 1)</f>
        <v>71</v>
      </c>
      <c r="AO26" s="8">
        <f>CEILING('Blue Slime'!$Z$5/ IF('Blue Slime'!$X$5&lt; 10.8, Table15[[#This Row],[STR]], Table15[[#This Row],[STR]] / ('Blue Slime'!$X$5 / 10.8)), 1)</f>
        <v>1</v>
      </c>
      <c r="AP26" s="8">
        <f>CEILING('Green Slime'!$Z$5/ IF('Green Slime'!$X$5&lt; 10.8, Table15[[#This Row],[STR]], Table15[[#This Row],[STR]] / ('Green Slime'!$X$5 / 10.8)), 1)</f>
        <v>2</v>
      </c>
      <c r="AQ26" s="8">
        <f>CEILING(Wolf!$Z$6/ IF(Wolf!$X$6&lt; 10.8, Table15[[#This Row],[STR]], Table15[[#This Row],[STR]] / (Wolf!$X$6 / 10.8)), 1)</f>
        <v>5</v>
      </c>
      <c r="AR26" s="8">
        <f>CEILING('Horned Wolf'!$Z$5/ IF('Horned Wolf'!$X$5&lt; 10.8, Table15[[#This Row],[STR]], Table15[[#This Row],[STR]] / ('Horned Wolf'!$X$5 / 10.8)), 1)</f>
        <v>13</v>
      </c>
      <c r="AS26" s="8">
        <f>CEILING(Spider!$Z$7/ IF(Spider!$X$7&lt; 10.8, Table15[[#This Row],[STR]], Table15[[#This Row],[STR]] / (Spider!$X$7 / 10.8)), 1)</f>
        <v>11</v>
      </c>
      <c r="AT26" s="8">
        <f>CEILING('Evolved Spider'!$Z$8/ IF('Evolved Spider'!$X$8&lt; 10.8, Table15[[#This Row],[STR]], Table15[[#This Row],[STR]] / ('Evolved Spider'!$X$8 / 10.8)), 1)</f>
        <v>20</v>
      </c>
      <c r="AU26" s="8">
        <f>CEILING(Arachne!$Z$4/ IF(Arachne!$X$4&lt; 10.8, Table15[[#This Row],[STR]], Table15[[#This Row],[STR]] / (Arachne!$X$4 / 10.8)), 1)</f>
        <v>27</v>
      </c>
      <c r="AV26" s="15">
        <f>CEILING('Earth Elemental'!$Z$6/ IF('Earth Elemental'!$X$6&lt; 10.8, Table15[[#This Row],[STR]], Table15[[#This Row],[STR]] / ('Earth Elemental'!$X$6 / 10.8)), 1)</f>
        <v>22</v>
      </c>
      <c r="AW26" s="15">
        <f>CEILING('Wind Elemental'!$Z$6/ IF('Wind Elemental'!$X$6&lt; 10.8, Table15[[#This Row],[STR]], Table15[[#This Row],[STR]] / ('Wind Elemental'!$X$6 / 10.8)), 1)</f>
        <v>17</v>
      </c>
      <c r="AX26" s="15">
        <f>CEILING('Water Elemental'!$Z$6/ IF('Water Elemental'!$X$6&lt; 10.8, Table15[[#This Row],[STR]], Table15[[#This Row],[STR]] / ('Water Elemental'!$X$6 / 10.8)), 1)</f>
        <v>24</v>
      </c>
      <c r="AY26" s="15">
        <f>CEILING('Fire Elemental'!$Z$4/ IF('Fire Elemental'!$X$4&lt; 10.8, Table15[[#This Row],[STR]], Table15[[#This Row],[STR]] / ('Fire Elemental'!$X$4 / 10.8)), 1)</f>
        <v>39</v>
      </c>
      <c r="AZ26" s="12">
        <f>CEILING(Wyvern!$Z$4/ IF(Wyvern!$X$4&lt; 10.8, Table15[[#This Row],[STR]], Table15[[#This Row],[STR]] / (Wyvern!$X$4 / 10.8)), 1)</f>
        <v>47</v>
      </c>
      <c r="BA26" s="12">
        <f>CEILING('Evolved Wyvern'!$Z$4/ IF('Evolved Wyvern'!$X$4&lt; 10.8, Table15[[#This Row],[STR]], Table15[[#This Row],[STR]] / ('Evolved Wyvern'!$X$4 / 10.8)), 1)</f>
        <v>60</v>
      </c>
      <c r="BB26" s="12">
        <f>CEILING(Dragon!$Z$4/ IF(Dragon!$X$4&lt; 10.8, Table15[[#This Row],[STR]], Table15[[#This Row],[STR]] / (Dragon!$X$4 / 10.8)), 1)</f>
        <v>100</v>
      </c>
    </row>
    <row r="27" spans="1:54" x14ac:dyDescent="0.3">
      <c r="A27" s="1">
        <v>25</v>
      </c>
      <c r="B27" s="1">
        <f>$B$3 + ((Table15[[#This Row],[Level]] / 10) + $B$3 / 8) * Table15[[#This Row],[Level]] + Equipment!$D$26</f>
        <v>141.75</v>
      </c>
      <c r="C27" s="1">
        <f xml:space="preserve"> 2*Table15[[#This Row],[INT]]</f>
        <v>156</v>
      </c>
      <c r="D27" s="1">
        <f>$D$3 + ($D$3 / 4) * Table15[[#This Row],[Level]] + Equipment!$E$26</f>
        <v>51.25</v>
      </c>
      <c r="E27" s="1">
        <f>$E$3 + ($E$3 / 4) * Table15[[#This Row],[Level]] + Equipment!$F$26</f>
        <v>61.5</v>
      </c>
      <c r="F27" s="1">
        <f>$F$3 + ($F$3 / 4) * Table15[[#This Row],[Level]] + Equipment!$G$26</f>
        <v>71.75</v>
      </c>
      <c r="G27" s="1">
        <f>$G$3 + ($G$3 / 4) * Table15[[#This Row],[Level]] + Equipment!$H$26</f>
        <v>78</v>
      </c>
      <c r="H27" s="1">
        <f>$H$3 + ($H$3 / 4) * Table15[[#This Row],[Level]] + Equipment!$I$26</f>
        <v>61.5</v>
      </c>
      <c r="I27" s="1">
        <f xml:space="preserve"> (4 * (Table15[[#This Row],[Level]] ^ 3))/7 + $I$3</f>
        <v>9028.5714285714294</v>
      </c>
      <c r="K27" s="8">
        <f>CEILING('Blue Slime'!$B$5/ IF('Blue Slime'!$D$5&lt; 10.8, Table15[[#This Row],[STR]], Table15[[#This Row],[STR]] / ('Blue Slime'!$D$5 / 10.8)), 1)</f>
        <v>1</v>
      </c>
      <c r="L27" s="8">
        <f>CEILING('Green Slime'!$B$5/ IF('Green Slime'!$D$5&lt; 10.8, Table15[[#This Row],[STR]], Table15[[#This Row],[STR]] / ('Green Slime'!$D$5 / 10.8)), 1)</f>
        <v>1</v>
      </c>
      <c r="M27" s="8">
        <f>CEILING(Wolf!$B$6/ IF(Wolf!$D$6&lt; 10.8, Table15[[#This Row],[STR]], Table15[[#This Row],[STR]] / (Wolf!$D$6 / 10.8)), 1)</f>
        <v>1</v>
      </c>
      <c r="N27" s="8">
        <f>CEILING('Horned Wolf'!$B$5/ IF('Horned Wolf'!$D$5&lt; 10.8, Table15[[#This Row],[STR]], Table15[[#This Row],[STR]] / ('Horned Wolf'!$D$5 / 10.8)), 1)</f>
        <v>3</v>
      </c>
      <c r="O27" s="8">
        <f>CEILING(Spider!$B$7/ IF(Spider!$D$7&lt; 10.8, Table15[[#This Row],[STR]], Table15[[#This Row],[STR]] / (Spider!$D$7 / 10.8)), 1)</f>
        <v>3</v>
      </c>
      <c r="P27" s="8">
        <f>CEILING('Evolved Spider'!$B$8/ IF('Evolved Spider'!$D$8&lt; 10.8, Table15[[#This Row],[STR]], Table15[[#This Row],[STR]] / ('Evolved Spider'!$D$8 / 10.8)), 1)</f>
        <v>6</v>
      </c>
      <c r="Q27" s="8">
        <f>CEILING(Arachne!$B$4/ IF(Arachne!$D$4&lt; 10.8, Table15[[#This Row],[STR]], Table15[[#This Row],[STR]] / (Arachne!$D$4 / 10.8)), 1)</f>
        <v>7</v>
      </c>
      <c r="R27" s="15">
        <f>CEILING('Earth Elemental'!$B$6/ IF('Earth Elemental'!$D$6&lt; 10.8, Table15[[#This Row],[STR]], Table15[[#This Row],[STR]] / ('Earth Elemental'!$D$6 / 10.8)), 1)</f>
        <v>7</v>
      </c>
      <c r="S27" s="15">
        <f>CEILING('Wind Elemental'!$B$6/ IF('Wind Elemental'!$D$6&lt; 10.8, Table15[[#This Row],[STR]], Table15[[#This Row],[STR]] / ('Wind Elemental'!$D$6 / 10.8)), 1)</f>
        <v>7</v>
      </c>
      <c r="T27" s="15">
        <f>CEILING('Water Elemental'!$B$6/ IF('Water Elemental'!$D$6&lt; 10.8, Table15[[#This Row],[STR]], Table15[[#This Row],[STR]] / ('Water Elemental'!$D$6 / 10.8)), 1)</f>
        <v>10</v>
      </c>
      <c r="U27" s="15">
        <f>CEILING('Fire Elemental'!$B$4/ IF('Fire Elemental'!$D$4&lt; 10.8, Table15[[#This Row],[STR]], Table15[[#This Row],[STR]] / ('Fire Elemental'!$D$4 / 10.8)), 1)</f>
        <v>13</v>
      </c>
      <c r="V27" s="12">
        <f>CEILING(Wyvern!$B$4/ IF(Wyvern!$D$4&lt; 10.8, Table15[[#This Row],[STR]], Table15[[#This Row],[STR]] / (Wyvern!$D$4 / 10.8)), 1)</f>
        <v>17</v>
      </c>
      <c r="W27" s="12">
        <f>CEILING('Evolved Wyvern'!$B$4/ IF('Evolved Wyvern'!$D$4&lt; 10.8, Table15[[#This Row],[STR]], Table15[[#This Row],[STR]] / ('Evolved Wyvern'!$D$4 / 10.8)), 1)</f>
        <v>23</v>
      </c>
      <c r="X27" s="12">
        <f>CEILING(Dragon!$B$4/ IF(Dragon!$D$4&lt; 10.8, Table15[[#This Row],[STR]], Table15[[#This Row],[STR]] / (Dragon!$D$4 / 10.8)), 1)</f>
        <v>38</v>
      </c>
      <c r="Z27" s="8">
        <f>CEILING('Blue Slime'!$M$5/ IF('Blue Slime'!$O$5&lt; 10.8, Table15[[#This Row],[STR]], Table15[[#This Row],[STR]] / ('Blue Slime'!$O$5 / 10.8)), 1)</f>
        <v>1</v>
      </c>
      <c r="AA27" s="8">
        <f>CEILING('Green Slime'!$M$5/ IF('Green Slime'!$O$5&lt; 10.8, Table15[[#This Row],[STR]], Table15[[#This Row],[STR]] / ('Green Slime'!$O$5 / 10.8)), 1)</f>
        <v>1</v>
      </c>
      <c r="AB27" s="8">
        <f>CEILING(Wolf!$M$6/ IF(Wolf!$O$6&lt; 10.8, Table15[[#This Row],[STR]], Table15[[#This Row],[STR]] / (Wolf!$O$6 / 10.8)), 1)</f>
        <v>3</v>
      </c>
      <c r="AC27" s="8">
        <f>CEILING('Horned Wolf'!$M$5/ IF('Horned Wolf'!$O$5&lt; 10.8, Table15[[#This Row],[STR]], Table15[[#This Row],[STR]] / ('Horned Wolf'!$O$5 / 10.8)), 1)</f>
        <v>6</v>
      </c>
      <c r="AD27" s="8">
        <f>CEILING(Spider!$M$7/ IF(Spider!$O$7&lt; 10.8, Table15[[#This Row],[STR]], Table15[[#This Row],[STR]] / (Spider!$O$7 / 10.8)), 1)</f>
        <v>6</v>
      </c>
      <c r="AE27" s="8">
        <f>CEILING('Evolved Spider'!$M$8/ IF('Evolved Spider'!$O$8&lt; 10.8, Table15[[#This Row],[STR]], Table15[[#This Row],[STR]] / ('Evolved Spider'!$O$8 / 10.8)), 1)</f>
        <v>10</v>
      </c>
      <c r="AF27" s="8">
        <f>CEILING(Arachne!$M$4/ IF(Arachne!$O$4&lt; 10.8, Table15[[#This Row],[STR]], Table15[[#This Row],[STR]] / (Arachne!$O$4 / 10.8)), 1)</f>
        <v>14</v>
      </c>
      <c r="AG27" s="15">
        <f>CEILING('Earth Elemental'!$M$6/ IF('Earth Elemental'!$O$6&lt; 10.8, Table15[[#This Row],[STR]], Table15[[#This Row],[STR]] / ('Earth Elemental'!$O$6 / 10.8)), 1)</f>
        <v>13</v>
      </c>
      <c r="AH27" s="15">
        <f>CEILING('Wind Elemental'!$M$6/ IF('Wind Elemental'!$O$6&lt; 10.8, Table15[[#This Row],[STR]], Table15[[#This Row],[STR]] / ('Wind Elemental'!$O$6 / 10.8)), 1)</f>
        <v>11</v>
      </c>
      <c r="AI27" s="15">
        <f>CEILING('Water Elemental'!$M$6/ IF('Water Elemental'!$O$6&lt; 10.8, Table15[[#This Row],[STR]], Table15[[#This Row],[STR]] / ('Water Elemental'!$O$6 / 10.8)), 1)</f>
        <v>15</v>
      </c>
      <c r="AJ27" s="15">
        <f>CEILING('Fire Elemental'!$M$4/ IF('Fire Elemental'!$O$4&lt; 10.8, Table15[[#This Row],[STR]], Table15[[#This Row],[STR]] / ('Fire Elemental'!$O$4 / 10.8)), 1)</f>
        <v>22</v>
      </c>
      <c r="AK27" s="12">
        <f>CEILING(Wyvern!$M$4/ IF(Wyvern!$O$4&lt; 10.8, Table15[[#This Row],[STR]], Table15[[#This Row],[STR]] / (Wyvern!$O$4 / 10.8)), 1)</f>
        <v>27</v>
      </c>
      <c r="AL27" s="12">
        <f>CEILING('Evolved Wyvern'!$M$4/ IF('Evolved Wyvern'!$O$4&lt; 10.8, Table15[[#This Row],[STR]], Table15[[#This Row],[STR]] / ('Evolved Wyvern'!$O$4 / 10.8)), 1)</f>
        <v>36</v>
      </c>
      <c r="AM27" s="12">
        <f>CEILING(Dragon!$M$4/ IF(Dragon!$O$4&lt; 10.8, Table15[[#This Row],[STR]], Table15[[#This Row],[STR]] / (Dragon!$O$4 / 10.8)), 1)</f>
        <v>60</v>
      </c>
      <c r="AO27" s="8">
        <f>CEILING('Blue Slime'!$Z$5/ IF('Blue Slime'!$X$5&lt; 10.8, Table15[[#This Row],[STR]], Table15[[#This Row],[STR]] / ('Blue Slime'!$X$5 / 10.8)), 1)</f>
        <v>1</v>
      </c>
      <c r="AP27" s="8">
        <f>CEILING('Green Slime'!$Z$5/ IF('Green Slime'!$X$5&lt; 10.8, Table15[[#This Row],[STR]], Table15[[#This Row],[STR]] / ('Green Slime'!$X$5 / 10.8)), 1)</f>
        <v>2</v>
      </c>
      <c r="AQ27" s="8">
        <f>CEILING(Wolf!$Z$6/ IF(Wolf!$X$6&lt; 10.8, Table15[[#This Row],[STR]], Table15[[#This Row],[STR]] / (Wolf!$X$6 / 10.8)), 1)</f>
        <v>4</v>
      </c>
      <c r="AR27" s="8">
        <f>CEILING('Horned Wolf'!$Z$5/ IF('Horned Wolf'!$X$5&lt; 10.8, Table15[[#This Row],[STR]], Table15[[#This Row],[STR]] / ('Horned Wolf'!$X$5 / 10.8)), 1)</f>
        <v>11</v>
      </c>
      <c r="AS27" s="8">
        <f>CEILING(Spider!$Z$7/ IF(Spider!$X$7&lt; 10.8, Table15[[#This Row],[STR]], Table15[[#This Row],[STR]] / (Spider!$X$7 / 10.8)), 1)</f>
        <v>10</v>
      </c>
      <c r="AT27" s="8">
        <f>CEILING('Evolved Spider'!$Z$8/ IF('Evolved Spider'!$X$8&lt; 10.8, Table15[[#This Row],[STR]], Table15[[#This Row],[STR]] / ('Evolved Spider'!$X$8 / 10.8)), 1)</f>
        <v>17</v>
      </c>
      <c r="AU27" s="8">
        <f>CEILING(Arachne!$Z$4/ IF(Arachne!$X$4&lt; 10.8, Table15[[#This Row],[STR]], Table15[[#This Row],[STR]] / (Arachne!$X$4 / 10.8)), 1)</f>
        <v>23</v>
      </c>
      <c r="AV27" s="15">
        <f>CEILING('Earth Elemental'!$Z$6/ IF('Earth Elemental'!$X$6&lt; 10.8, Table15[[#This Row],[STR]], Table15[[#This Row],[STR]] / ('Earth Elemental'!$X$6 / 10.8)), 1)</f>
        <v>19</v>
      </c>
      <c r="AW27" s="15">
        <f>CEILING('Wind Elemental'!$Z$6/ IF('Wind Elemental'!$X$6&lt; 10.8, Table15[[#This Row],[STR]], Table15[[#This Row],[STR]] / ('Wind Elemental'!$X$6 / 10.8)), 1)</f>
        <v>15</v>
      </c>
      <c r="AX27" s="15">
        <f>CEILING('Water Elemental'!$Z$6/ IF('Water Elemental'!$X$6&lt; 10.8, Table15[[#This Row],[STR]], Table15[[#This Row],[STR]] / ('Water Elemental'!$X$6 / 10.8)), 1)</f>
        <v>20</v>
      </c>
      <c r="AY27" s="15">
        <f>CEILING('Fire Elemental'!$Z$4/ IF('Fire Elemental'!$X$4&lt; 10.8, Table15[[#This Row],[STR]], Table15[[#This Row],[STR]] / ('Fire Elemental'!$X$4 / 10.8)), 1)</f>
        <v>33</v>
      </c>
      <c r="AZ27" s="12">
        <f>CEILING(Wyvern!$Z$4/ IF(Wyvern!$X$4&lt; 10.8, Table15[[#This Row],[STR]], Table15[[#This Row],[STR]] / (Wyvern!$X$4 / 10.8)), 1)</f>
        <v>40</v>
      </c>
      <c r="BA27" s="12">
        <f>CEILING('Evolved Wyvern'!$Z$4/ IF('Evolved Wyvern'!$X$4&lt; 10.8, Table15[[#This Row],[STR]], Table15[[#This Row],[STR]] / ('Evolved Wyvern'!$X$4 / 10.8)), 1)</f>
        <v>51</v>
      </c>
      <c r="BB27" s="12">
        <f>CEILING(Dragon!$Z$4/ IF(Dragon!$X$4&lt; 10.8, Table15[[#This Row],[STR]], Table15[[#This Row],[STR]] / (Dragon!$X$4 / 10.8)), 1)</f>
        <v>85</v>
      </c>
    </row>
    <row r="28" spans="1:54" x14ac:dyDescent="0.3">
      <c r="A28" s="1">
        <v>26</v>
      </c>
      <c r="B28" s="1">
        <f>$B$3 + ((Table15[[#This Row],[Level]] / 10) + $B$3 / 8) * Table15[[#This Row],[Level]] + Equipment!$D$26</f>
        <v>148.10000000000002</v>
      </c>
      <c r="C28" s="1">
        <f xml:space="preserve"> 2*Table15[[#This Row],[INT]]</f>
        <v>160</v>
      </c>
      <c r="D28" s="1">
        <f>$D$3 + ($D$3 / 4) * Table15[[#This Row],[Level]] + Equipment!$E$26</f>
        <v>52.5</v>
      </c>
      <c r="E28" s="1">
        <f>$E$3 + ($E$3 / 4) * Table15[[#This Row],[Level]] + Equipment!$F$26</f>
        <v>63</v>
      </c>
      <c r="F28" s="1">
        <f>$F$3 + ($F$3 / 4) * Table15[[#This Row],[Level]] + Equipment!$G$26</f>
        <v>73.5</v>
      </c>
      <c r="G28" s="1">
        <f>$G$3 + ($G$3 / 4) * Table15[[#This Row],[Level]] + Equipment!$H$26</f>
        <v>80</v>
      </c>
      <c r="H28" s="1">
        <f>$H$3 + ($H$3 / 4) * Table15[[#This Row],[Level]] + Equipment!$I$26</f>
        <v>63</v>
      </c>
      <c r="I28" s="1">
        <f xml:space="preserve"> (4 * (Table15[[#This Row],[Level]] ^ 3))/7 + $I$3</f>
        <v>10143.428571428571</v>
      </c>
      <c r="K28" s="8">
        <f>CEILING('Blue Slime'!$B$5/ IF('Blue Slime'!$D$5&lt; 10.8, Table15[[#This Row],[STR]], Table15[[#This Row],[STR]] / ('Blue Slime'!$D$5 / 10.8)), 1)</f>
        <v>1</v>
      </c>
      <c r="L28" s="8">
        <f>CEILING('Green Slime'!$B$5/ IF('Green Slime'!$D$5&lt; 10.8, Table15[[#This Row],[STR]], Table15[[#This Row],[STR]] / ('Green Slime'!$D$5 / 10.8)), 1)</f>
        <v>1</v>
      </c>
      <c r="M28" s="8">
        <f>CEILING(Wolf!$B$6/ IF(Wolf!$D$6&lt; 10.8, Table15[[#This Row],[STR]], Table15[[#This Row],[STR]] / (Wolf!$D$6 / 10.8)), 1)</f>
        <v>1</v>
      </c>
      <c r="N28" s="8">
        <f>CEILING('Horned Wolf'!$B$5/ IF('Horned Wolf'!$D$5&lt; 10.8, Table15[[#This Row],[STR]], Table15[[#This Row],[STR]] / ('Horned Wolf'!$D$5 / 10.8)), 1)</f>
        <v>3</v>
      </c>
      <c r="O28" s="8">
        <f>CEILING(Spider!$B$7/ IF(Spider!$D$7&lt; 10.8, Table15[[#This Row],[STR]], Table15[[#This Row],[STR]] / (Spider!$D$7 / 10.8)), 1)</f>
        <v>3</v>
      </c>
      <c r="P28" s="8">
        <f>CEILING('Evolved Spider'!$B$8/ IF('Evolved Spider'!$D$8&lt; 10.8, Table15[[#This Row],[STR]], Table15[[#This Row],[STR]] / ('Evolved Spider'!$D$8 / 10.8)), 1)</f>
        <v>6</v>
      </c>
      <c r="Q28" s="8">
        <f>CEILING(Arachne!$B$4/ IF(Arachne!$D$4&lt; 10.8, Table15[[#This Row],[STR]], Table15[[#This Row],[STR]] / (Arachne!$D$4 / 10.8)), 1)</f>
        <v>7</v>
      </c>
      <c r="R28" s="15">
        <f>CEILING('Earth Elemental'!$B$6/ IF('Earth Elemental'!$D$6&lt; 10.8, Table15[[#This Row],[STR]], Table15[[#This Row],[STR]] / ('Earth Elemental'!$D$6 / 10.8)), 1)</f>
        <v>7</v>
      </c>
      <c r="S28" s="15">
        <f>CEILING('Wind Elemental'!$B$6/ IF('Wind Elemental'!$D$6&lt; 10.8, Table15[[#This Row],[STR]], Table15[[#This Row],[STR]] / ('Wind Elemental'!$D$6 / 10.8)), 1)</f>
        <v>7</v>
      </c>
      <c r="T28" s="15">
        <f>CEILING('Water Elemental'!$B$6/ IF('Water Elemental'!$D$6&lt; 10.8, Table15[[#This Row],[STR]], Table15[[#This Row],[STR]] / ('Water Elemental'!$D$6 / 10.8)), 1)</f>
        <v>10</v>
      </c>
      <c r="U28" s="15">
        <f>CEILING('Fire Elemental'!$B$4/ IF('Fire Elemental'!$D$4&lt; 10.8, Table15[[#This Row],[STR]], Table15[[#This Row],[STR]] / ('Fire Elemental'!$D$4 / 10.8)), 1)</f>
        <v>12</v>
      </c>
      <c r="V28" s="12">
        <f>CEILING(Wyvern!$B$4/ IF(Wyvern!$D$4&lt; 10.8, Table15[[#This Row],[STR]], Table15[[#This Row],[STR]] / (Wyvern!$D$4 / 10.8)), 1)</f>
        <v>16</v>
      </c>
      <c r="W28" s="12">
        <f>CEILING('Evolved Wyvern'!$B$4/ IF('Evolved Wyvern'!$D$4&lt; 10.8, Table15[[#This Row],[STR]], Table15[[#This Row],[STR]] / ('Evolved Wyvern'!$D$4 / 10.8)), 1)</f>
        <v>23</v>
      </c>
      <c r="X28" s="12">
        <f>CEILING(Dragon!$B$4/ IF(Dragon!$D$4&lt; 10.8, Table15[[#This Row],[STR]], Table15[[#This Row],[STR]] / (Dragon!$D$4 / 10.8)), 1)</f>
        <v>37</v>
      </c>
      <c r="Z28" s="8">
        <f>CEILING('Blue Slime'!$M$5/ IF('Blue Slime'!$O$5&lt; 10.8, Table15[[#This Row],[STR]], Table15[[#This Row],[STR]] / ('Blue Slime'!$O$5 / 10.8)), 1)</f>
        <v>1</v>
      </c>
      <c r="AA28" s="8">
        <f>CEILING('Green Slime'!$M$5/ IF('Green Slime'!$O$5&lt; 10.8, Table15[[#This Row],[STR]], Table15[[#This Row],[STR]] / ('Green Slime'!$O$5 / 10.8)), 1)</f>
        <v>1</v>
      </c>
      <c r="AB28" s="8">
        <f>CEILING(Wolf!$M$6/ IF(Wolf!$O$6&lt; 10.8, Table15[[#This Row],[STR]], Table15[[#This Row],[STR]] / (Wolf!$O$6 / 10.8)), 1)</f>
        <v>3</v>
      </c>
      <c r="AC28" s="8">
        <f>CEILING('Horned Wolf'!$M$5/ IF('Horned Wolf'!$O$5&lt; 10.8, Table15[[#This Row],[STR]], Table15[[#This Row],[STR]] / ('Horned Wolf'!$O$5 / 10.8)), 1)</f>
        <v>6</v>
      </c>
      <c r="AD28" s="8">
        <f>CEILING(Spider!$M$7/ IF(Spider!$O$7&lt; 10.8, Table15[[#This Row],[STR]], Table15[[#This Row],[STR]] / (Spider!$O$7 / 10.8)), 1)</f>
        <v>6</v>
      </c>
      <c r="AE28" s="8">
        <f>CEILING('Evolved Spider'!$M$8/ IF('Evolved Spider'!$O$8&lt; 10.8, Table15[[#This Row],[STR]], Table15[[#This Row],[STR]] / ('Evolved Spider'!$O$8 / 10.8)), 1)</f>
        <v>10</v>
      </c>
      <c r="AF28" s="8">
        <f>CEILING(Arachne!$M$4/ IF(Arachne!$O$4&lt; 10.8, Table15[[#This Row],[STR]], Table15[[#This Row],[STR]] / (Arachne!$O$4 / 10.8)), 1)</f>
        <v>14</v>
      </c>
      <c r="AG28" s="15">
        <f>CEILING('Earth Elemental'!$M$6/ IF('Earth Elemental'!$O$6&lt; 10.8, Table15[[#This Row],[STR]], Table15[[#This Row],[STR]] / ('Earth Elemental'!$O$6 / 10.8)), 1)</f>
        <v>12</v>
      </c>
      <c r="AH28" s="15">
        <f>CEILING('Wind Elemental'!$M$6/ IF('Wind Elemental'!$O$6&lt; 10.8, Table15[[#This Row],[STR]], Table15[[#This Row],[STR]] / ('Wind Elemental'!$O$6 / 10.8)), 1)</f>
        <v>10</v>
      </c>
      <c r="AI28" s="15">
        <f>CEILING('Water Elemental'!$M$6/ IF('Water Elemental'!$O$6&lt; 10.8, Table15[[#This Row],[STR]], Table15[[#This Row],[STR]] / ('Water Elemental'!$O$6 / 10.8)), 1)</f>
        <v>15</v>
      </c>
      <c r="AJ28" s="15">
        <f>CEILING('Fire Elemental'!$M$4/ IF('Fire Elemental'!$O$4&lt; 10.8, Table15[[#This Row],[STR]], Table15[[#This Row],[STR]] / ('Fire Elemental'!$O$4 / 10.8)), 1)</f>
        <v>21</v>
      </c>
      <c r="AK28" s="12">
        <f>CEILING(Wyvern!$M$4/ IF(Wyvern!$O$4&lt; 10.8, Table15[[#This Row],[STR]], Table15[[#This Row],[STR]] / (Wyvern!$O$4 / 10.8)), 1)</f>
        <v>27</v>
      </c>
      <c r="AL28" s="12">
        <f>CEILING('Evolved Wyvern'!$M$4/ IF('Evolved Wyvern'!$O$4&lt; 10.8, Table15[[#This Row],[STR]], Table15[[#This Row],[STR]] / ('Evolved Wyvern'!$O$4 / 10.8)), 1)</f>
        <v>35</v>
      </c>
      <c r="AM28" s="12">
        <f>CEILING(Dragon!$M$4/ IF(Dragon!$O$4&lt; 10.8, Table15[[#This Row],[STR]], Table15[[#This Row],[STR]] / (Dragon!$O$4 / 10.8)), 1)</f>
        <v>59</v>
      </c>
      <c r="AO28" s="8">
        <f>CEILING('Blue Slime'!$Z$5/ IF('Blue Slime'!$X$5&lt; 10.8, Table15[[#This Row],[STR]], Table15[[#This Row],[STR]] / ('Blue Slime'!$X$5 / 10.8)), 1)</f>
        <v>1</v>
      </c>
      <c r="AP28" s="8">
        <f>CEILING('Green Slime'!$Z$5/ IF('Green Slime'!$X$5&lt; 10.8, Table15[[#This Row],[STR]], Table15[[#This Row],[STR]] / ('Green Slime'!$X$5 / 10.8)), 1)</f>
        <v>2</v>
      </c>
      <c r="AQ28" s="8">
        <f>CEILING(Wolf!$Z$6/ IF(Wolf!$X$6&lt; 10.8, Table15[[#This Row],[STR]], Table15[[#This Row],[STR]] / (Wolf!$X$6 / 10.8)), 1)</f>
        <v>4</v>
      </c>
      <c r="AR28" s="8">
        <f>CEILING('Horned Wolf'!$Z$5/ IF('Horned Wolf'!$X$5&lt; 10.8, Table15[[#This Row],[STR]], Table15[[#This Row],[STR]] / ('Horned Wolf'!$X$5 / 10.8)), 1)</f>
        <v>11</v>
      </c>
      <c r="AS28" s="8">
        <f>CEILING(Spider!$Z$7/ IF(Spider!$X$7&lt; 10.8, Table15[[#This Row],[STR]], Table15[[#This Row],[STR]] / (Spider!$X$7 / 10.8)), 1)</f>
        <v>9</v>
      </c>
      <c r="AT28" s="8">
        <f>CEILING('Evolved Spider'!$Z$8/ IF('Evolved Spider'!$X$8&lt; 10.8, Table15[[#This Row],[STR]], Table15[[#This Row],[STR]] / ('Evolved Spider'!$X$8 / 10.8)), 1)</f>
        <v>16</v>
      </c>
      <c r="AU28" s="8">
        <f>CEILING(Arachne!$Z$4/ IF(Arachne!$X$4&lt; 10.8, Table15[[#This Row],[STR]], Table15[[#This Row],[STR]] / (Arachne!$X$4 / 10.8)), 1)</f>
        <v>22</v>
      </c>
      <c r="AV28" s="15">
        <f>CEILING('Earth Elemental'!$Z$6/ IF('Earth Elemental'!$X$6&lt; 10.8, Table15[[#This Row],[STR]], Table15[[#This Row],[STR]] / ('Earth Elemental'!$X$6 / 10.8)), 1)</f>
        <v>19</v>
      </c>
      <c r="AW28" s="15">
        <f>CEILING('Wind Elemental'!$Z$6/ IF('Wind Elemental'!$X$6&lt; 10.8, Table15[[#This Row],[STR]], Table15[[#This Row],[STR]] / ('Wind Elemental'!$X$6 / 10.8)), 1)</f>
        <v>15</v>
      </c>
      <c r="AX28" s="15">
        <f>CEILING('Water Elemental'!$Z$6/ IF('Water Elemental'!$X$6&lt; 10.8, Table15[[#This Row],[STR]], Table15[[#This Row],[STR]] / ('Water Elemental'!$X$6 / 10.8)), 1)</f>
        <v>20</v>
      </c>
      <c r="AY28" s="15">
        <f>CEILING('Fire Elemental'!$Z$4/ IF('Fire Elemental'!$X$4&lt; 10.8, Table15[[#This Row],[STR]], Table15[[#This Row],[STR]] / ('Fire Elemental'!$X$4 / 10.8)), 1)</f>
        <v>32</v>
      </c>
      <c r="AZ28" s="12">
        <f>CEILING(Wyvern!$Z$4/ IF(Wyvern!$X$4&lt; 10.8, Table15[[#This Row],[STR]], Table15[[#This Row],[STR]] / (Wyvern!$X$4 / 10.8)), 1)</f>
        <v>39</v>
      </c>
      <c r="BA28" s="12">
        <f>CEILING('Evolved Wyvern'!$Z$4/ IF('Evolved Wyvern'!$X$4&lt; 10.8, Table15[[#This Row],[STR]], Table15[[#This Row],[STR]] / ('Evolved Wyvern'!$X$4 / 10.8)), 1)</f>
        <v>50</v>
      </c>
      <c r="BB28" s="12">
        <f>CEILING(Dragon!$Z$4/ IF(Dragon!$X$4&lt; 10.8, Table15[[#This Row],[STR]], Table15[[#This Row],[STR]] / (Dragon!$X$4 / 10.8)), 1)</f>
        <v>83</v>
      </c>
    </row>
    <row r="29" spans="1:54" x14ac:dyDescent="0.3">
      <c r="A29" s="1">
        <v>27</v>
      </c>
      <c r="B29" s="1">
        <f>$B$3 + ((Table15[[#This Row],[Level]] / 10) + $B$3 / 8) * Table15[[#This Row],[Level]] + Equipment!$D$26</f>
        <v>154.65</v>
      </c>
      <c r="C29" s="1">
        <f xml:space="preserve"> 2*Table15[[#This Row],[INT]]</f>
        <v>164</v>
      </c>
      <c r="D29" s="1">
        <f>$D$3 + ($D$3 / 4) * Table15[[#This Row],[Level]] + Equipment!$E$26</f>
        <v>53.75</v>
      </c>
      <c r="E29" s="1">
        <f>$E$3 + ($E$3 / 4) * Table15[[#This Row],[Level]] + Equipment!$F$26</f>
        <v>64.5</v>
      </c>
      <c r="F29" s="1">
        <f>$F$3 + ($F$3 / 4) * Table15[[#This Row],[Level]] + Equipment!$G$26</f>
        <v>75.25</v>
      </c>
      <c r="G29" s="1">
        <f>$G$3 + ($G$3 / 4) * Table15[[#This Row],[Level]] + Equipment!$H$26</f>
        <v>82</v>
      </c>
      <c r="H29" s="1">
        <f>$H$3 + ($H$3 / 4) * Table15[[#This Row],[Level]] + Equipment!$I$26</f>
        <v>64.5</v>
      </c>
      <c r="I29" s="1">
        <f xml:space="preserve"> (4 * (Table15[[#This Row],[Level]] ^ 3))/7 + $I$3</f>
        <v>11347.428571428571</v>
      </c>
      <c r="K29" s="8">
        <f>CEILING('Blue Slime'!$B$5/ IF('Blue Slime'!$D$5&lt; 10.8, Table15[[#This Row],[STR]], Table15[[#This Row],[STR]] / ('Blue Slime'!$D$5 / 10.8)), 1)</f>
        <v>1</v>
      </c>
      <c r="L29" s="8">
        <f>CEILING('Green Slime'!$B$5/ IF('Green Slime'!$D$5&lt; 10.8, Table15[[#This Row],[STR]], Table15[[#This Row],[STR]] / ('Green Slime'!$D$5 / 10.8)), 1)</f>
        <v>1</v>
      </c>
      <c r="M29" s="8">
        <f>CEILING(Wolf!$B$6/ IF(Wolf!$D$6&lt; 10.8, Table15[[#This Row],[STR]], Table15[[#This Row],[STR]] / (Wolf!$D$6 / 10.8)), 1)</f>
        <v>1</v>
      </c>
      <c r="N29" s="8">
        <f>CEILING('Horned Wolf'!$B$5/ IF('Horned Wolf'!$D$5&lt; 10.8, Table15[[#This Row],[STR]], Table15[[#This Row],[STR]] / ('Horned Wolf'!$D$5 / 10.8)), 1)</f>
        <v>3</v>
      </c>
      <c r="O29" s="8">
        <f>CEILING(Spider!$B$7/ IF(Spider!$D$7&lt; 10.8, Table15[[#This Row],[STR]], Table15[[#This Row],[STR]] / (Spider!$D$7 / 10.8)), 1)</f>
        <v>3</v>
      </c>
      <c r="P29" s="8">
        <f>CEILING('Evolved Spider'!$B$8/ IF('Evolved Spider'!$D$8&lt; 10.8, Table15[[#This Row],[STR]], Table15[[#This Row],[STR]] / ('Evolved Spider'!$D$8 / 10.8)), 1)</f>
        <v>5</v>
      </c>
      <c r="Q29" s="8">
        <f>CEILING(Arachne!$B$4/ IF(Arachne!$D$4&lt; 10.8, Table15[[#This Row],[STR]], Table15[[#This Row],[STR]] / (Arachne!$D$4 / 10.8)), 1)</f>
        <v>7</v>
      </c>
      <c r="R29" s="15">
        <f>CEILING('Earth Elemental'!$B$6/ IF('Earth Elemental'!$D$6&lt; 10.8, Table15[[#This Row],[STR]], Table15[[#This Row],[STR]] / ('Earth Elemental'!$D$6 / 10.8)), 1)</f>
        <v>7</v>
      </c>
      <c r="S29" s="15">
        <f>CEILING('Wind Elemental'!$B$6/ IF('Wind Elemental'!$D$6&lt; 10.8, Table15[[#This Row],[STR]], Table15[[#This Row],[STR]] / ('Wind Elemental'!$D$6 / 10.8)), 1)</f>
        <v>6</v>
      </c>
      <c r="T29" s="15">
        <f>CEILING('Water Elemental'!$B$6/ IF('Water Elemental'!$D$6&lt; 10.8, Table15[[#This Row],[STR]], Table15[[#This Row],[STR]] / ('Water Elemental'!$D$6 / 10.8)), 1)</f>
        <v>10</v>
      </c>
      <c r="U29" s="15">
        <f>CEILING('Fire Elemental'!$B$4/ IF('Fire Elemental'!$D$4&lt; 10.8, Table15[[#This Row],[STR]], Table15[[#This Row],[STR]] / ('Fire Elemental'!$D$4 / 10.8)), 1)</f>
        <v>12</v>
      </c>
      <c r="V29" s="12">
        <f>CEILING(Wyvern!$B$4/ IF(Wyvern!$D$4&lt; 10.8, Table15[[#This Row],[STR]], Table15[[#This Row],[STR]] / (Wyvern!$D$4 / 10.8)), 1)</f>
        <v>16</v>
      </c>
      <c r="W29" s="12">
        <f>CEILING('Evolved Wyvern'!$B$4/ IF('Evolved Wyvern'!$D$4&lt; 10.8, Table15[[#This Row],[STR]], Table15[[#This Row],[STR]] / ('Evolved Wyvern'!$D$4 / 10.8)), 1)</f>
        <v>22</v>
      </c>
      <c r="X29" s="12">
        <f>CEILING(Dragon!$B$4/ IF(Dragon!$D$4&lt; 10.8, Table15[[#This Row],[STR]], Table15[[#This Row],[STR]] / (Dragon!$D$4 / 10.8)), 1)</f>
        <v>36</v>
      </c>
      <c r="Z29" s="8">
        <f>CEILING('Blue Slime'!$M$5/ IF('Blue Slime'!$O$5&lt; 10.8, Table15[[#This Row],[STR]], Table15[[#This Row],[STR]] / ('Blue Slime'!$O$5 / 10.8)), 1)</f>
        <v>1</v>
      </c>
      <c r="AA29" s="8">
        <f>CEILING('Green Slime'!$M$5/ IF('Green Slime'!$O$5&lt; 10.8, Table15[[#This Row],[STR]], Table15[[#This Row],[STR]] / ('Green Slime'!$O$5 / 10.8)), 1)</f>
        <v>1</v>
      </c>
      <c r="AB29" s="8">
        <f>CEILING(Wolf!$M$6/ IF(Wolf!$O$6&lt; 10.8, Table15[[#This Row],[STR]], Table15[[#This Row],[STR]] / (Wolf!$O$6 / 10.8)), 1)</f>
        <v>3</v>
      </c>
      <c r="AC29" s="8">
        <f>CEILING('Horned Wolf'!$M$5/ IF('Horned Wolf'!$O$5&lt; 10.8, Table15[[#This Row],[STR]], Table15[[#This Row],[STR]] / ('Horned Wolf'!$O$5 / 10.8)), 1)</f>
        <v>6</v>
      </c>
      <c r="AD29" s="8">
        <f>CEILING(Spider!$M$7/ IF(Spider!$O$7&lt; 10.8, Table15[[#This Row],[STR]], Table15[[#This Row],[STR]] / (Spider!$O$7 / 10.8)), 1)</f>
        <v>6</v>
      </c>
      <c r="AE29" s="8">
        <f>CEILING('Evolved Spider'!$M$8/ IF('Evolved Spider'!$O$8&lt; 10.8, Table15[[#This Row],[STR]], Table15[[#This Row],[STR]] / ('Evolved Spider'!$O$8 / 10.8)), 1)</f>
        <v>10</v>
      </c>
      <c r="AF29" s="8">
        <f>CEILING(Arachne!$M$4/ IF(Arachne!$O$4&lt; 10.8, Table15[[#This Row],[STR]], Table15[[#This Row],[STR]] / (Arachne!$O$4 / 10.8)), 1)</f>
        <v>13</v>
      </c>
      <c r="AG29" s="15">
        <f>CEILING('Earth Elemental'!$M$6/ IF('Earth Elemental'!$O$6&lt; 10.8, Table15[[#This Row],[STR]], Table15[[#This Row],[STR]] / ('Earth Elemental'!$O$6 / 10.8)), 1)</f>
        <v>12</v>
      </c>
      <c r="AH29" s="15">
        <f>CEILING('Wind Elemental'!$M$6/ IF('Wind Elemental'!$O$6&lt; 10.8, Table15[[#This Row],[STR]], Table15[[#This Row],[STR]] / ('Wind Elemental'!$O$6 / 10.8)), 1)</f>
        <v>10</v>
      </c>
      <c r="AI29" s="15">
        <f>CEILING('Water Elemental'!$M$6/ IF('Water Elemental'!$O$6&lt; 10.8, Table15[[#This Row],[STR]], Table15[[#This Row],[STR]] / ('Water Elemental'!$O$6 / 10.8)), 1)</f>
        <v>14</v>
      </c>
      <c r="AJ29" s="15">
        <f>CEILING('Fire Elemental'!$M$4/ IF('Fire Elemental'!$O$4&lt; 10.8, Table15[[#This Row],[STR]], Table15[[#This Row],[STR]] / ('Fire Elemental'!$O$4 / 10.8)), 1)</f>
        <v>21</v>
      </c>
      <c r="AK29" s="12">
        <f>CEILING(Wyvern!$M$4/ IF(Wyvern!$O$4&lt; 10.8, Table15[[#This Row],[STR]], Table15[[#This Row],[STR]] / (Wyvern!$O$4 / 10.8)), 1)</f>
        <v>26</v>
      </c>
      <c r="AL29" s="12">
        <f>CEILING('Evolved Wyvern'!$M$4/ IF('Evolved Wyvern'!$O$4&lt; 10.8, Table15[[#This Row],[STR]], Table15[[#This Row],[STR]] / ('Evolved Wyvern'!$O$4 / 10.8)), 1)</f>
        <v>35</v>
      </c>
      <c r="AM29" s="12">
        <f>CEILING(Dragon!$M$4/ IF(Dragon!$O$4&lt; 10.8, Table15[[#This Row],[STR]], Table15[[#This Row],[STR]] / (Dragon!$O$4 / 10.8)), 1)</f>
        <v>58</v>
      </c>
      <c r="AO29" s="8">
        <f>CEILING('Blue Slime'!$Z$5/ IF('Blue Slime'!$X$5&lt; 10.8, Table15[[#This Row],[STR]], Table15[[#This Row],[STR]] / ('Blue Slime'!$X$5 / 10.8)), 1)</f>
        <v>1</v>
      </c>
      <c r="AP29" s="8">
        <f>CEILING('Green Slime'!$Z$5/ IF('Green Slime'!$X$5&lt; 10.8, Table15[[#This Row],[STR]], Table15[[#This Row],[STR]] / ('Green Slime'!$X$5 / 10.8)), 1)</f>
        <v>2</v>
      </c>
      <c r="AQ29" s="8">
        <f>CEILING(Wolf!$Z$6/ IF(Wolf!$X$6&lt; 10.8, Table15[[#This Row],[STR]], Table15[[#This Row],[STR]] / (Wolf!$X$6 / 10.8)), 1)</f>
        <v>4</v>
      </c>
      <c r="AR29" s="8">
        <f>CEILING('Horned Wolf'!$Z$5/ IF('Horned Wolf'!$X$5&lt; 10.8, Table15[[#This Row],[STR]], Table15[[#This Row],[STR]] / ('Horned Wolf'!$X$5 / 10.8)), 1)</f>
        <v>10</v>
      </c>
      <c r="AS29" s="8">
        <f>CEILING(Spider!$Z$7/ IF(Spider!$X$7&lt; 10.8, Table15[[#This Row],[STR]], Table15[[#This Row],[STR]] / (Spider!$X$7 / 10.8)), 1)</f>
        <v>9</v>
      </c>
      <c r="AT29" s="8">
        <f>CEILING('Evolved Spider'!$Z$8/ IF('Evolved Spider'!$X$8&lt; 10.8, Table15[[#This Row],[STR]], Table15[[#This Row],[STR]] / ('Evolved Spider'!$X$8 / 10.8)), 1)</f>
        <v>16</v>
      </c>
      <c r="AU29" s="8">
        <f>CEILING(Arachne!$Z$4/ IF(Arachne!$X$4&lt; 10.8, Table15[[#This Row],[STR]], Table15[[#This Row],[STR]] / (Arachne!$X$4 / 10.8)), 1)</f>
        <v>22</v>
      </c>
      <c r="AV29" s="15">
        <f>CEILING('Earth Elemental'!$Z$6/ IF('Earth Elemental'!$X$6&lt; 10.8, Table15[[#This Row],[STR]], Table15[[#This Row],[STR]] / ('Earth Elemental'!$X$6 / 10.8)), 1)</f>
        <v>18</v>
      </c>
      <c r="AW29" s="15">
        <f>CEILING('Wind Elemental'!$Z$6/ IF('Wind Elemental'!$X$6&lt; 10.8, Table15[[#This Row],[STR]], Table15[[#This Row],[STR]] / ('Wind Elemental'!$X$6 / 10.8)), 1)</f>
        <v>14</v>
      </c>
      <c r="AX29" s="15">
        <f>CEILING('Water Elemental'!$Z$6/ IF('Water Elemental'!$X$6&lt; 10.8, Table15[[#This Row],[STR]], Table15[[#This Row],[STR]] / ('Water Elemental'!$X$6 / 10.8)), 1)</f>
        <v>19</v>
      </c>
      <c r="AY29" s="15">
        <f>CEILING('Fire Elemental'!$Z$4/ IF('Fire Elemental'!$X$4&lt; 10.8, Table15[[#This Row],[STR]], Table15[[#This Row],[STR]] / ('Fire Elemental'!$X$4 / 10.8)), 1)</f>
        <v>31</v>
      </c>
      <c r="AZ29" s="12">
        <f>CEILING(Wyvern!$Z$4/ IF(Wyvern!$X$4&lt; 10.8, Table15[[#This Row],[STR]], Table15[[#This Row],[STR]] / (Wyvern!$X$4 / 10.8)), 1)</f>
        <v>38</v>
      </c>
      <c r="BA29" s="12">
        <f>CEILING('Evolved Wyvern'!$Z$4/ IF('Evolved Wyvern'!$X$4&lt; 10.8, Table15[[#This Row],[STR]], Table15[[#This Row],[STR]] / ('Evolved Wyvern'!$X$4 / 10.8)), 1)</f>
        <v>49</v>
      </c>
      <c r="BB29" s="12">
        <f>CEILING(Dragon!$Z$4/ IF(Dragon!$X$4&lt; 10.8, Table15[[#This Row],[STR]], Table15[[#This Row],[STR]] / (Dragon!$X$4 / 10.8)), 1)</f>
        <v>82</v>
      </c>
    </row>
    <row r="30" spans="1:54" x14ac:dyDescent="0.3">
      <c r="A30" s="1">
        <v>28</v>
      </c>
      <c r="B30" s="1">
        <f>$B$3 + ((Table15[[#This Row],[Level]] / 10) + $B$3 / 8) * Table15[[#This Row],[Level]] + Equipment!$D$26</f>
        <v>161.39999999999998</v>
      </c>
      <c r="C30" s="1">
        <f xml:space="preserve"> 2*Table15[[#This Row],[INT]]</f>
        <v>168</v>
      </c>
      <c r="D30" s="1">
        <f>$D$3 + ($D$3 / 4) * Table15[[#This Row],[Level]] + Equipment!$E$26</f>
        <v>55</v>
      </c>
      <c r="E30" s="1">
        <f>$E$3 + ($E$3 / 4) * Table15[[#This Row],[Level]] + Equipment!$F$26</f>
        <v>66</v>
      </c>
      <c r="F30" s="1">
        <f>$F$3 + ($F$3 / 4) * Table15[[#This Row],[Level]] + Equipment!$G$26</f>
        <v>77</v>
      </c>
      <c r="G30" s="1">
        <f>$G$3 + ($G$3 / 4) * Table15[[#This Row],[Level]] + Equipment!$H$26</f>
        <v>84</v>
      </c>
      <c r="H30" s="1">
        <f>$H$3 + ($H$3 / 4) * Table15[[#This Row],[Level]] + Equipment!$I$26</f>
        <v>66</v>
      </c>
      <c r="I30" s="1">
        <f xml:space="preserve"> (4 * (Table15[[#This Row],[Level]] ^ 3))/7 + $I$3</f>
        <v>12644</v>
      </c>
      <c r="K30" s="8">
        <f>CEILING('Blue Slime'!$B$5/ IF('Blue Slime'!$D$5&lt; 10.8, Table15[[#This Row],[STR]], Table15[[#This Row],[STR]] / ('Blue Slime'!$D$5 / 10.8)), 1)</f>
        <v>1</v>
      </c>
      <c r="L30" s="8">
        <f>CEILING('Green Slime'!$B$5/ IF('Green Slime'!$D$5&lt; 10.8, Table15[[#This Row],[STR]], Table15[[#This Row],[STR]] / ('Green Slime'!$D$5 / 10.8)), 1)</f>
        <v>1</v>
      </c>
      <c r="M30" s="8">
        <f>CEILING(Wolf!$B$6/ IF(Wolf!$D$6&lt; 10.8, Table15[[#This Row],[STR]], Table15[[#This Row],[STR]] / (Wolf!$D$6 / 10.8)), 1)</f>
        <v>1</v>
      </c>
      <c r="N30" s="8">
        <f>CEILING('Horned Wolf'!$B$5/ IF('Horned Wolf'!$D$5&lt; 10.8, Table15[[#This Row],[STR]], Table15[[#This Row],[STR]] / ('Horned Wolf'!$D$5 / 10.8)), 1)</f>
        <v>3</v>
      </c>
      <c r="O30" s="8">
        <f>CEILING(Spider!$B$7/ IF(Spider!$D$7&lt; 10.8, Table15[[#This Row],[STR]], Table15[[#This Row],[STR]] / (Spider!$D$7 / 10.8)), 1)</f>
        <v>3</v>
      </c>
      <c r="P30" s="8">
        <f>CEILING('Evolved Spider'!$B$8/ IF('Evolved Spider'!$D$8&lt; 10.8, Table15[[#This Row],[STR]], Table15[[#This Row],[STR]] / ('Evolved Spider'!$D$8 / 10.8)), 1)</f>
        <v>5</v>
      </c>
      <c r="Q30" s="8">
        <f>CEILING(Arachne!$B$4/ IF(Arachne!$D$4&lt; 10.8, Table15[[#This Row],[STR]], Table15[[#This Row],[STR]] / (Arachne!$D$4 / 10.8)), 1)</f>
        <v>7</v>
      </c>
      <c r="R30" s="15">
        <f>CEILING('Earth Elemental'!$B$6/ IF('Earth Elemental'!$D$6&lt; 10.8, Table15[[#This Row],[STR]], Table15[[#This Row],[STR]] / ('Earth Elemental'!$D$6 / 10.8)), 1)</f>
        <v>7</v>
      </c>
      <c r="S30" s="15">
        <f>CEILING('Wind Elemental'!$B$6/ IF('Wind Elemental'!$D$6&lt; 10.8, Table15[[#This Row],[STR]], Table15[[#This Row],[STR]] / ('Wind Elemental'!$D$6 / 10.8)), 1)</f>
        <v>6</v>
      </c>
      <c r="T30" s="15">
        <f>CEILING('Water Elemental'!$B$6/ IF('Water Elemental'!$D$6&lt; 10.8, Table15[[#This Row],[STR]], Table15[[#This Row],[STR]] / ('Water Elemental'!$D$6 / 10.8)), 1)</f>
        <v>9</v>
      </c>
      <c r="U30" s="15">
        <f>CEILING('Fire Elemental'!$B$4/ IF('Fire Elemental'!$D$4&lt; 10.8, Table15[[#This Row],[STR]], Table15[[#This Row],[STR]] / ('Fire Elemental'!$D$4 / 10.8)), 1)</f>
        <v>12</v>
      </c>
      <c r="V30" s="12">
        <f>CEILING(Wyvern!$B$4/ IF(Wyvern!$D$4&lt; 10.8, Table15[[#This Row],[STR]], Table15[[#This Row],[STR]] / (Wyvern!$D$4 / 10.8)), 1)</f>
        <v>16</v>
      </c>
      <c r="W30" s="12">
        <f>CEILING('Evolved Wyvern'!$B$4/ IF('Evolved Wyvern'!$D$4&lt; 10.8, Table15[[#This Row],[STR]], Table15[[#This Row],[STR]] / ('Evolved Wyvern'!$D$4 / 10.8)), 1)</f>
        <v>22</v>
      </c>
      <c r="X30" s="12">
        <f>CEILING(Dragon!$B$4/ IF(Dragon!$D$4&lt; 10.8, Table15[[#This Row],[STR]], Table15[[#This Row],[STR]] / (Dragon!$D$4 / 10.8)), 1)</f>
        <v>35</v>
      </c>
      <c r="Z30" s="8">
        <f>CEILING('Blue Slime'!$M$5/ IF('Blue Slime'!$O$5&lt; 10.8, Table15[[#This Row],[STR]], Table15[[#This Row],[STR]] / ('Blue Slime'!$O$5 / 10.8)), 1)</f>
        <v>1</v>
      </c>
      <c r="AA30" s="8">
        <f>CEILING('Green Slime'!$M$5/ IF('Green Slime'!$O$5&lt; 10.8, Table15[[#This Row],[STR]], Table15[[#This Row],[STR]] / ('Green Slime'!$O$5 / 10.8)), 1)</f>
        <v>1</v>
      </c>
      <c r="AB30" s="8">
        <f>CEILING(Wolf!$M$6/ IF(Wolf!$O$6&lt; 10.8, Table15[[#This Row],[STR]], Table15[[#This Row],[STR]] / (Wolf!$O$6 / 10.8)), 1)</f>
        <v>2</v>
      </c>
      <c r="AC30" s="8">
        <f>CEILING('Horned Wolf'!$M$5/ IF('Horned Wolf'!$O$5&lt; 10.8, Table15[[#This Row],[STR]], Table15[[#This Row],[STR]] / ('Horned Wolf'!$O$5 / 10.8)), 1)</f>
        <v>6</v>
      </c>
      <c r="AD30" s="8">
        <f>CEILING(Spider!$M$7/ IF(Spider!$O$7&lt; 10.8, Table15[[#This Row],[STR]], Table15[[#This Row],[STR]] / (Spider!$O$7 / 10.8)), 1)</f>
        <v>5</v>
      </c>
      <c r="AE30" s="8">
        <f>CEILING('Evolved Spider'!$M$8/ IF('Evolved Spider'!$O$8&lt; 10.8, Table15[[#This Row],[STR]], Table15[[#This Row],[STR]] / ('Evolved Spider'!$O$8 / 10.8)), 1)</f>
        <v>10</v>
      </c>
      <c r="AF30" s="8">
        <f>CEILING(Arachne!$M$4/ IF(Arachne!$O$4&lt; 10.8, Table15[[#This Row],[STR]], Table15[[#This Row],[STR]] / (Arachne!$O$4 / 10.8)), 1)</f>
        <v>13</v>
      </c>
      <c r="AG30" s="15">
        <f>CEILING('Earth Elemental'!$M$6/ IF('Earth Elemental'!$O$6&lt; 10.8, Table15[[#This Row],[STR]], Table15[[#This Row],[STR]] / ('Earth Elemental'!$O$6 / 10.8)), 1)</f>
        <v>12</v>
      </c>
      <c r="AH30" s="15">
        <f>CEILING('Wind Elemental'!$M$6/ IF('Wind Elemental'!$O$6&lt; 10.8, Table15[[#This Row],[STR]], Table15[[#This Row],[STR]] / ('Wind Elemental'!$O$6 / 10.8)), 1)</f>
        <v>10</v>
      </c>
      <c r="AI30" s="15">
        <f>CEILING('Water Elemental'!$M$6/ IF('Water Elemental'!$O$6&lt; 10.8, Table15[[#This Row],[STR]], Table15[[#This Row],[STR]] / ('Water Elemental'!$O$6 / 10.8)), 1)</f>
        <v>14</v>
      </c>
      <c r="AJ30" s="15">
        <f>CEILING('Fire Elemental'!$M$4/ IF('Fire Elemental'!$O$4&lt; 10.8, Table15[[#This Row],[STR]], Table15[[#This Row],[STR]] / ('Fire Elemental'!$O$4 / 10.8)), 1)</f>
        <v>20</v>
      </c>
      <c r="AK30" s="12">
        <f>CEILING(Wyvern!$M$4/ IF(Wyvern!$O$4&lt; 10.8, Table15[[#This Row],[STR]], Table15[[#This Row],[STR]] / (Wyvern!$O$4 / 10.8)), 1)</f>
        <v>26</v>
      </c>
      <c r="AL30" s="12">
        <f>CEILING('Evolved Wyvern'!$M$4/ IF('Evolved Wyvern'!$O$4&lt; 10.8, Table15[[#This Row],[STR]], Table15[[#This Row],[STR]] / ('Evolved Wyvern'!$O$4 / 10.8)), 1)</f>
        <v>34</v>
      </c>
      <c r="AM30" s="12">
        <f>CEILING(Dragon!$M$4/ IF(Dragon!$O$4&lt; 10.8, Table15[[#This Row],[STR]], Table15[[#This Row],[STR]] / (Dragon!$O$4 / 10.8)), 1)</f>
        <v>56</v>
      </c>
      <c r="AO30" s="8">
        <f>CEILING('Blue Slime'!$Z$5/ IF('Blue Slime'!$X$5&lt; 10.8, Table15[[#This Row],[STR]], Table15[[#This Row],[STR]] / ('Blue Slime'!$X$5 / 10.8)), 1)</f>
        <v>1</v>
      </c>
      <c r="AP30" s="8">
        <f>CEILING('Green Slime'!$Z$5/ IF('Green Slime'!$X$5&lt; 10.8, Table15[[#This Row],[STR]], Table15[[#This Row],[STR]] / ('Green Slime'!$X$5 / 10.8)), 1)</f>
        <v>2</v>
      </c>
      <c r="AQ30" s="8">
        <f>CEILING(Wolf!$Z$6/ IF(Wolf!$X$6&lt; 10.8, Table15[[#This Row],[STR]], Table15[[#This Row],[STR]] / (Wolf!$X$6 / 10.8)), 1)</f>
        <v>4</v>
      </c>
      <c r="AR30" s="8">
        <f>CEILING('Horned Wolf'!$Z$5/ IF('Horned Wolf'!$X$5&lt; 10.8, Table15[[#This Row],[STR]], Table15[[#This Row],[STR]] / ('Horned Wolf'!$X$5 / 10.8)), 1)</f>
        <v>10</v>
      </c>
      <c r="AS30" s="8">
        <f>CEILING(Spider!$Z$7/ IF(Spider!$X$7&lt; 10.8, Table15[[#This Row],[STR]], Table15[[#This Row],[STR]] / (Spider!$X$7 / 10.8)), 1)</f>
        <v>9</v>
      </c>
      <c r="AT30" s="8">
        <f>CEILING('Evolved Spider'!$Z$8/ IF('Evolved Spider'!$X$8&lt; 10.8, Table15[[#This Row],[STR]], Table15[[#This Row],[STR]] / ('Evolved Spider'!$X$8 / 10.8)), 1)</f>
        <v>16</v>
      </c>
      <c r="AU30" s="8">
        <f>CEILING(Arachne!$Z$4/ IF(Arachne!$X$4&lt; 10.8, Table15[[#This Row],[STR]], Table15[[#This Row],[STR]] / (Arachne!$X$4 / 10.8)), 1)</f>
        <v>21</v>
      </c>
      <c r="AV30" s="15">
        <f>CEILING('Earth Elemental'!$Z$6/ IF('Earth Elemental'!$X$6&lt; 10.8, Table15[[#This Row],[STR]], Table15[[#This Row],[STR]] / ('Earth Elemental'!$X$6 / 10.8)), 1)</f>
        <v>18</v>
      </c>
      <c r="AW30" s="15">
        <f>CEILING('Wind Elemental'!$Z$6/ IF('Wind Elemental'!$X$6&lt; 10.8, Table15[[#This Row],[STR]], Table15[[#This Row],[STR]] / ('Wind Elemental'!$X$6 / 10.8)), 1)</f>
        <v>14</v>
      </c>
      <c r="AX30" s="15">
        <f>CEILING('Water Elemental'!$Z$6/ IF('Water Elemental'!$X$6&lt; 10.8, Table15[[#This Row],[STR]], Table15[[#This Row],[STR]] / ('Water Elemental'!$X$6 / 10.8)), 1)</f>
        <v>19</v>
      </c>
      <c r="AY30" s="15">
        <f>CEILING('Fire Elemental'!$Z$4/ IF('Fire Elemental'!$X$4&lt; 10.8, Table15[[#This Row],[STR]], Table15[[#This Row],[STR]] / ('Fire Elemental'!$X$4 / 10.8)), 1)</f>
        <v>31</v>
      </c>
      <c r="AZ30" s="12">
        <f>CEILING(Wyvern!$Z$4/ IF(Wyvern!$X$4&lt; 10.8, Table15[[#This Row],[STR]], Table15[[#This Row],[STR]] / (Wyvern!$X$4 / 10.8)), 1)</f>
        <v>37</v>
      </c>
      <c r="BA30" s="12">
        <f>CEILING('Evolved Wyvern'!$Z$4/ IF('Evolved Wyvern'!$X$4&lt; 10.8, Table15[[#This Row],[STR]], Table15[[#This Row],[STR]] / ('Evolved Wyvern'!$X$4 / 10.8)), 1)</f>
        <v>47</v>
      </c>
      <c r="BB30" s="12">
        <f>CEILING(Dragon!$Z$4/ IF(Dragon!$X$4&lt; 10.8, Table15[[#This Row],[STR]], Table15[[#This Row],[STR]] / (Dragon!$X$4 / 10.8)), 1)</f>
        <v>80</v>
      </c>
    </row>
    <row r="31" spans="1:54" x14ac:dyDescent="0.3">
      <c r="A31" s="1">
        <v>29</v>
      </c>
      <c r="B31" s="1">
        <f>$B$3 + ((Table15[[#This Row],[Level]] / 10) + $B$3 / 8) * Table15[[#This Row],[Level]] + Equipment!$D$26</f>
        <v>168.35000000000002</v>
      </c>
      <c r="C31" s="1">
        <f xml:space="preserve"> 2*Table15[[#This Row],[INT]]</f>
        <v>172</v>
      </c>
      <c r="D31" s="1">
        <f>$D$3 + ($D$3 / 4) * Table15[[#This Row],[Level]] + Equipment!$E$26</f>
        <v>56.25</v>
      </c>
      <c r="E31" s="1">
        <f>$E$3 + ($E$3 / 4) * Table15[[#This Row],[Level]] + Equipment!$F$26</f>
        <v>67.5</v>
      </c>
      <c r="F31" s="1">
        <f>$F$3 + ($F$3 / 4) * Table15[[#This Row],[Level]] + Equipment!$G$26</f>
        <v>78.75</v>
      </c>
      <c r="G31" s="1">
        <f>$G$3 + ($G$3 / 4) * Table15[[#This Row],[Level]] + Equipment!$H$26</f>
        <v>86</v>
      </c>
      <c r="H31" s="1">
        <f>$H$3 + ($H$3 / 4) * Table15[[#This Row],[Level]] + Equipment!$I$26</f>
        <v>67.5</v>
      </c>
      <c r="I31" s="1">
        <f xml:space="preserve"> (4 * (Table15[[#This Row],[Level]] ^ 3))/7 + $I$3</f>
        <v>14036.571428571429</v>
      </c>
      <c r="K31" s="8">
        <f>CEILING('Blue Slime'!$B$5/ IF('Blue Slime'!$D$5&lt; 10.8, Table15[[#This Row],[STR]], Table15[[#This Row],[STR]] / ('Blue Slime'!$D$5 / 10.8)), 1)</f>
        <v>1</v>
      </c>
      <c r="L31" s="8">
        <f>CEILING('Green Slime'!$B$5/ IF('Green Slime'!$D$5&lt; 10.8, Table15[[#This Row],[STR]], Table15[[#This Row],[STR]] / ('Green Slime'!$D$5 / 10.8)), 1)</f>
        <v>1</v>
      </c>
      <c r="M31" s="8">
        <f>CEILING(Wolf!$B$6/ IF(Wolf!$D$6&lt; 10.8, Table15[[#This Row],[STR]], Table15[[#This Row],[STR]] / (Wolf!$D$6 / 10.8)), 1)</f>
        <v>1</v>
      </c>
      <c r="N31" s="8">
        <f>CEILING('Horned Wolf'!$B$5/ IF('Horned Wolf'!$D$5&lt; 10.8, Table15[[#This Row],[STR]], Table15[[#This Row],[STR]] / ('Horned Wolf'!$D$5 / 10.8)), 1)</f>
        <v>3</v>
      </c>
      <c r="O31" s="8">
        <f>CEILING(Spider!$B$7/ IF(Spider!$D$7&lt; 10.8, Table15[[#This Row],[STR]], Table15[[#This Row],[STR]] / (Spider!$D$7 / 10.8)), 1)</f>
        <v>3</v>
      </c>
      <c r="P31" s="8">
        <f>CEILING('Evolved Spider'!$B$8/ IF('Evolved Spider'!$D$8&lt; 10.8, Table15[[#This Row],[STR]], Table15[[#This Row],[STR]] / ('Evolved Spider'!$D$8 / 10.8)), 1)</f>
        <v>5</v>
      </c>
      <c r="Q31" s="8">
        <f>CEILING(Arachne!$B$4/ IF(Arachne!$D$4&lt; 10.8, Table15[[#This Row],[STR]], Table15[[#This Row],[STR]] / (Arachne!$D$4 / 10.8)), 1)</f>
        <v>7</v>
      </c>
      <c r="R31" s="15">
        <f>CEILING('Earth Elemental'!$B$6/ IF('Earth Elemental'!$D$6&lt; 10.8, Table15[[#This Row],[STR]], Table15[[#This Row],[STR]] / ('Earth Elemental'!$D$6 / 10.8)), 1)</f>
        <v>7</v>
      </c>
      <c r="S31" s="15">
        <f>CEILING('Wind Elemental'!$B$6/ IF('Wind Elemental'!$D$6&lt; 10.8, Table15[[#This Row],[STR]], Table15[[#This Row],[STR]] / ('Wind Elemental'!$D$6 / 10.8)), 1)</f>
        <v>6</v>
      </c>
      <c r="T31" s="15">
        <f>CEILING('Water Elemental'!$B$6/ IF('Water Elemental'!$D$6&lt; 10.8, Table15[[#This Row],[STR]], Table15[[#This Row],[STR]] / ('Water Elemental'!$D$6 / 10.8)), 1)</f>
        <v>9</v>
      </c>
      <c r="U31" s="15">
        <f>CEILING('Fire Elemental'!$B$4/ IF('Fire Elemental'!$D$4&lt; 10.8, Table15[[#This Row],[STR]], Table15[[#This Row],[STR]] / ('Fire Elemental'!$D$4 / 10.8)), 1)</f>
        <v>11</v>
      </c>
      <c r="V31" s="12">
        <f>CEILING(Wyvern!$B$4/ IF(Wyvern!$D$4&lt; 10.8, Table15[[#This Row],[STR]], Table15[[#This Row],[STR]] / (Wyvern!$D$4 / 10.8)), 1)</f>
        <v>15</v>
      </c>
      <c r="W31" s="12">
        <f>CEILING('Evolved Wyvern'!$B$4/ IF('Evolved Wyvern'!$D$4&lt; 10.8, Table15[[#This Row],[STR]], Table15[[#This Row],[STR]] / ('Evolved Wyvern'!$D$4 / 10.8)), 1)</f>
        <v>21</v>
      </c>
      <c r="X31" s="12">
        <f>CEILING(Dragon!$B$4/ IF(Dragon!$D$4&lt; 10.8, Table15[[#This Row],[STR]], Table15[[#This Row],[STR]] / (Dragon!$D$4 / 10.8)), 1)</f>
        <v>34</v>
      </c>
      <c r="Z31" s="8">
        <f>CEILING('Blue Slime'!$M$5/ IF('Blue Slime'!$O$5&lt; 10.8, Table15[[#This Row],[STR]], Table15[[#This Row],[STR]] / ('Blue Slime'!$O$5 / 10.8)), 1)</f>
        <v>1</v>
      </c>
      <c r="AA31" s="8">
        <f>CEILING('Green Slime'!$M$5/ IF('Green Slime'!$O$5&lt; 10.8, Table15[[#This Row],[STR]], Table15[[#This Row],[STR]] / ('Green Slime'!$O$5 / 10.8)), 1)</f>
        <v>1</v>
      </c>
      <c r="AB31" s="8">
        <f>CEILING(Wolf!$M$6/ IF(Wolf!$O$6&lt; 10.8, Table15[[#This Row],[STR]], Table15[[#This Row],[STR]] / (Wolf!$O$6 / 10.8)), 1)</f>
        <v>2</v>
      </c>
      <c r="AC31" s="8">
        <f>CEILING('Horned Wolf'!$M$5/ IF('Horned Wolf'!$O$5&lt; 10.8, Table15[[#This Row],[STR]], Table15[[#This Row],[STR]] / ('Horned Wolf'!$O$5 / 10.8)), 1)</f>
        <v>6</v>
      </c>
      <c r="AD31" s="8">
        <f>CEILING(Spider!$M$7/ IF(Spider!$O$7&lt; 10.8, Table15[[#This Row],[STR]], Table15[[#This Row],[STR]] / (Spider!$O$7 / 10.8)), 1)</f>
        <v>5</v>
      </c>
      <c r="AE31" s="8">
        <f>CEILING('Evolved Spider'!$M$8/ IF('Evolved Spider'!$O$8&lt; 10.8, Table15[[#This Row],[STR]], Table15[[#This Row],[STR]] / ('Evolved Spider'!$O$8 / 10.8)), 1)</f>
        <v>10</v>
      </c>
      <c r="AF31" s="8">
        <f>CEILING(Arachne!$M$4/ IF(Arachne!$O$4&lt; 10.8, Table15[[#This Row],[STR]], Table15[[#This Row],[STR]] / (Arachne!$O$4 / 10.8)), 1)</f>
        <v>13</v>
      </c>
      <c r="AG31" s="15">
        <f>CEILING('Earth Elemental'!$M$6/ IF('Earth Elemental'!$O$6&lt; 10.8, Table15[[#This Row],[STR]], Table15[[#This Row],[STR]] / ('Earth Elemental'!$O$6 / 10.8)), 1)</f>
        <v>12</v>
      </c>
      <c r="AH31" s="15">
        <f>CEILING('Wind Elemental'!$M$6/ IF('Wind Elemental'!$O$6&lt; 10.8, Table15[[#This Row],[STR]], Table15[[#This Row],[STR]] / ('Wind Elemental'!$O$6 / 10.8)), 1)</f>
        <v>10</v>
      </c>
      <c r="AI31" s="15">
        <f>CEILING('Water Elemental'!$M$6/ IF('Water Elemental'!$O$6&lt; 10.8, Table15[[#This Row],[STR]], Table15[[#This Row],[STR]] / ('Water Elemental'!$O$6 / 10.8)), 1)</f>
        <v>14</v>
      </c>
      <c r="AJ31" s="15">
        <f>CEILING('Fire Elemental'!$M$4/ IF('Fire Elemental'!$O$4&lt; 10.8, Table15[[#This Row],[STR]], Table15[[#This Row],[STR]] / ('Fire Elemental'!$O$4 / 10.8)), 1)</f>
        <v>20</v>
      </c>
      <c r="AK31" s="12">
        <f>CEILING(Wyvern!$M$4/ IF(Wyvern!$O$4&lt; 10.8, Table15[[#This Row],[STR]], Table15[[#This Row],[STR]] / (Wyvern!$O$4 / 10.8)), 1)</f>
        <v>25</v>
      </c>
      <c r="AL31" s="12">
        <f>CEILING('Evolved Wyvern'!$M$4/ IF('Evolved Wyvern'!$O$4&lt; 10.8, Table15[[#This Row],[STR]], Table15[[#This Row],[STR]] / ('Evolved Wyvern'!$O$4 / 10.8)), 1)</f>
        <v>33</v>
      </c>
      <c r="AM31" s="12">
        <f>CEILING(Dragon!$M$4/ IF(Dragon!$O$4&lt; 10.8, Table15[[#This Row],[STR]], Table15[[#This Row],[STR]] / (Dragon!$O$4 / 10.8)), 1)</f>
        <v>55</v>
      </c>
      <c r="AO31" s="8">
        <f>CEILING('Blue Slime'!$Z$5/ IF('Blue Slime'!$X$5&lt; 10.8, Table15[[#This Row],[STR]], Table15[[#This Row],[STR]] / ('Blue Slime'!$X$5 / 10.8)), 1)</f>
        <v>1</v>
      </c>
      <c r="AP31" s="8">
        <f>CEILING('Green Slime'!$Z$5/ IF('Green Slime'!$X$5&lt; 10.8, Table15[[#This Row],[STR]], Table15[[#This Row],[STR]] / ('Green Slime'!$X$5 / 10.8)), 1)</f>
        <v>2</v>
      </c>
      <c r="AQ31" s="8">
        <f>CEILING(Wolf!$Z$6/ IF(Wolf!$X$6&lt; 10.8, Table15[[#This Row],[STR]], Table15[[#This Row],[STR]] / (Wolf!$X$6 / 10.8)), 1)</f>
        <v>4</v>
      </c>
      <c r="AR31" s="8">
        <f>CEILING('Horned Wolf'!$Z$5/ IF('Horned Wolf'!$X$5&lt; 10.8, Table15[[#This Row],[STR]], Table15[[#This Row],[STR]] / ('Horned Wolf'!$X$5 / 10.8)), 1)</f>
        <v>10</v>
      </c>
      <c r="AS31" s="8">
        <f>CEILING(Spider!$Z$7/ IF(Spider!$X$7&lt; 10.8, Table15[[#This Row],[STR]], Table15[[#This Row],[STR]] / (Spider!$X$7 / 10.8)), 1)</f>
        <v>9</v>
      </c>
      <c r="AT31" s="8">
        <f>CEILING('Evolved Spider'!$Z$8/ IF('Evolved Spider'!$X$8&lt; 10.8, Table15[[#This Row],[STR]], Table15[[#This Row],[STR]] / ('Evolved Spider'!$X$8 / 10.8)), 1)</f>
        <v>15</v>
      </c>
      <c r="AU31" s="8">
        <f>CEILING(Arachne!$Z$4/ IF(Arachne!$X$4&lt; 10.8, Table15[[#This Row],[STR]], Table15[[#This Row],[STR]] / (Arachne!$X$4 / 10.8)), 1)</f>
        <v>21</v>
      </c>
      <c r="AV31" s="15">
        <f>CEILING('Earth Elemental'!$Z$6/ IF('Earth Elemental'!$X$6&lt; 10.8, Table15[[#This Row],[STR]], Table15[[#This Row],[STR]] / ('Earth Elemental'!$X$6 / 10.8)), 1)</f>
        <v>18</v>
      </c>
      <c r="AW31" s="15">
        <f>CEILING('Wind Elemental'!$Z$6/ IF('Wind Elemental'!$X$6&lt; 10.8, Table15[[#This Row],[STR]], Table15[[#This Row],[STR]] / ('Wind Elemental'!$X$6 / 10.8)), 1)</f>
        <v>14</v>
      </c>
      <c r="AX31" s="15">
        <f>CEILING('Water Elemental'!$Z$6/ IF('Water Elemental'!$X$6&lt; 10.8, Table15[[#This Row],[STR]], Table15[[#This Row],[STR]] / ('Water Elemental'!$X$6 / 10.8)), 1)</f>
        <v>19</v>
      </c>
      <c r="AY31" s="15">
        <f>CEILING('Fire Elemental'!$Z$4/ IF('Fire Elemental'!$X$4&lt; 10.8, Table15[[#This Row],[STR]], Table15[[#This Row],[STR]] / ('Fire Elemental'!$X$4 / 10.8)), 1)</f>
        <v>30</v>
      </c>
      <c r="AZ31" s="12">
        <f>CEILING(Wyvern!$Z$4/ IF(Wyvern!$X$4&lt; 10.8, Table15[[#This Row],[STR]], Table15[[#This Row],[STR]] / (Wyvern!$X$4 / 10.8)), 1)</f>
        <v>36</v>
      </c>
      <c r="BA31" s="12">
        <f>CEILING('Evolved Wyvern'!$Z$4/ IF('Evolved Wyvern'!$X$4&lt; 10.8, Table15[[#This Row],[STR]], Table15[[#This Row],[STR]] / ('Evolved Wyvern'!$X$4 / 10.8)), 1)</f>
        <v>46</v>
      </c>
      <c r="BB31" s="12">
        <f>CEILING(Dragon!$Z$4/ IF(Dragon!$X$4&lt; 10.8, Table15[[#This Row],[STR]], Table15[[#This Row],[STR]] / (Dragon!$X$4 / 10.8)), 1)</f>
        <v>78</v>
      </c>
    </row>
    <row r="32" spans="1:54" x14ac:dyDescent="0.3">
      <c r="A32" s="1">
        <v>30</v>
      </c>
      <c r="B32" s="1">
        <f>$B$3 + ((Table15[[#This Row],[Level]] / 10) + $B$3 / 8) * Table15[[#This Row],[Level]] + Equipment!$D$26</f>
        <v>175.5</v>
      </c>
      <c r="C32" s="1">
        <f xml:space="preserve"> 2*Table15[[#This Row],[INT]]</f>
        <v>176</v>
      </c>
      <c r="D32" s="1">
        <f>$D$3 + ($D$3 / 4) * Table15[[#This Row],[Level]] + Equipment!$E$26</f>
        <v>57.5</v>
      </c>
      <c r="E32" s="1">
        <f>$E$3 + ($E$3 / 4) * Table15[[#This Row],[Level]] + Equipment!$F$26</f>
        <v>69</v>
      </c>
      <c r="F32" s="1">
        <f>$F$3 + ($F$3 / 4) * Table15[[#This Row],[Level]] + Equipment!$G$26</f>
        <v>80.5</v>
      </c>
      <c r="G32" s="1">
        <f>$G$3 + ($G$3 / 4) * Table15[[#This Row],[Level]] + Equipment!$H$26</f>
        <v>88</v>
      </c>
      <c r="H32" s="1">
        <f>$H$3 + ($H$3 / 4) * Table15[[#This Row],[Level]] + Equipment!$I$26</f>
        <v>69</v>
      </c>
      <c r="I32" s="1">
        <f xml:space="preserve"> (4 * (Table15[[#This Row],[Level]] ^ 3))/7 + $I$3</f>
        <v>15528.571428571429</v>
      </c>
      <c r="K32" s="8">
        <f>CEILING('Blue Slime'!$B$5/ IF('Blue Slime'!$D$5&lt; 10.8, Table15[[#This Row],[STR]], Table15[[#This Row],[STR]] / ('Blue Slime'!$D$5 / 10.8)), 1)</f>
        <v>1</v>
      </c>
      <c r="L32" s="8">
        <f>CEILING('Green Slime'!$B$5/ IF('Green Slime'!$D$5&lt; 10.8, Table15[[#This Row],[STR]], Table15[[#This Row],[STR]] / ('Green Slime'!$D$5 / 10.8)), 1)</f>
        <v>1</v>
      </c>
      <c r="M32" s="8">
        <f>CEILING(Wolf!$B$6/ IF(Wolf!$D$6&lt; 10.8, Table15[[#This Row],[STR]], Table15[[#This Row],[STR]] / (Wolf!$D$6 / 10.8)), 1)</f>
        <v>1</v>
      </c>
      <c r="N32" s="8">
        <f>CEILING('Horned Wolf'!$B$5/ IF('Horned Wolf'!$D$5&lt; 10.8, Table15[[#This Row],[STR]], Table15[[#This Row],[STR]] / ('Horned Wolf'!$D$5 / 10.8)), 1)</f>
        <v>3</v>
      </c>
      <c r="O32" s="8">
        <f>CEILING(Spider!$B$7/ IF(Spider!$D$7&lt; 10.8, Table15[[#This Row],[STR]], Table15[[#This Row],[STR]] / (Spider!$D$7 / 10.8)), 1)</f>
        <v>3</v>
      </c>
      <c r="P32" s="8">
        <f>CEILING('Evolved Spider'!$B$8/ IF('Evolved Spider'!$D$8&lt; 10.8, Table15[[#This Row],[STR]], Table15[[#This Row],[STR]] / ('Evolved Spider'!$D$8 / 10.8)), 1)</f>
        <v>5</v>
      </c>
      <c r="Q32" s="8">
        <f>CEILING(Arachne!$B$4/ IF(Arachne!$D$4&lt; 10.8, Table15[[#This Row],[STR]], Table15[[#This Row],[STR]] / (Arachne!$D$4 / 10.8)), 1)</f>
        <v>7</v>
      </c>
      <c r="R32" s="15">
        <f>CEILING('Earth Elemental'!$B$6/ IF('Earth Elemental'!$D$6&lt; 10.8, Table15[[#This Row],[STR]], Table15[[#This Row],[STR]] / ('Earth Elemental'!$D$6 / 10.8)), 1)</f>
        <v>7</v>
      </c>
      <c r="S32" s="15">
        <f>CEILING('Wind Elemental'!$B$6/ IF('Wind Elemental'!$D$6&lt; 10.8, Table15[[#This Row],[STR]], Table15[[#This Row],[STR]] / ('Wind Elemental'!$D$6 / 10.8)), 1)</f>
        <v>6</v>
      </c>
      <c r="T32" s="15">
        <f>CEILING('Water Elemental'!$B$6/ IF('Water Elemental'!$D$6&lt; 10.8, Table15[[#This Row],[STR]], Table15[[#This Row],[STR]] / ('Water Elemental'!$D$6 / 10.8)), 1)</f>
        <v>9</v>
      </c>
      <c r="U32" s="15">
        <f>CEILING('Fire Elemental'!$B$4/ IF('Fire Elemental'!$D$4&lt; 10.8, Table15[[#This Row],[STR]], Table15[[#This Row],[STR]] / ('Fire Elemental'!$D$4 / 10.8)), 1)</f>
        <v>11</v>
      </c>
      <c r="V32" s="12">
        <f>CEILING(Wyvern!$B$4/ IF(Wyvern!$D$4&lt; 10.8, Table15[[#This Row],[STR]], Table15[[#This Row],[STR]] / (Wyvern!$D$4 / 10.8)), 1)</f>
        <v>15</v>
      </c>
      <c r="W32" s="12">
        <f>CEILING('Evolved Wyvern'!$B$4/ IF('Evolved Wyvern'!$D$4&lt; 10.8, Table15[[#This Row],[STR]], Table15[[#This Row],[STR]] / ('Evolved Wyvern'!$D$4 / 10.8)), 1)</f>
        <v>21</v>
      </c>
      <c r="X32" s="12">
        <f>CEILING(Dragon!$B$4/ IF(Dragon!$D$4&lt; 10.8, Table15[[#This Row],[STR]], Table15[[#This Row],[STR]] / (Dragon!$D$4 / 10.8)), 1)</f>
        <v>34</v>
      </c>
      <c r="Z32" s="8">
        <f>CEILING('Blue Slime'!$M$5/ IF('Blue Slime'!$O$5&lt; 10.8, Table15[[#This Row],[STR]], Table15[[#This Row],[STR]] / ('Blue Slime'!$O$5 / 10.8)), 1)</f>
        <v>1</v>
      </c>
      <c r="AA32" s="8">
        <f>CEILING('Green Slime'!$M$5/ IF('Green Slime'!$O$5&lt; 10.8, Table15[[#This Row],[STR]], Table15[[#This Row],[STR]] / ('Green Slime'!$O$5 / 10.8)), 1)</f>
        <v>1</v>
      </c>
      <c r="AB32" s="8">
        <f>CEILING(Wolf!$M$6/ IF(Wolf!$O$6&lt; 10.8, Table15[[#This Row],[STR]], Table15[[#This Row],[STR]] / (Wolf!$O$6 / 10.8)), 1)</f>
        <v>2</v>
      </c>
      <c r="AC32" s="8">
        <f>CEILING('Horned Wolf'!$M$5/ IF('Horned Wolf'!$O$5&lt; 10.8, Table15[[#This Row],[STR]], Table15[[#This Row],[STR]] / ('Horned Wolf'!$O$5 / 10.8)), 1)</f>
        <v>6</v>
      </c>
      <c r="AD32" s="8">
        <f>CEILING(Spider!$M$7/ IF(Spider!$O$7&lt; 10.8, Table15[[#This Row],[STR]], Table15[[#This Row],[STR]] / (Spider!$O$7 / 10.8)), 1)</f>
        <v>5</v>
      </c>
      <c r="AE32" s="8">
        <f>CEILING('Evolved Spider'!$M$8/ IF('Evolved Spider'!$O$8&lt; 10.8, Table15[[#This Row],[STR]], Table15[[#This Row],[STR]] / ('Evolved Spider'!$O$8 / 10.8)), 1)</f>
        <v>9</v>
      </c>
      <c r="AF32" s="8">
        <f>CEILING(Arachne!$M$4/ IF(Arachne!$O$4&lt; 10.8, Table15[[#This Row],[STR]], Table15[[#This Row],[STR]] / (Arachne!$O$4 / 10.8)), 1)</f>
        <v>13</v>
      </c>
      <c r="AG32" s="15">
        <f>CEILING('Earth Elemental'!$M$6/ IF('Earth Elemental'!$O$6&lt; 10.8, Table15[[#This Row],[STR]], Table15[[#This Row],[STR]] / ('Earth Elemental'!$O$6 / 10.8)), 1)</f>
        <v>11</v>
      </c>
      <c r="AH32" s="15">
        <f>CEILING('Wind Elemental'!$M$6/ IF('Wind Elemental'!$O$6&lt; 10.8, Table15[[#This Row],[STR]], Table15[[#This Row],[STR]] / ('Wind Elemental'!$O$6 / 10.8)), 1)</f>
        <v>9</v>
      </c>
      <c r="AI32" s="15">
        <f>CEILING('Water Elemental'!$M$6/ IF('Water Elemental'!$O$6&lt; 10.8, Table15[[#This Row],[STR]], Table15[[#This Row],[STR]] / ('Water Elemental'!$O$6 / 10.8)), 1)</f>
        <v>13</v>
      </c>
      <c r="AJ32" s="15">
        <f>CEILING('Fire Elemental'!$M$4/ IF('Fire Elemental'!$O$4&lt; 10.8, Table15[[#This Row],[STR]], Table15[[#This Row],[STR]] / ('Fire Elemental'!$O$4 / 10.8)), 1)</f>
        <v>19</v>
      </c>
      <c r="AK32" s="12">
        <f>CEILING(Wyvern!$M$4/ IF(Wyvern!$O$4&lt; 10.8, Table15[[#This Row],[STR]], Table15[[#This Row],[STR]] / (Wyvern!$O$4 / 10.8)), 1)</f>
        <v>25</v>
      </c>
      <c r="AL32" s="12">
        <f>CEILING('Evolved Wyvern'!$M$4/ IF('Evolved Wyvern'!$O$4&lt; 10.8, Table15[[#This Row],[STR]], Table15[[#This Row],[STR]] / ('Evolved Wyvern'!$O$4 / 10.8)), 1)</f>
        <v>32</v>
      </c>
      <c r="AM32" s="12">
        <f>CEILING(Dragon!$M$4/ IF(Dragon!$O$4&lt; 10.8, Table15[[#This Row],[STR]], Table15[[#This Row],[STR]] / (Dragon!$O$4 / 10.8)), 1)</f>
        <v>54</v>
      </c>
      <c r="AO32" s="8">
        <f>CEILING('Blue Slime'!$Z$5/ IF('Blue Slime'!$X$5&lt; 10.8, Table15[[#This Row],[STR]], Table15[[#This Row],[STR]] / ('Blue Slime'!$X$5 / 10.8)), 1)</f>
        <v>1</v>
      </c>
      <c r="AP32" s="8">
        <f>CEILING('Green Slime'!$Z$5/ IF('Green Slime'!$X$5&lt; 10.8, Table15[[#This Row],[STR]], Table15[[#This Row],[STR]] / ('Green Slime'!$X$5 / 10.8)), 1)</f>
        <v>2</v>
      </c>
      <c r="AQ32" s="8">
        <f>CEILING(Wolf!$Z$6/ IF(Wolf!$X$6&lt; 10.8, Table15[[#This Row],[STR]], Table15[[#This Row],[STR]] / (Wolf!$X$6 / 10.8)), 1)</f>
        <v>4</v>
      </c>
      <c r="AR32" s="8">
        <f>CEILING('Horned Wolf'!$Z$5/ IF('Horned Wolf'!$X$5&lt; 10.8, Table15[[#This Row],[STR]], Table15[[#This Row],[STR]] / ('Horned Wolf'!$X$5 / 10.8)), 1)</f>
        <v>10</v>
      </c>
      <c r="AS32" s="8">
        <f>CEILING(Spider!$Z$7/ IF(Spider!$X$7&lt; 10.8, Table15[[#This Row],[STR]], Table15[[#This Row],[STR]] / (Spider!$X$7 / 10.8)), 1)</f>
        <v>9</v>
      </c>
      <c r="AT32" s="8">
        <f>CEILING('Evolved Spider'!$Z$8/ IF('Evolved Spider'!$X$8&lt; 10.8, Table15[[#This Row],[STR]], Table15[[#This Row],[STR]] / ('Evolved Spider'!$X$8 / 10.8)), 1)</f>
        <v>15</v>
      </c>
      <c r="AU32" s="8">
        <f>CEILING(Arachne!$Z$4/ IF(Arachne!$X$4&lt; 10.8, Table15[[#This Row],[STR]], Table15[[#This Row],[STR]] / (Arachne!$X$4 / 10.8)), 1)</f>
        <v>20</v>
      </c>
      <c r="AV32" s="15">
        <f>CEILING('Earth Elemental'!$Z$6/ IF('Earth Elemental'!$X$6&lt; 10.8, Table15[[#This Row],[STR]], Table15[[#This Row],[STR]] / ('Earth Elemental'!$X$6 / 10.8)), 1)</f>
        <v>17</v>
      </c>
      <c r="AW32" s="15">
        <f>CEILING('Wind Elemental'!$Z$6/ IF('Wind Elemental'!$X$6&lt; 10.8, Table15[[#This Row],[STR]], Table15[[#This Row],[STR]] / ('Wind Elemental'!$X$6 / 10.8)), 1)</f>
        <v>13</v>
      </c>
      <c r="AX32" s="15">
        <f>CEILING('Water Elemental'!$Z$6/ IF('Water Elemental'!$X$6&lt; 10.8, Table15[[#This Row],[STR]], Table15[[#This Row],[STR]] / ('Water Elemental'!$X$6 / 10.8)), 1)</f>
        <v>18</v>
      </c>
      <c r="AY32" s="15">
        <f>CEILING('Fire Elemental'!$Z$4/ IF('Fire Elemental'!$X$4&lt; 10.8, Table15[[#This Row],[STR]], Table15[[#This Row],[STR]] / ('Fire Elemental'!$X$4 / 10.8)), 1)</f>
        <v>29</v>
      </c>
      <c r="AZ32" s="12">
        <f>CEILING(Wyvern!$Z$4/ IF(Wyvern!$X$4&lt; 10.8, Table15[[#This Row],[STR]], Table15[[#This Row],[STR]] / (Wyvern!$X$4 / 10.8)), 1)</f>
        <v>35</v>
      </c>
      <c r="BA32" s="12">
        <f>CEILING('Evolved Wyvern'!$Z$4/ IF('Evolved Wyvern'!$X$4&lt; 10.8, Table15[[#This Row],[STR]], Table15[[#This Row],[STR]] / ('Evolved Wyvern'!$X$4 / 10.8)), 1)</f>
        <v>45</v>
      </c>
      <c r="BB32" s="12">
        <f>CEILING(Dragon!$Z$4/ IF(Dragon!$X$4&lt; 10.8, Table15[[#This Row],[STR]], Table15[[#This Row],[STR]] / (Dragon!$X$4 / 10.8)), 1)</f>
        <v>76</v>
      </c>
    </row>
    <row r="33" spans="1:54" x14ac:dyDescent="0.3">
      <c r="A33" s="1">
        <v>31</v>
      </c>
      <c r="B33" s="1">
        <f>$B$3 + ((Table15[[#This Row],[Level]] / 10) + $B$3 / 8) * Table15[[#This Row],[Level]] + Equipment!$D$26</f>
        <v>182.85</v>
      </c>
      <c r="C33" s="1">
        <f xml:space="preserve"> 2*Table15[[#This Row],[INT]]</f>
        <v>180</v>
      </c>
      <c r="D33" s="1">
        <f>$D$3 + ($D$3 / 4) * Table15[[#This Row],[Level]] + Equipment!$E$26</f>
        <v>58.75</v>
      </c>
      <c r="E33" s="1">
        <f>$E$3 + ($E$3 / 4) * Table15[[#This Row],[Level]] + Equipment!$F$26</f>
        <v>70.5</v>
      </c>
      <c r="F33" s="1">
        <f>$F$3 + ($F$3 / 4) * Table15[[#This Row],[Level]] + Equipment!$G$26</f>
        <v>82.25</v>
      </c>
      <c r="G33" s="1">
        <f>$G$3 + ($G$3 / 4) * Table15[[#This Row],[Level]] + Equipment!$H$26</f>
        <v>90</v>
      </c>
      <c r="H33" s="1">
        <f>$H$3 + ($H$3 / 4) * Table15[[#This Row],[Level]] + Equipment!$I$26</f>
        <v>70.5</v>
      </c>
      <c r="I33" s="1">
        <f xml:space="preserve"> (4 * (Table15[[#This Row],[Level]] ^ 3))/7 + $I$3</f>
        <v>17123.428571428572</v>
      </c>
      <c r="K33" s="8">
        <f>CEILING('Blue Slime'!$B$5/ IF('Blue Slime'!$D$5&lt; 10.8, Table15[[#This Row],[STR]], Table15[[#This Row],[STR]] / ('Blue Slime'!$D$5 / 10.8)), 1)</f>
        <v>1</v>
      </c>
      <c r="L33" s="8">
        <f>CEILING('Green Slime'!$B$5/ IF('Green Slime'!$D$5&lt; 10.8, Table15[[#This Row],[STR]], Table15[[#This Row],[STR]] / ('Green Slime'!$D$5 / 10.8)), 1)</f>
        <v>1</v>
      </c>
      <c r="M33" s="8">
        <f>CEILING(Wolf!$B$6/ IF(Wolf!$D$6&lt; 10.8, Table15[[#This Row],[STR]], Table15[[#This Row],[STR]] / (Wolf!$D$6 / 10.8)), 1)</f>
        <v>1</v>
      </c>
      <c r="N33" s="8">
        <f>CEILING('Horned Wolf'!$B$5/ IF('Horned Wolf'!$D$5&lt; 10.8, Table15[[#This Row],[STR]], Table15[[#This Row],[STR]] / ('Horned Wolf'!$D$5 / 10.8)), 1)</f>
        <v>3</v>
      </c>
      <c r="O33" s="8">
        <f>CEILING(Spider!$B$7/ IF(Spider!$D$7&lt; 10.8, Table15[[#This Row],[STR]], Table15[[#This Row],[STR]] / (Spider!$D$7 / 10.8)), 1)</f>
        <v>3</v>
      </c>
      <c r="P33" s="8">
        <f>CEILING('Evolved Spider'!$B$8/ IF('Evolved Spider'!$D$8&lt; 10.8, Table15[[#This Row],[STR]], Table15[[#This Row],[STR]] / ('Evolved Spider'!$D$8 / 10.8)), 1)</f>
        <v>5</v>
      </c>
      <c r="Q33" s="8">
        <f>CEILING(Arachne!$B$4/ IF(Arachne!$D$4&lt; 10.8, Table15[[#This Row],[STR]], Table15[[#This Row],[STR]] / (Arachne!$D$4 / 10.8)), 1)</f>
        <v>6</v>
      </c>
      <c r="R33" s="12">
        <f>CEILING('Earth Elemental'!$B$6/ IF('Earth Elemental'!$D$6&lt; 10.8, Table15[[#This Row],[STR]], Table15[[#This Row],[STR]] / ('Earth Elemental'!$D$6 / 10.8)), 1)</f>
        <v>7</v>
      </c>
      <c r="S33" s="12">
        <f>CEILING('Wind Elemental'!$B$6/ IF('Wind Elemental'!$D$6&lt; 10.8, Table15[[#This Row],[STR]], Table15[[#This Row],[STR]] / ('Wind Elemental'!$D$6 / 10.8)), 1)</f>
        <v>6</v>
      </c>
      <c r="T33" s="12">
        <f>CEILING('Water Elemental'!$B$6/ IF('Water Elemental'!$D$6&lt; 10.8, Table15[[#This Row],[STR]], Table15[[#This Row],[STR]] / ('Water Elemental'!$D$6 / 10.8)), 1)</f>
        <v>9</v>
      </c>
      <c r="U33" s="12">
        <f>CEILING('Fire Elemental'!$B$4/ IF('Fire Elemental'!$D$4&lt; 10.8, Table15[[#This Row],[STR]], Table15[[#This Row],[STR]] / ('Fire Elemental'!$D$4 / 10.8)), 1)</f>
        <v>11</v>
      </c>
      <c r="V33" s="15">
        <f>CEILING(Wyvern!$B$4/ IF(Wyvern!$D$4&lt; 10.8, Table15[[#This Row],[STR]], Table15[[#This Row],[STR]] / (Wyvern!$D$4 / 10.8)), 1)</f>
        <v>15</v>
      </c>
      <c r="W33" s="15">
        <f>CEILING('Evolved Wyvern'!$B$4/ IF('Evolved Wyvern'!$D$4&lt; 10.8, Table15[[#This Row],[STR]], Table15[[#This Row],[STR]] / ('Evolved Wyvern'!$D$4 / 10.8)), 1)</f>
        <v>20</v>
      </c>
      <c r="X33" s="15">
        <f>CEILING(Dragon!$B$4/ IF(Dragon!$D$4&lt; 10.8, Table15[[#This Row],[STR]], Table15[[#This Row],[STR]] / (Dragon!$D$4 / 10.8)), 1)</f>
        <v>33</v>
      </c>
      <c r="Z33" s="8">
        <f>CEILING('Blue Slime'!$M$5/ IF('Blue Slime'!$O$5&lt; 10.8, Table15[[#This Row],[STR]], Table15[[#This Row],[STR]] / ('Blue Slime'!$O$5 / 10.8)), 1)</f>
        <v>1</v>
      </c>
      <c r="AA33" s="8">
        <f>CEILING('Green Slime'!$M$5/ IF('Green Slime'!$O$5&lt; 10.8, Table15[[#This Row],[STR]], Table15[[#This Row],[STR]] / ('Green Slime'!$O$5 / 10.8)), 1)</f>
        <v>1</v>
      </c>
      <c r="AB33" s="8">
        <f>CEILING(Wolf!$M$6/ IF(Wolf!$O$6&lt; 10.8, Table15[[#This Row],[STR]], Table15[[#This Row],[STR]] / (Wolf!$O$6 / 10.8)), 1)</f>
        <v>2</v>
      </c>
      <c r="AC33" s="8">
        <f>CEILING('Horned Wolf'!$M$5/ IF('Horned Wolf'!$O$5&lt; 10.8, Table15[[#This Row],[STR]], Table15[[#This Row],[STR]] / ('Horned Wolf'!$O$5 / 10.8)), 1)</f>
        <v>6</v>
      </c>
      <c r="AD33" s="8">
        <f>CEILING(Spider!$M$7/ IF(Spider!$O$7&lt; 10.8, Table15[[#This Row],[STR]], Table15[[#This Row],[STR]] / (Spider!$O$7 / 10.8)), 1)</f>
        <v>5</v>
      </c>
      <c r="AE33" s="8">
        <f>CEILING('Evolved Spider'!$M$8/ IF('Evolved Spider'!$O$8&lt; 10.8, Table15[[#This Row],[STR]], Table15[[#This Row],[STR]] / ('Evolved Spider'!$O$8 / 10.8)), 1)</f>
        <v>9</v>
      </c>
      <c r="AF33" s="8">
        <f>CEILING(Arachne!$M$4/ IF(Arachne!$O$4&lt; 10.8, Table15[[#This Row],[STR]], Table15[[#This Row],[STR]] / (Arachne!$O$4 / 10.8)), 1)</f>
        <v>12</v>
      </c>
      <c r="AG33" s="12">
        <f>CEILING('Earth Elemental'!$M$6/ IF('Earth Elemental'!$O$6&lt; 10.8, Table15[[#This Row],[STR]], Table15[[#This Row],[STR]] / ('Earth Elemental'!$O$6 / 10.8)), 1)</f>
        <v>11</v>
      </c>
      <c r="AH33" s="12">
        <f>CEILING('Wind Elemental'!$M$6/ IF('Wind Elemental'!$O$6&lt; 10.8, Table15[[#This Row],[STR]], Table15[[#This Row],[STR]] / ('Wind Elemental'!$O$6 / 10.8)), 1)</f>
        <v>9</v>
      </c>
      <c r="AI33" s="12">
        <f>CEILING('Water Elemental'!$M$6/ IF('Water Elemental'!$O$6&lt; 10.8, Table15[[#This Row],[STR]], Table15[[#This Row],[STR]] / ('Water Elemental'!$O$6 / 10.8)), 1)</f>
        <v>13</v>
      </c>
      <c r="AJ33" s="12">
        <f>CEILING('Fire Elemental'!$M$4/ IF('Fire Elemental'!$O$4&lt; 10.8, Table15[[#This Row],[STR]], Table15[[#This Row],[STR]] / ('Fire Elemental'!$O$4 / 10.8)), 1)</f>
        <v>19</v>
      </c>
      <c r="AK33" s="15">
        <f>CEILING(Wyvern!$M$4/ IF(Wyvern!$O$4&lt; 10.8, Table15[[#This Row],[STR]], Table15[[#This Row],[STR]] / (Wyvern!$O$4 / 10.8)), 1)</f>
        <v>24</v>
      </c>
      <c r="AL33" s="15">
        <f>CEILING('Evolved Wyvern'!$M$4/ IF('Evolved Wyvern'!$O$4&lt; 10.8, Table15[[#This Row],[STR]], Table15[[#This Row],[STR]] / ('Evolved Wyvern'!$O$4 / 10.8)), 1)</f>
        <v>32</v>
      </c>
      <c r="AM33" s="15">
        <f>CEILING(Dragon!$M$4/ IF(Dragon!$O$4&lt; 10.8, Table15[[#This Row],[STR]], Table15[[#This Row],[STR]] / (Dragon!$O$4 / 10.8)), 1)</f>
        <v>53</v>
      </c>
      <c r="AO33" s="8">
        <f>CEILING('Blue Slime'!$Z$5/ IF('Blue Slime'!$X$5&lt; 10.8, Table15[[#This Row],[STR]], Table15[[#This Row],[STR]] / ('Blue Slime'!$X$5 / 10.8)), 1)</f>
        <v>1</v>
      </c>
      <c r="AP33" s="8">
        <f>CEILING('Green Slime'!$Z$5/ IF('Green Slime'!$X$5&lt; 10.8, Table15[[#This Row],[STR]], Table15[[#This Row],[STR]] / ('Green Slime'!$X$5 / 10.8)), 1)</f>
        <v>2</v>
      </c>
      <c r="AQ33" s="8">
        <f>CEILING(Wolf!$Z$6/ IF(Wolf!$X$6&lt; 10.8, Table15[[#This Row],[STR]], Table15[[#This Row],[STR]] / (Wolf!$X$6 / 10.8)), 1)</f>
        <v>4</v>
      </c>
      <c r="AR33" s="8">
        <f>CEILING('Horned Wolf'!$Z$5/ IF('Horned Wolf'!$X$5&lt; 10.8, Table15[[#This Row],[STR]], Table15[[#This Row],[STR]] / ('Horned Wolf'!$X$5 / 10.8)), 1)</f>
        <v>9</v>
      </c>
      <c r="AS33" s="8">
        <f>CEILING(Spider!$Z$7/ IF(Spider!$X$7&lt; 10.8, Table15[[#This Row],[STR]], Table15[[#This Row],[STR]] / (Spider!$X$7 / 10.8)), 1)</f>
        <v>8</v>
      </c>
      <c r="AT33" s="8">
        <f>CEILING('Evolved Spider'!$Z$8/ IF('Evolved Spider'!$X$8&lt; 10.8, Table15[[#This Row],[STR]], Table15[[#This Row],[STR]] / ('Evolved Spider'!$X$8 / 10.8)), 1)</f>
        <v>15</v>
      </c>
      <c r="AU33" s="8">
        <f>CEILING(Arachne!$Z$4/ IF(Arachne!$X$4&lt; 10.8, Table15[[#This Row],[STR]], Table15[[#This Row],[STR]] / (Arachne!$X$4 / 10.8)), 1)</f>
        <v>20</v>
      </c>
      <c r="AV33" s="12">
        <f>CEILING('Earth Elemental'!$Z$6/ IF('Earth Elemental'!$X$6&lt; 10.8, Table15[[#This Row],[STR]], Table15[[#This Row],[STR]] / ('Earth Elemental'!$X$6 / 10.8)), 1)</f>
        <v>17</v>
      </c>
      <c r="AW33" s="12">
        <f>CEILING('Wind Elemental'!$Z$6/ IF('Wind Elemental'!$X$6&lt; 10.8, Table15[[#This Row],[STR]], Table15[[#This Row],[STR]] / ('Wind Elemental'!$X$6 / 10.8)), 1)</f>
        <v>13</v>
      </c>
      <c r="AX33" s="12">
        <f>CEILING('Water Elemental'!$Z$6/ IF('Water Elemental'!$X$6&lt; 10.8, Table15[[#This Row],[STR]], Table15[[#This Row],[STR]] / ('Water Elemental'!$X$6 / 10.8)), 1)</f>
        <v>18</v>
      </c>
      <c r="AY33" s="12">
        <f>CEILING('Fire Elemental'!$Z$4/ IF('Fire Elemental'!$X$4&lt; 10.8, Table15[[#This Row],[STR]], Table15[[#This Row],[STR]] / ('Fire Elemental'!$X$4 / 10.8)), 1)</f>
        <v>29</v>
      </c>
      <c r="AZ33" s="15">
        <f>CEILING(Wyvern!$Z$4/ IF(Wyvern!$X$4&lt; 10.8, Table15[[#This Row],[STR]], Table15[[#This Row],[STR]] / (Wyvern!$X$4 / 10.8)), 1)</f>
        <v>35</v>
      </c>
      <c r="BA33" s="15">
        <f>CEILING('Evolved Wyvern'!$Z$4/ IF('Evolved Wyvern'!$X$4&lt; 10.8, Table15[[#This Row],[STR]], Table15[[#This Row],[STR]] / ('Evolved Wyvern'!$X$4 / 10.8)), 1)</f>
        <v>44</v>
      </c>
      <c r="BB33" s="15">
        <f>CEILING(Dragon!$Z$4/ IF(Dragon!$X$4&lt; 10.8, Table15[[#This Row],[STR]], Table15[[#This Row],[STR]] / (Dragon!$X$4 / 10.8)), 1)</f>
        <v>75</v>
      </c>
    </row>
    <row r="34" spans="1:54" x14ac:dyDescent="0.3">
      <c r="A34" s="1">
        <v>32</v>
      </c>
      <c r="B34" s="1">
        <f>$B$3 + ((Table15[[#This Row],[Level]] / 10) + $B$3 / 8) * Table15[[#This Row],[Level]] + Equipment!$D$26</f>
        <v>190.4</v>
      </c>
      <c r="C34" s="1">
        <f xml:space="preserve"> 2*Table15[[#This Row],[INT]]</f>
        <v>184</v>
      </c>
      <c r="D34" s="1">
        <f>$D$3 + ($D$3 / 4) * Table15[[#This Row],[Level]] + Equipment!$E$26</f>
        <v>60</v>
      </c>
      <c r="E34" s="1">
        <f>$E$3 + ($E$3 / 4) * Table15[[#This Row],[Level]] + Equipment!$F$26</f>
        <v>72</v>
      </c>
      <c r="F34" s="1">
        <f>$F$3 + ($F$3 / 4) * Table15[[#This Row],[Level]] + Equipment!$G$26</f>
        <v>84</v>
      </c>
      <c r="G34" s="1">
        <f>$G$3 + ($G$3 / 4) * Table15[[#This Row],[Level]] + Equipment!$H$26</f>
        <v>92</v>
      </c>
      <c r="H34" s="1">
        <f>$H$3 + ($H$3 / 4) * Table15[[#This Row],[Level]] + Equipment!$I$26</f>
        <v>72</v>
      </c>
      <c r="I34" s="1">
        <f xml:space="preserve"> (4 * (Table15[[#This Row],[Level]] ^ 3))/7 + $I$3</f>
        <v>18824.571428571428</v>
      </c>
      <c r="K34" s="8">
        <f>CEILING('Blue Slime'!$B$5/ IF('Blue Slime'!$D$5&lt; 10.8, Table15[[#This Row],[STR]], Table15[[#This Row],[STR]] / ('Blue Slime'!$D$5 / 10.8)), 1)</f>
        <v>1</v>
      </c>
      <c r="L34" s="8">
        <f>CEILING('Green Slime'!$B$5/ IF('Green Slime'!$D$5&lt; 10.8, Table15[[#This Row],[STR]], Table15[[#This Row],[STR]] / ('Green Slime'!$D$5 / 10.8)), 1)</f>
        <v>1</v>
      </c>
      <c r="M34" s="8">
        <f>CEILING(Wolf!$B$6/ IF(Wolf!$D$6&lt; 10.8, Table15[[#This Row],[STR]], Table15[[#This Row],[STR]] / (Wolf!$D$6 / 10.8)), 1)</f>
        <v>1</v>
      </c>
      <c r="N34" s="8">
        <f>CEILING('Horned Wolf'!$B$5/ IF('Horned Wolf'!$D$5&lt; 10.8, Table15[[#This Row],[STR]], Table15[[#This Row],[STR]] / ('Horned Wolf'!$D$5 / 10.8)), 1)</f>
        <v>3</v>
      </c>
      <c r="O34" s="8">
        <f>CEILING(Spider!$B$7/ IF(Spider!$D$7&lt; 10.8, Table15[[#This Row],[STR]], Table15[[#This Row],[STR]] / (Spider!$D$7 / 10.8)), 1)</f>
        <v>3</v>
      </c>
      <c r="P34" s="8">
        <f>CEILING('Evolved Spider'!$B$8/ IF('Evolved Spider'!$D$8&lt; 10.8, Table15[[#This Row],[STR]], Table15[[#This Row],[STR]] / ('Evolved Spider'!$D$8 / 10.8)), 1)</f>
        <v>5</v>
      </c>
      <c r="Q34" s="8">
        <f>CEILING(Arachne!$B$4/ IF(Arachne!$D$4&lt; 10.8, Table15[[#This Row],[STR]], Table15[[#This Row],[STR]] / (Arachne!$D$4 / 10.8)), 1)</f>
        <v>6</v>
      </c>
      <c r="R34" s="12">
        <f>CEILING('Earth Elemental'!$B$6/ IF('Earth Elemental'!$D$6&lt; 10.8, Table15[[#This Row],[STR]], Table15[[#This Row],[STR]] / ('Earth Elemental'!$D$6 / 10.8)), 1)</f>
        <v>6</v>
      </c>
      <c r="S34" s="12">
        <f>CEILING('Wind Elemental'!$B$6/ IF('Wind Elemental'!$D$6&lt; 10.8, Table15[[#This Row],[STR]], Table15[[#This Row],[STR]] / ('Wind Elemental'!$D$6 / 10.8)), 1)</f>
        <v>6</v>
      </c>
      <c r="T34" s="12">
        <f>CEILING('Water Elemental'!$B$6/ IF('Water Elemental'!$D$6&lt; 10.8, Table15[[#This Row],[STR]], Table15[[#This Row],[STR]] / ('Water Elemental'!$D$6 / 10.8)), 1)</f>
        <v>9</v>
      </c>
      <c r="U34" s="12">
        <f>CEILING('Fire Elemental'!$B$4/ IF('Fire Elemental'!$D$4&lt; 10.8, Table15[[#This Row],[STR]], Table15[[#This Row],[STR]] / ('Fire Elemental'!$D$4 / 10.8)), 1)</f>
        <v>11</v>
      </c>
      <c r="V34" s="15">
        <f>CEILING(Wyvern!$B$4/ IF(Wyvern!$D$4&lt; 10.8, Table15[[#This Row],[STR]], Table15[[#This Row],[STR]] / (Wyvern!$D$4 / 10.8)), 1)</f>
        <v>14</v>
      </c>
      <c r="W34" s="15">
        <f>CEILING('Evolved Wyvern'!$B$4/ IF('Evolved Wyvern'!$D$4&lt; 10.8, Table15[[#This Row],[STR]], Table15[[#This Row],[STR]] / ('Evolved Wyvern'!$D$4 / 10.8)), 1)</f>
        <v>20</v>
      </c>
      <c r="X34" s="15">
        <f>CEILING(Dragon!$B$4/ IF(Dragon!$D$4&lt; 10.8, Table15[[#This Row],[STR]], Table15[[#This Row],[STR]] / (Dragon!$D$4 / 10.8)), 1)</f>
        <v>32</v>
      </c>
      <c r="Z34" s="8">
        <f>CEILING('Blue Slime'!$M$5/ IF('Blue Slime'!$O$5&lt; 10.8, Table15[[#This Row],[STR]], Table15[[#This Row],[STR]] / ('Blue Slime'!$O$5 / 10.8)), 1)</f>
        <v>1</v>
      </c>
      <c r="AA34" s="8">
        <f>CEILING('Green Slime'!$M$5/ IF('Green Slime'!$O$5&lt; 10.8, Table15[[#This Row],[STR]], Table15[[#This Row],[STR]] / ('Green Slime'!$O$5 / 10.8)), 1)</f>
        <v>1</v>
      </c>
      <c r="AB34" s="8">
        <f>CEILING(Wolf!$M$6/ IF(Wolf!$O$6&lt; 10.8, Table15[[#This Row],[STR]], Table15[[#This Row],[STR]] / (Wolf!$O$6 / 10.8)), 1)</f>
        <v>2</v>
      </c>
      <c r="AC34" s="8">
        <f>CEILING('Horned Wolf'!$M$5/ IF('Horned Wolf'!$O$5&lt; 10.8, Table15[[#This Row],[STR]], Table15[[#This Row],[STR]] / ('Horned Wolf'!$O$5 / 10.8)), 1)</f>
        <v>6</v>
      </c>
      <c r="AD34" s="8">
        <f>CEILING(Spider!$M$7/ IF(Spider!$O$7&lt; 10.8, Table15[[#This Row],[STR]], Table15[[#This Row],[STR]] / (Spider!$O$7 / 10.8)), 1)</f>
        <v>5</v>
      </c>
      <c r="AE34" s="8">
        <f>CEILING('Evolved Spider'!$M$8/ IF('Evolved Spider'!$O$8&lt; 10.8, Table15[[#This Row],[STR]], Table15[[#This Row],[STR]] / ('Evolved Spider'!$O$8 / 10.8)), 1)</f>
        <v>9</v>
      </c>
      <c r="AF34" s="8">
        <f>CEILING(Arachne!$M$4/ IF(Arachne!$O$4&lt; 10.8, Table15[[#This Row],[STR]], Table15[[#This Row],[STR]] / (Arachne!$O$4 / 10.8)), 1)</f>
        <v>12</v>
      </c>
      <c r="AG34" s="12">
        <f>CEILING('Earth Elemental'!$M$6/ IF('Earth Elemental'!$O$6&lt; 10.8, Table15[[#This Row],[STR]], Table15[[#This Row],[STR]] / ('Earth Elemental'!$O$6 / 10.8)), 1)</f>
        <v>11</v>
      </c>
      <c r="AH34" s="12">
        <f>CEILING('Wind Elemental'!$M$6/ IF('Wind Elemental'!$O$6&lt; 10.8, Table15[[#This Row],[STR]], Table15[[#This Row],[STR]] / ('Wind Elemental'!$O$6 / 10.8)), 1)</f>
        <v>9</v>
      </c>
      <c r="AI34" s="12">
        <f>CEILING('Water Elemental'!$M$6/ IF('Water Elemental'!$O$6&lt; 10.8, Table15[[#This Row],[STR]], Table15[[#This Row],[STR]] / ('Water Elemental'!$O$6 / 10.8)), 1)</f>
        <v>13</v>
      </c>
      <c r="AJ34" s="12">
        <f>CEILING('Fire Elemental'!$M$4/ IF('Fire Elemental'!$O$4&lt; 10.8, Table15[[#This Row],[STR]], Table15[[#This Row],[STR]] / ('Fire Elemental'!$O$4 / 10.8)), 1)</f>
        <v>19</v>
      </c>
      <c r="AK34" s="15">
        <f>CEILING(Wyvern!$M$4/ IF(Wyvern!$O$4&lt; 10.8, Table15[[#This Row],[STR]], Table15[[#This Row],[STR]] / (Wyvern!$O$4 / 10.8)), 1)</f>
        <v>24</v>
      </c>
      <c r="AL34" s="15">
        <f>CEILING('Evolved Wyvern'!$M$4/ IF('Evolved Wyvern'!$O$4&lt; 10.8, Table15[[#This Row],[STR]], Table15[[#This Row],[STR]] / ('Evolved Wyvern'!$O$4 / 10.8)), 1)</f>
        <v>31</v>
      </c>
      <c r="AM34" s="15">
        <f>CEILING(Dragon!$M$4/ IF(Dragon!$O$4&lt; 10.8, Table15[[#This Row],[STR]], Table15[[#This Row],[STR]] / (Dragon!$O$4 / 10.8)), 1)</f>
        <v>52</v>
      </c>
      <c r="AO34" s="8">
        <f>CEILING('Blue Slime'!$Z$5/ IF('Blue Slime'!$X$5&lt; 10.8, Table15[[#This Row],[STR]], Table15[[#This Row],[STR]] / ('Blue Slime'!$X$5 / 10.8)), 1)</f>
        <v>1</v>
      </c>
      <c r="AP34" s="8">
        <f>CEILING('Green Slime'!$Z$5/ IF('Green Slime'!$X$5&lt; 10.8, Table15[[#This Row],[STR]], Table15[[#This Row],[STR]] / ('Green Slime'!$X$5 / 10.8)), 1)</f>
        <v>2</v>
      </c>
      <c r="AQ34" s="8">
        <f>CEILING(Wolf!$Z$6/ IF(Wolf!$X$6&lt; 10.8, Table15[[#This Row],[STR]], Table15[[#This Row],[STR]] / (Wolf!$X$6 / 10.8)), 1)</f>
        <v>4</v>
      </c>
      <c r="AR34" s="8">
        <f>CEILING('Horned Wolf'!$Z$5/ IF('Horned Wolf'!$X$5&lt; 10.8, Table15[[#This Row],[STR]], Table15[[#This Row],[STR]] / ('Horned Wolf'!$X$5 / 10.8)), 1)</f>
        <v>9</v>
      </c>
      <c r="AS34" s="8">
        <f>CEILING(Spider!$Z$7/ IF(Spider!$X$7&lt; 10.8, Table15[[#This Row],[STR]], Table15[[#This Row],[STR]] / (Spider!$X$7 / 10.8)), 1)</f>
        <v>8</v>
      </c>
      <c r="AT34" s="8">
        <f>CEILING('Evolved Spider'!$Z$8/ IF('Evolved Spider'!$X$8&lt; 10.8, Table15[[#This Row],[STR]], Table15[[#This Row],[STR]] / ('Evolved Spider'!$X$8 / 10.8)), 1)</f>
        <v>14</v>
      </c>
      <c r="AU34" s="8">
        <f>CEILING(Arachne!$Z$4/ IF(Arachne!$X$4&lt; 10.8, Table15[[#This Row],[STR]], Table15[[#This Row],[STR]] / (Arachne!$X$4 / 10.8)), 1)</f>
        <v>20</v>
      </c>
      <c r="AV34" s="12">
        <f>CEILING('Earth Elemental'!$Z$6/ IF('Earth Elemental'!$X$6&lt; 10.8, Table15[[#This Row],[STR]], Table15[[#This Row],[STR]] / ('Earth Elemental'!$X$6 / 10.8)), 1)</f>
        <v>16</v>
      </c>
      <c r="AW34" s="12">
        <f>CEILING('Wind Elemental'!$Z$6/ IF('Wind Elemental'!$X$6&lt; 10.8, Table15[[#This Row],[STR]], Table15[[#This Row],[STR]] / ('Wind Elemental'!$X$6 / 10.8)), 1)</f>
        <v>13</v>
      </c>
      <c r="AX34" s="12">
        <f>CEILING('Water Elemental'!$Z$6/ IF('Water Elemental'!$X$6&lt; 10.8, Table15[[#This Row],[STR]], Table15[[#This Row],[STR]] / ('Water Elemental'!$X$6 / 10.8)), 1)</f>
        <v>17</v>
      </c>
      <c r="AY34" s="12">
        <f>CEILING('Fire Elemental'!$Z$4/ IF('Fire Elemental'!$X$4&lt; 10.8, Table15[[#This Row],[STR]], Table15[[#This Row],[STR]] / ('Fire Elemental'!$X$4 / 10.8)), 1)</f>
        <v>28</v>
      </c>
      <c r="AZ34" s="15">
        <f>CEILING(Wyvern!$Z$4/ IF(Wyvern!$X$4&lt; 10.8, Table15[[#This Row],[STR]], Table15[[#This Row],[STR]] / (Wyvern!$X$4 / 10.8)), 1)</f>
        <v>34</v>
      </c>
      <c r="BA34" s="15">
        <f>CEILING('Evolved Wyvern'!$Z$4/ IF('Evolved Wyvern'!$X$4&lt; 10.8, Table15[[#This Row],[STR]], Table15[[#This Row],[STR]] / ('Evolved Wyvern'!$X$4 / 10.8)), 1)</f>
        <v>44</v>
      </c>
      <c r="BB34" s="15">
        <f>CEILING(Dragon!$Z$4/ IF(Dragon!$X$4&lt; 10.8, Table15[[#This Row],[STR]], Table15[[#This Row],[STR]] / (Dragon!$X$4 / 10.8)), 1)</f>
        <v>73</v>
      </c>
    </row>
    <row r="35" spans="1:54" x14ac:dyDescent="0.3">
      <c r="A35" s="1">
        <v>33</v>
      </c>
      <c r="B35" s="1">
        <f>$B$3 + ((Table15[[#This Row],[Level]] / 10) + $B$3 / 8) * Table15[[#This Row],[Level]] + Equipment!$D$26</f>
        <v>198.15</v>
      </c>
      <c r="C35" s="1">
        <f xml:space="preserve"> 2*Table15[[#This Row],[INT]]</f>
        <v>188</v>
      </c>
      <c r="D35" s="1">
        <f>$D$3 + ($D$3 / 4) * Table15[[#This Row],[Level]] + Equipment!$E$26</f>
        <v>61.25</v>
      </c>
      <c r="E35" s="1">
        <f>$E$3 + ($E$3 / 4) * Table15[[#This Row],[Level]] + Equipment!$F$26</f>
        <v>73.5</v>
      </c>
      <c r="F35" s="1">
        <f>$F$3 + ($F$3 / 4) * Table15[[#This Row],[Level]] + Equipment!$G$26</f>
        <v>85.75</v>
      </c>
      <c r="G35" s="1">
        <f>$G$3 + ($G$3 / 4) * Table15[[#This Row],[Level]] + Equipment!$H$26</f>
        <v>94</v>
      </c>
      <c r="H35" s="1">
        <f>$H$3 + ($H$3 / 4) * Table15[[#This Row],[Level]] + Equipment!$I$26</f>
        <v>73.5</v>
      </c>
      <c r="I35" s="1">
        <f xml:space="preserve"> (4 * (Table15[[#This Row],[Level]] ^ 3))/7 + $I$3</f>
        <v>20635.428571428572</v>
      </c>
      <c r="K35" s="8">
        <f>CEILING('Blue Slime'!$B$5/ IF('Blue Slime'!$D$5&lt; 10.8, Table15[[#This Row],[STR]], Table15[[#This Row],[STR]] / ('Blue Slime'!$D$5 / 10.8)), 1)</f>
        <v>1</v>
      </c>
      <c r="L35" s="8">
        <f>CEILING('Green Slime'!$B$5/ IF('Green Slime'!$D$5&lt; 10.8, Table15[[#This Row],[STR]], Table15[[#This Row],[STR]] / ('Green Slime'!$D$5 / 10.8)), 1)</f>
        <v>1</v>
      </c>
      <c r="M35" s="8">
        <f>CEILING(Wolf!$B$6/ IF(Wolf!$D$6&lt; 10.8, Table15[[#This Row],[STR]], Table15[[#This Row],[STR]] / (Wolf!$D$6 / 10.8)), 1)</f>
        <v>1</v>
      </c>
      <c r="N35" s="8">
        <f>CEILING('Horned Wolf'!$B$5/ IF('Horned Wolf'!$D$5&lt; 10.8, Table15[[#This Row],[STR]], Table15[[#This Row],[STR]] / ('Horned Wolf'!$D$5 / 10.8)), 1)</f>
        <v>3</v>
      </c>
      <c r="O35" s="8">
        <f>CEILING(Spider!$B$7/ IF(Spider!$D$7&lt; 10.8, Table15[[#This Row],[STR]], Table15[[#This Row],[STR]] / (Spider!$D$7 / 10.8)), 1)</f>
        <v>3</v>
      </c>
      <c r="P35" s="8">
        <f>CEILING('Evolved Spider'!$B$8/ IF('Evolved Spider'!$D$8&lt; 10.8, Table15[[#This Row],[STR]], Table15[[#This Row],[STR]] / ('Evolved Spider'!$D$8 / 10.8)), 1)</f>
        <v>5</v>
      </c>
      <c r="Q35" s="8">
        <f>CEILING(Arachne!$B$4/ IF(Arachne!$D$4&lt; 10.8, Table15[[#This Row],[STR]], Table15[[#This Row],[STR]] / (Arachne!$D$4 / 10.8)), 1)</f>
        <v>6</v>
      </c>
      <c r="R35" s="12">
        <f>CEILING('Earth Elemental'!$B$6/ IF('Earth Elemental'!$D$6&lt; 10.8, Table15[[#This Row],[STR]], Table15[[#This Row],[STR]] / ('Earth Elemental'!$D$6 / 10.8)), 1)</f>
        <v>6</v>
      </c>
      <c r="S35" s="12">
        <f>CEILING('Wind Elemental'!$B$6/ IF('Wind Elemental'!$D$6&lt; 10.8, Table15[[#This Row],[STR]], Table15[[#This Row],[STR]] / ('Wind Elemental'!$D$6 / 10.8)), 1)</f>
        <v>6</v>
      </c>
      <c r="T35" s="12">
        <f>CEILING('Water Elemental'!$B$6/ IF('Water Elemental'!$D$6&lt; 10.8, Table15[[#This Row],[STR]], Table15[[#This Row],[STR]] / ('Water Elemental'!$D$6 / 10.8)), 1)</f>
        <v>8</v>
      </c>
      <c r="U35" s="12">
        <f>CEILING('Fire Elemental'!$B$4/ IF('Fire Elemental'!$D$4&lt; 10.8, Table15[[#This Row],[STR]], Table15[[#This Row],[STR]] / ('Fire Elemental'!$D$4 / 10.8)), 1)</f>
        <v>11</v>
      </c>
      <c r="V35" s="15">
        <f>CEILING(Wyvern!$B$4/ IF(Wyvern!$D$4&lt; 10.8, Table15[[#This Row],[STR]], Table15[[#This Row],[STR]] / (Wyvern!$D$4 / 10.8)), 1)</f>
        <v>14</v>
      </c>
      <c r="W35" s="15">
        <f>CEILING('Evolved Wyvern'!$B$4/ IF('Evolved Wyvern'!$D$4&lt; 10.8, Table15[[#This Row],[STR]], Table15[[#This Row],[STR]] / ('Evolved Wyvern'!$D$4 / 10.8)), 1)</f>
        <v>19</v>
      </c>
      <c r="X35" s="15">
        <f>CEILING(Dragon!$B$4/ IF(Dragon!$D$4&lt; 10.8, Table15[[#This Row],[STR]], Table15[[#This Row],[STR]] / (Dragon!$D$4 / 10.8)), 1)</f>
        <v>32</v>
      </c>
      <c r="Z35" s="8">
        <f>CEILING('Blue Slime'!$M$5/ IF('Blue Slime'!$O$5&lt; 10.8, Table15[[#This Row],[STR]], Table15[[#This Row],[STR]] / ('Blue Slime'!$O$5 / 10.8)), 1)</f>
        <v>1</v>
      </c>
      <c r="AA35" s="8">
        <f>CEILING('Green Slime'!$M$5/ IF('Green Slime'!$O$5&lt; 10.8, Table15[[#This Row],[STR]], Table15[[#This Row],[STR]] / ('Green Slime'!$O$5 / 10.8)), 1)</f>
        <v>1</v>
      </c>
      <c r="AB35" s="8">
        <f>CEILING(Wolf!$M$6/ IF(Wolf!$O$6&lt; 10.8, Table15[[#This Row],[STR]], Table15[[#This Row],[STR]] / (Wolf!$O$6 / 10.8)), 1)</f>
        <v>2</v>
      </c>
      <c r="AC35" s="8">
        <f>CEILING('Horned Wolf'!$M$5/ IF('Horned Wolf'!$O$5&lt; 10.8, Table15[[#This Row],[STR]], Table15[[#This Row],[STR]] / ('Horned Wolf'!$O$5 / 10.8)), 1)</f>
        <v>5</v>
      </c>
      <c r="AD35" s="8">
        <f>CEILING(Spider!$M$7/ IF(Spider!$O$7&lt; 10.8, Table15[[#This Row],[STR]], Table15[[#This Row],[STR]] / (Spider!$O$7 / 10.8)), 1)</f>
        <v>5</v>
      </c>
      <c r="AE35" s="8">
        <f>CEILING('Evolved Spider'!$M$8/ IF('Evolved Spider'!$O$8&lt; 10.8, Table15[[#This Row],[STR]], Table15[[#This Row],[STR]] / ('Evolved Spider'!$O$8 / 10.8)), 1)</f>
        <v>9</v>
      </c>
      <c r="AF35" s="8">
        <f>CEILING(Arachne!$M$4/ IF(Arachne!$O$4&lt; 10.8, Table15[[#This Row],[STR]], Table15[[#This Row],[STR]] / (Arachne!$O$4 / 10.8)), 1)</f>
        <v>12</v>
      </c>
      <c r="AG35" s="12">
        <f>CEILING('Earth Elemental'!$M$6/ IF('Earth Elemental'!$O$6&lt; 10.8, Table15[[#This Row],[STR]], Table15[[#This Row],[STR]] / ('Earth Elemental'!$O$6 / 10.8)), 1)</f>
        <v>11</v>
      </c>
      <c r="AH35" s="12">
        <f>CEILING('Wind Elemental'!$M$6/ IF('Wind Elemental'!$O$6&lt; 10.8, Table15[[#This Row],[STR]], Table15[[#This Row],[STR]] / ('Wind Elemental'!$O$6 / 10.8)), 1)</f>
        <v>9</v>
      </c>
      <c r="AI35" s="12">
        <f>CEILING('Water Elemental'!$M$6/ IF('Water Elemental'!$O$6&lt; 10.8, Table15[[#This Row],[STR]], Table15[[#This Row],[STR]] / ('Water Elemental'!$O$6 / 10.8)), 1)</f>
        <v>13</v>
      </c>
      <c r="AJ35" s="12">
        <f>CEILING('Fire Elemental'!$M$4/ IF('Fire Elemental'!$O$4&lt; 10.8, Table15[[#This Row],[STR]], Table15[[#This Row],[STR]] / ('Fire Elemental'!$O$4 / 10.8)), 1)</f>
        <v>18</v>
      </c>
      <c r="AK35" s="15">
        <f>CEILING(Wyvern!$M$4/ IF(Wyvern!$O$4&lt; 10.8, Table15[[#This Row],[STR]], Table15[[#This Row],[STR]] / (Wyvern!$O$4 / 10.8)), 1)</f>
        <v>23</v>
      </c>
      <c r="AL35" s="15">
        <f>CEILING('Evolved Wyvern'!$M$4/ IF('Evolved Wyvern'!$O$4&lt; 10.8, Table15[[#This Row],[STR]], Table15[[#This Row],[STR]] / ('Evolved Wyvern'!$O$4 / 10.8)), 1)</f>
        <v>30</v>
      </c>
      <c r="AM35" s="15">
        <f>CEILING(Dragon!$M$4/ IF(Dragon!$O$4&lt; 10.8, Table15[[#This Row],[STR]], Table15[[#This Row],[STR]] / (Dragon!$O$4 / 10.8)), 1)</f>
        <v>51</v>
      </c>
      <c r="AO35" s="8">
        <f>CEILING('Blue Slime'!$Z$5/ IF('Blue Slime'!$X$5&lt; 10.8, Table15[[#This Row],[STR]], Table15[[#This Row],[STR]] / ('Blue Slime'!$X$5 / 10.8)), 1)</f>
        <v>1</v>
      </c>
      <c r="AP35" s="8">
        <f>CEILING('Green Slime'!$Z$5/ IF('Green Slime'!$X$5&lt; 10.8, Table15[[#This Row],[STR]], Table15[[#This Row],[STR]] / ('Green Slime'!$X$5 / 10.8)), 1)</f>
        <v>2</v>
      </c>
      <c r="AQ35" s="8">
        <f>CEILING(Wolf!$Z$6/ IF(Wolf!$X$6&lt; 10.8, Table15[[#This Row],[STR]], Table15[[#This Row],[STR]] / (Wolf!$X$6 / 10.8)), 1)</f>
        <v>4</v>
      </c>
      <c r="AR35" s="8">
        <f>CEILING('Horned Wolf'!$Z$5/ IF('Horned Wolf'!$X$5&lt; 10.8, Table15[[#This Row],[STR]], Table15[[#This Row],[STR]] / ('Horned Wolf'!$X$5 / 10.8)), 1)</f>
        <v>9</v>
      </c>
      <c r="AS35" s="8">
        <f>CEILING(Spider!$Z$7/ IF(Spider!$X$7&lt; 10.8, Table15[[#This Row],[STR]], Table15[[#This Row],[STR]] / (Spider!$X$7 / 10.8)), 1)</f>
        <v>8</v>
      </c>
      <c r="AT35" s="8">
        <f>CEILING('Evolved Spider'!$Z$8/ IF('Evolved Spider'!$X$8&lt; 10.8, Table15[[#This Row],[STR]], Table15[[#This Row],[STR]] / ('Evolved Spider'!$X$8 / 10.8)), 1)</f>
        <v>14</v>
      </c>
      <c r="AU35" s="8">
        <f>CEILING(Arachne!$Z$4/ IF(Arachne!$X$4&lt; 10.8, Table15[[#This Row],[STR]], Table15[[#This Row],[STR]] / (Arachne!$X$4 / 10.8)), 1)</f>
        <v>19</v>
      </c>
      <c r="AV35" s="12">
        <f>CEILING('Earth Elemental'!$Z$6/ IF('Earth Elemental'!$X$6&lt; 10.8, Table15[[#This Row],[STR]], Table15[[#This Row],[STR]] / ('Earth Elemental'!$X$6 / 10.8)), 1)</f>
        <v>16</v>
      </c>
      <c r="AW35" s="12">
        <f>CEILING('Wind Elemental'!$Z$6/ IF('Wind Elemental'!$X$6&lt; 10.8, Table15[[#This Row],[STR]], Table15[[#This Row],[STR]] / ('Wind Elemental'!$X$6 / 10.8)), 1)</f>
        <v>13</v>
      </c>
      <c r="AX35" s="12">
        <f>CEILING('Water Elemental'!$Z$6/ IF('Water Elemental'!$X$6&lt; 10.8, Table15[[#This Row],[STR]], Table15[[#This Row],[STR]] / ('Water Elemental'!$X$6 / 10.8)), 1)</f>
        <v>17</v>
      </c>
      <c r="AY35" s="12">
        <f>CEILING('Fire Elemental'!$Z$4/ IF('Fire Elemental'!$X$4&lt; 10.8, Table15[[#This Row],[STR]], Table15[[#This Row],[STR]] / ('Fire Elemental'!$X$4 / 10.8)), 1)</f>
        <v>28</v>
      </c>
      <c r="AZ35" s="15">
        <f>CEILING(Wyvern!$Z$4/ IF(Wyvern!$X$4&lt; 10.8, Table15[[#This Row],[STR]], Table15[[#This Row],[STR]] / (Wyvern!$X$4 / 10.8)), 1)</f>
        <v>33</v>
      </c>
      <c r="BA35" s="15">
        <f>CEILING('Evolved Wyvern'!$Z$4/ IF('Evolved Wyvern'!$X$4&lt; 10.8, Table15[[#This Row],[STR]], Table15[[#This Row],[STR]] / ('Evolved Wyvern'!$X$4 / 10.8)), 1)</f>
        <v>43</v>
      </c>
      <c r="BB35" s="15">
        <f>CEILING(Dragon!$Z$4/ IF(Dragon!$X$4&lt; 10.8, Table15[[#This Row],[STR]], Table15[[#This Row],[STR]] / (Dragon!$X$4 / 10.8)), 1)</f>
        <v>72</v>
      </c>
    </row>
    <row r="36" spans="1:54" x14ac:dyDescent="0.3">
      <c r="A36" s="30">
        <v>34</v>
      </c>
      <c r="B36" s="30">
        <f>$B$3 + ((Table15[[#This Row],[Level]] / 10) + $B$3 / 8) * Table15[[#This Row],[Level]] + Equipment!$D$26</f>
        <v>206.10000000000002</v>
      </c>
      <c r="C36" s="30">
        <f xml:space="preserve"> 2*Table15[[#This Row],[INT]]</f>
        <v>192</v>
      </c>
      <c r="D36" s="30">
        <f>$D$3 + ($D$3 / 4) * Table15[[#This Row],[Level]] + Equipment!$E$26</f>
        <v>62.5</v>
      </c>
      <c r="E36" s="30">
        <f>$E$3 + ($E$3 / 4) * Table15[[#This Row],[Level]] + Equipment!$F$26</f>
        <v>75</v>
      </c>
      <c r="F36" s="30">
        <f>$F$3 + ($F$3 / 4) * Table15[[#This Row],[Level]] + Equipment!$G$26</f>
        <v>87.5</v>
      </c>
      <c r="G36" s="30">
        <f>$G$3 + ($G$3 / 4) * Table15[[#This Row],[Level]] + Equipment!$H$26</f>
        <v>96</v>
      </c>
      <c r="H36" s="30">
        <f>$H$3 + ($H$3 / 4) * Table15[[#This Row],[Level]] + Equipment!$I$26</f>
        <v>75</v>
      </c>
      <c r="I36" s="30">
        <f xml:space="preserve"> (4 * (Table15[[#This Row],[Level]] ^ 3))/7 + $I$3</f>
        <v>22559.428571428572</v>
      </c>
      <c r="K36" s="8">
        <f>CEILING('Blue Slime'!$B$5/ IF('Blue Slime'!$D$5&lt; 10.8, Table15[[#This Row],[STR]], Table15[[#This Row],[STR]] / ('Blue Slime'!$D$5 / 10.8)), 1)</f>
        <v>1</v>
      </c>
      <c r="L36" s="8">
        <f>CEILING('Green Slime'!$B$5/ IF('Green Slime'!$D$5&lt; 10.8, Table15[[#This Row],[STR]], Table15[[#This Row],[STR]] / ('Green Slime'!$D$5 / 10.8)), 1)</f>
        <v>1</v>
      </c>
      <c r="M36" s="8">
        <f>CEILING(Wolf!$B$6/ IF(Wolf!$D$6&lt; 10.8, Table15[[#This Row],[STR]], Table15[[#This Row],[STR]] / (Wolf!$D$6 / 10.8)), 1)</f>
        <v>1</v>
      </c>
      <c r="N36" s="8">
        <f>CEILING('Horned Wolf'!$B$5/ IF('Horned Wolf'!$D$5&lt; 10.8, Table15[[#This Row],[STR]], Table15[[#This Row],[STR]] / ('Horned Wolf'!$D$5 / 10.8)), 1)</f>
        <v>3</v>
      </c>
      <c r="O36" s="8">
        <f>CEILING(Spider!$B$7/ IF(Spider!$D$7&lt; 10.8, Table15[[#This Row],[STR]], Table15[[#This Row],[STR]] / (Spider!$D$7 / 10.8)), 1)</f>
        <v>3</v>
      </c>
      <c r="P36" s="8">
        <f>CEILING('Evolved Spider'!$B$8/ IF('Evolved Spider'!$D$8&lt; 10.8, Table15[[#This Row],[STR]], Table15[[#This Row],[STR]] / ('Evolved Spider'!$D$8 / 10.8)), 1)</f>
        <v>5</v>
      </c>
      <c r="Q36" s="8">
        <f>CEILING(Arachne!$B$4/ IF(Arachne!$D$4&lt; 10.8, Table15[[#This Row],[STR]], Table15[[#This Row],[STR]] / (Arachne!$D$4 / 10.8)), 1)</f>
        <v>6</v>
      </c>
      <c r="R36" s="12">
        <f>CEILING('Earth Elemental'!$B$6/ IF('Earth Elemental'!$D$6&lt; 10.8, Table15[[#This Row],[STR]], Table15[[#This Row],[STR]] / ('Earth Elemental'!$D$6 / 10.8)), 1)</f>
        <v>6</v>
      </c>
      <c r="S36" s="12">
        <f>CEILING('Wind Elemental'!$B$6/ IF('Wind Elemental'!$D$6&lt; 10.8, Table15[[#This Row],[STR]], Table15[[#This Row],[STR]] / ('Wind Elemental'!$D$6 / 10.8)), 1)</f>
        <v>6</v>
      </c>
      <c r="T36" s="12">
        <f>CEILING('Water Elemental'!$B$6/ IF('Water Elemental'!$D$6&lt; 10.8, Table15[[#This Row],[STR]], Table15[[#This Row],[STR]] / ('Water Elemental'!$D$6 / 10.8)), 1)</f>
        <v>8</v>
      </c>
      <c r="U36" s="12">
        <f>CEILING('Fire Elemental'!$B$4/ IF('Fire Elemental'!$D$4&lt; 10.8, Table15[[#This Row],[STR]], Table15[[#This Row],[STR]] / ('Fire Elemental'!$D$4 / 10.8)), 1)</f>
        <v>10</v>
      </c>
      <c r="V36" s="15">
        <f>CEILING(Wyvern!$B$4/ IF(Wyvern!$D$4&lt; 10.8, Table15[[#This Row],[STR]], Table15[[#This Row],[STR]] / (Wyvern!$D$4 / 10.8)), 1)</f>
        <v>14</v>
      </c>
      <c r="W36" s="15">
        <f>CEILING('Evolved Wyvern'!$B$4/ IF('Evolved Wyvern'!$D$4&lt; 10.8, Table15[[#This Row],[STR]], Table15[[#This Row],[STR]] / ('Evolved Wyvern'!$D$4 / 10.8)), 1)</f>
        <v>19</v>
      </c>
      <c r="X36" s="15">
        <f>CEILING(Dragon!$B$4/ IF(Dragon!$D$4&lt; 10.8, Table15[[#This Row],[STR]], Table15[[#This Row],[STR]] / (Dragon!$D$4 / 10.8)), 1)</f>
        <v>31</v>
      </c>
      <c r="Z36" s="8">
        <f>CEILING('Blue Slime'!$M$5/ IF('Blue Slime'!$O$5&lt; 10.8, Table15[[#This Row],[STR]], Table15[[#This Row],[STR]] / ('Blue Slime'!$O$5 / 10.8)), 1)</f>
        <v>1</v>
      </c>
      <c r="AA36" s="8">
        <f>CEILING('Green Slime'!$M$5/ IF('Green Slime'!$O$5&lt; 10.8, Table15[[#This Row],[STR]], Table15[[#This Row],[STR]] / ('Green Slime'!$O$5 / 10.8)), 1)</f>
        <v>1</v>
      </c>
      <c r="AB36" s="8">
        <f>CEILING(Wolf!$M$6/ IF(Wolf!$O$6&lt; 10.8, Table15[[#This Row],[STR]], Table15[[#This Row],[STR]] / (Wolf!$O$6 / 10.8)), 1)</f>
        <v>2</v>
      </c>
      <c r="AC36" s="8">
        <f>CEILING('Horned Wolf'!$M$5/ IF('Horned Wolf'!$O$5&lt; 10.8, Table15[[#This Row],[STR]], Table15[[#This Row],[STR]] / ('Horned Wolf'!$O$5 / 10.8)), 1)</f>
        <v>5</v>
      </c>
      <c r="AD36" s="8">
        <f>CEILING(Spider!$M$7/ IF(Spider!$O$7&lt; 10.8, Table15[[#This Row],[STR]], Table15[[#This Row],[STR]] / (Spider!$O$7 / 10.8)), 1)</f>
        <v>5</v>
      </c>
      <c r="AE36" s="8">
        <f>CEILING('Evolved Spider'!$M$8/ IF('Evolved Spider'!$O$8&lt; 10.8, Table15[[#This Row],[STR]], Table15[[#This Row],[STR]] / ('Evolved Spider'!$O$8 / 10.8)), 1)</f>
        <v>9</v>
      </c>
      <c r="AF36" s="8">
        <f>CEILING(Arachne!$M$4/ IF(Arachne!$O$4&lt; 10.8, Table15[[#This Row],[STR]], Table15[[#This Row],[STR]] / (Arachne!$O$4 / 10.8)), 1)</f>
        <v>12</v>
      </c>
      <c r="AG36" s="12">
        <f>CEILING('Earth Elemental'!$M$6/ IF('Earth Elemental'!$O$6&lt; 10.8, Table15[[#This Row],[STR]], Table15[[#This Row],[STR]] / ('Earth Elemental'!$O$6 / 10.8)), 1)</f>
        <v>11</v>
      </c>
      <c r="AH36" s="12">
        <f>CEILING('Wind Elemental'!$M$6/ IF('Wind Elemental'!$O$6&lt; 10.8, Table15[[#This Row],[STR]], Table15[[#This Row],[STR]] / ('Wind Elemental'!$O$6 / 10.8)), 1)</f>
        <v>9</v>
      </c>
      <c r="AI36" s="12">
        <f>CEILING('Water Elemental'!$M$6/ IF('Water Elemental'!$O$6&lt; 10.8, Table15[[#This Row],[STR]], Table15[[#This Row],[STR]] / ('Water Elemental'!$O$6 / 10.8)), 1)</f>
        <v>12</v>
      </c>
      <c r="AJ36" s="12">
        <f>CEILING('Fire Elemental'!$M$4/ IF('Fire Elemental'!$O$4&lt; 10.8, Table15[[#This Row],[STR]], Table15[[#This Row],[STR]] / ('Fire Elemental'!$O$4 / 10.8)), 1)</f>
        <v>18</v>
      </c>
      <c r="AK36" s="15">
        <f>CEILING(Wyvern!$M$4/ IF(Wyvern!$O$4&lt; 10.8, Table15[[#This Row],[STR]], Table15[[#This Row],[STR]] / (Wyvern!$O$4 / 10.8)), 1)</f>
        <v>23</v>
      </c>
      <c r="AL36" s="15">
        <f>CEILING('Evolved Wyvern'!$M$4/ IF('Evolved Wyvern'!$O$4&lt; 10.8, Table15[[#This Row],[STR]], Table15[[#This Row],[STR]] / ('Evolved Wyvern'!$O$4 / 10.8)), 1)</f>
        <v>30</v>
      </c>
      <c r="AM36" s="15">
        <f>CEILING(Dragon!$M$4/ IF(Dragon!$O$4&lt; 10.8, Table15[[#This Row],[STR]], Table15[[#This Row],[STR]] / (Dragon!$O$4 / 10.8)), 1)</f>
        <v>50</v>
      </c>
      <c r="AO36" s="8">
        <f>CEILING('Blue Slime'!$Z$5/ IF('Blue Slime'!$X$5&lt; 10.8, Table15[[#This Row],[STR]], Table15[[#This Row],[STR]] / ('Blue Slime'!$X$5 / 10.8)), 1)</f>
        <v>1</v>
      </c>
      <c r="AP36" s="8">
        <f>CEILING('Green Slime'!$Z$5/ IF('Green Slime'!$X$5&lt; 10.8, Table15[[#This Row],[STR]], Table15[[#This Row],[STR]] / ('Green Slime'!$X$5 / 10.8)), 1)</f>
        <v>2</v>
      </c>
      <c r="AQ36" s="8">
        <f>CEILING(Wolf!$Z$6/ IF(Wolf!$X$6&lt; 10.8, Table15[[#This Row],[STR]], Table15[[#This Row],[STR]] / (Wolf!$X$6 / 10.8)), 1)</f>
        <v>3</v>
      </c>
      <c r="AR36" s="8">
        <f>CEILING('Horned Wolf'!$Z$5/ IF('Horned Wolf'!$X$5&lt; 10.8, Table15[[#This Row],[STR]], Table15[[#This Row],[STR]] / ('Horned Wolf'!$X$5 / 10.8)), 1)</f>
        <v>9</v>
      </c>
      <c r="AS36" s="8">
        <f>CEILING(Spider!$Z$7/ IF(Spider!$X$7&lt; 10.8, Table15[[#This Row],[STR]], Table15[[#This Row],[STR]] / (Spider!$X$7 / 10.8)), 1)</f>
        <v>8</v>
      </c>
      <c r="AT36" s="8">
        <f>CEILING('Evolved Spider'!$Z$8/ IF('Evolved Spider'!$X$8&lt; 10.8, Table15[[#This Row],[STR]], Table15[[#This Row],[STR]] / ('Evolved Spider'!$X$8 / 10.8)), 1)</f>
        <v>14</v>
      </c>
      <c r="AU36" s="8">
        <f>CEILING(Arachne!$Z$4/ IF(Arachne!$X$4&lt; 10.8, Table15[[#This Row],[STR]], Table15[[#This Row],[STR]] / (Arachne!$X$4 / 10.8)), 1)</f>
        <v>19</v>
      </c>
      <c r="AV36" s="12">
        <f>CEILING('Earth Elemental'!$Z$6/ IF('Earth Elemental'!$X$6&lt; 10.8, Table15[[#This Row],[STR]], Table15[[#This Row],[STR]] / ('Earth Elemental'!$X$6 / 10.8)), 1)</f>
        <v>16</v>
      </c>
      <c r="AW36" s="12">
        <f>CEILING('Wind Elemental'!$Z$6/ IF('Wind Elemental'!$X$6&lt; 10.8, Table15[[#This Row],[STR]], Table15[[#This Row],[STR]] / ('Wind Elemental'!$X$6 / 10.8)), 1)</f>
        <v>12</v>
      </c>
      <c r="AX36" s="12">
        <f>CEILING('Water Elemental'!$Z$6/ IF('Water Elemental'!$X$6&lt; 10.8, Table15[[#This Row],[STR]], Table15[[#This Row],[STR]] / ('Water Elemental'!$X$6 / 10.8)), 1)</f>
        <v>17</v>
      </c>
      <c r="AY36" s="12">
        <f>CEILING('Fire Elemental'!$Z$4/ IF('Fire Elemental'!$X$4&lt; 10.8, Table15[[#This Row],[STR]], Table15[[#This Row],[STR]] / ('Fire Elemental'!$X$4 / 10.8)), 1)</f>
        <v>27</v>
      </c>
      <c r="AZ36" s="15">
        <f>CEILING(Wyvern!$Z$4/ IF(Wyvern!$X$4&lt; 10.8, Table15[[#This Row],[STR]], Table15[[#This Row],[STR]] / (Wyvern!$X$4 / 10.8)), 1)</f>
        <v>33</v>
      </c>
      <c r="BA36" s="15">
        <f>CEILING('Evolved Wyvern'!$Z$4/ IF('Evolved Wyvern'!$X$4&lt; 10.8, Table15[[#This Row],[STR]], Table15[[#This Row],[STR]] / ('Evolved Wyvern'!$X$4 / 10.8)), 1)</f>
        <v>42</v>
      </c>
      <c r="BB36" s="15">
        <f>CEILING(Dragon!$Z$4/ IF(Dragon!$X$4&lt; 10.8, Table15[[#This Row],[STR]], Table15[[#This Row],[STR]] / (Dragon!$X$4 / 10.8)), 1)</f>
        <v>70</v>
      </c>
    </row>
    <row r="37" spans="1:54" x14ac:dyDescent="0.3">
      <c r="A37" s="1">
        <v>35</v>
      </c>
      <c r="B37" s="1">
        <f>$B$3 + ((Table15[[#This Row],[Level]] / 10) + $B$3 / 8) * Table15[[#This Row],[Level]] + Equipment!$D$34</f>
        <v>245.25</v>
      </c>
      <c r="C37" s="1">
        <f xml:space="preserve"> 2*Table15[[#This Row],[INT]]</f>
        <v>224</v>
      </c>
      <c r="D37" s="1">
        <f>$D$3 + ($D$3 / 4) * Table15[[#This Row],[Level]] + Equipment!$E$34</f>
        <v>69.75</v>
      </c>
      <c r="E37" s="1">
        <f>$E$3 + ($E$3 / 4) * Table15[[#This Row],[Level]] + Equipment!$F$34</f>
        <v>84.5</v>
      </c>
      <c r="F37" s="1">
        <f>$F$3 + ($F$3 / 4) * Table15[[#This Row],[Level]] + Equipment!$G$34</f>
        <v>98.25</v>
      </c>
      <c r="G37" s="1">
        <f>$G$3 + ($G$3 / 4) * Table15[[#This Row],[Level]] + Equipment!$H$34</f>
        <v>112</v>
      </c>
      <c r="H37" s="1">
        <f>$H$3 + ($H$3 / 4) * Table15[[#This Row],[Level]] + Equipment!$I$34</f>
        <v>84.5</v>
      </c>
      <c r="I37" s="1">
        <f xml:space="preserve"> (4 * (Table15[[#This Row],[Level]] ^ 3))/7 + $I$3</f>
        <v>24600</v>
      </c>
      <c r="K37" s="8">
        <f>CEILING('Blue Slime'!$B$5/ IF('Blue Slime'!$D$5&lt; 10.8, Table15[[#This Row],[STR]], Table15[[#This Row],[STR]] / ('Blue Slime'!$D$5 / 10.8)), 1)</f>
        <v>1</v>
      </c>
      <c r="L37" s="8">
        <f>CEILING('Green Slime'!$B$5/ IF('Green Slime'!$D$5&lt; 10.8, Table15[[#This Row],[STR]], Table15[[#This Row],[STR]] / ('Green Slime'!$D$5 / 10.8)), 1)</f>
        <v>1</v>
      </c>
      <c r="M37" s="8">
        <f>CEILING(Wolf!$B$6/ IF(Wolf!$D$6&lt; 10.8, Table15[[#This Row],[STR]], Table15[[#This Row],[STR]] / (Wolf!$D$6 / 10.8)), 1)</f>
        <v>1</v>
      </c>
      <c r="N37" s="8">
        <f>CEILING('Horned Wolf'!$B$5/ IF('Horned Wolf'!$D$5&lt; 10.8, Table15[[#This Row],[STR]], Table15[[#This Row],[STR]] / ('Horned Wolf'!$D$5 / 10.8)), 1)</f>
        <v>2</v>
      </c>
      <c r="O37" s="8">
        <f>CEILING(Spider!$B$7/ IF(Spider!$D$7&lt; 10.8, Table15[[#This Row],[STR]], Table15[[#This Row],[STR]] / (Spider!$D$7 / 10.8)), 1)</f>
        <v>2</v>
      </c>
      <c r="P37" s="8">
        <f>CEILING('Evolved Spider'!$B$8/ IF('Evolved Spider'!$D$8&lt; 10.8, Table15[[#This Row],[STR]], Table15[[#This Row],[STR]] / ('Evolved Spider'!$D$8 / 10.8)), 1)</f>
        <v>4</v>
      </c>
      <c r="Q37" s="8">
        <f>CEILING(Arachne!$B$4/ IF(Arachne!$D$4&lt; 10.8, Table15[[#This Row],[STR]], Table15[[#This Row],[STR]] / (Arachne!$D$4 / 10.8)), 1)</f>
        <v>5</v>
      </c>
      <c r="R37" s="12">
        <f>CEILING('Earth Elemental'!$B$6/ IF('Earth Elemental'!$D$6&lt; 10.8, Table15[[#This Row],[STR]], Table15[[#This Row],[STR]] / ('Earth Elemental'!$D$6 / 10.8)), 1)</f>
        <v>6</v>
      </c>
      <c r="S37" s="12">
        <f>CEILING('Wind Elemental'!$B$6/ IF('Wind Elemental'!$D$6&lt; 10.8, Table15[[#This Row],[STR]], Table15[[#This Row],[STR]] / ('Wind Elemental'!$D$6 / 10.8)), 1)</f>
        <v>5</v>
      </c>
      <c r="T37" s="12">
        <f>CEILING('Water Elemental'!$B$6/ IF('Water Elemental'!$D$6&lt; 10.8, Table15[[#This Row],[STR]], Table15[[#This Row],[STR]] / ('Water Elemental'!$D$6 / 10.8)), 1)</f>
        <v>7</v>
      </c>
      <c r="U37" s="12">
        <f>CEILING('Fire Elemental'!$B$4/ IF('Fire Elemental'!$D$4&lt; 10.8, Table15[[#This Row],[STR]], Table15[[#This Row],[STR]] / ('Fire Elemental'!$D$4 / 10.8)), 1)</f>
        <v>9</v>
      </c>
      <c r="V37" s="15">
        <f>CEILING(Wyvern!$B$4/ IF(Wyvern!$D$4&lt; 10.8, Table15[[#This Row],[STR]], Table15[[#This Row],[STR]] / (Wyvern!$D$4 / 10.8)), 1)</f>
        <v>12</v>
      </c>
      <c r="W37" s="15">
        <f>CEILING('Evolved Wyvern'!$B$4/ IF('Evolved Wyvern'!$D$4&lt; 10.8, Table15[[#This Row],[STR]], Table15[[#This Row],[STR]] / ('Evolved Wyvern'!$D$4 / 10.8)), 1)</f>
        <v>17</v>
      </c>
      <c r="X37" s="15">
        <f>CEILING(Dragon!$B$4/ IF(Dragon!$D$4&lt; 10.8, Table15[[#This Row],[STR]], Table15[[#This Row],[STR]] / (Dragon!$D$4 / 10.8)), 1)</f>
        <v>28</v>
      </c>
      <c r="Z37" s="8">
        <f>CEILING('Blue Slime'!$M$5/ IF('Blue Slime'!$O$5&lt; 10.8, Table15[[#This Row],[STR]], Table15[[#This Row],[STR]] / ('Blue Slime'!$O$5 / 10.8)), 1)</f>
        <v>1</v>
      </c>
      <c r="AA37" s="8">
        <f>CEILING('Green Slime'!$M$5/ IF('Green Slime'!$O$5&lt; 10.8, Table15[[#This Row],[STR]], Table15[[#This Row],[STR]] / ('Green Slime'!$O$5 / 10.8)), 1)</f>
        <v>1</v>
      </c>
      <c r="AB37" s="8">
        <f>CEILING(Wolf!$M$6/ IF(Wolf!$O$6&lt; 10.8, Table15[[#This Row],[STR]], Table15[[#This Row],[STR]] / (Wolf!$O$6 / 10.8)), 1)</f>
        <v>2</v>
      </c>
      <c r="AC37" s="8">
        <f>CEILING('Horned Wolf'!$M$5/ IF('Horned Wolf'!$O$5&lt; 10.8, Table15[[#This Row],[STR]], Table15[[#This Row],[STR]] / ('Horned Wolf'!$O$5 / 10.8)), 1)</f>
        <v>5</v>
      </c>
      <c r="AD37" s="8">
        <f>CEILING(Spider!$M$7/ IF(Spider!$O$7&lt; 10.8, Table15[[#This Row],[STR]], Table15[[#This Row],[STR]] / (Spider!$O$7 / 10.8)), 1)</f>
        <v>4</v>
      </c>
      <c r="AE37" s="8">
        <f>CEILING('Evolved Spider'!$M$8/ IF('Evolved Spider'!$O$8&lt; 10.8, Table15[[#This Row],[STR]], Table15[[#This Row],[STR]] / ('Evolved Spider'!$O$8 / 10.8)), 1)</f>
        <v>8</v>
      </c>
      <c r="AF37" s="8">
        <f>CEILING(Arachne!$M$4/ IF(Arachne!$O$4&lt; 10.8, Table15[[#This Row],[STR]], Table15[[#This Row],[STR]] / (Arachne!$O$4 / 10.8)), 1)</f>
        <v>10</v>
      </c>
      <c r="AG37" s="12">
        <f>CEILING('Earth Elemental'!$M$6/ IF('Earth Elemental'!$O$6&lt; 10.8, Table15[[#This Row],[STR]], Table15[[#This Row],[STR]] / ('Earth Elemental'!$O$6 / 10.8)), 1)</f>
        <v>9</v>
      </c>
      <c r="AH37" s="12">
        <f>CEILING('Wind Elemental'!$M$6/ IF('Wind Elemental'!$O$6&lt; 10.8, Table15[[#This Row],[STR]], Table15[[#This Row],[STR]] / ('Wind Elemental'!$O$6 / 10.8)), 1)</f>
        <v>8</v>
      </c>
      <c r="AI37" s="12">
        <f>CEILING('Water Elemental'!$M$6/ IF('Water Elemental'!$O$6&lt; 10.8, Table15[[#This Row],[STR]], Table15[[#This Row],[STR]] / ('Water Elemental'!$O$6 / 10.8)), 1)</f>
        <v>11</v>
      </c>
      <c r="AJ37" s="12">
        <f>CEILING('Fire Elemental'!$M$4/ IF('Fire Elemental'!$O$4&lt; 10.8, Table15[[#This Row],[STR]], Table15[[#This Row],[STR]] / ('Fire Elemental'!$O$4 / 10.8)), 1)</f>
        <v>16</v>
      </c>
      <c r="AK37" s="15">
        <f>CEILING(Wyvern!$M$4/ IF(Wyvern!$O$4&lt; 10.8, Table15[[#This Row],[STR]], Table15[[#This Row],[STR]] / (Wyvern!$O$4 / 10.8)), 1)</f>
        <v>20</v>
      </c>
      <c r="AL37" s="15">
        <f>CEILING('Evolved Wyvern'!$M$4/ IF('Evolved Wyvern'!$O$4&lt; 10.8, Table15[[#This Row],[STR]], Table15[[#This Row],[STR]] / ('Evolved Wyvern'!$O$4 / 10.8)), 1)</f>
        <v>27</v>
      </c>
      <c r="AM37" s="15">
        <f>CEILING(Dragon!$M$4/ IF(Dragon!$O$4&lt; 10.8, Table15[[#This Row],[STR]], Table15[[#This Row],[STR]] / (Dragon!$O$4 / 10.8)), 1)</f>
        <v>44</v>
      </c>
      <c r="AO37" s="8">
        <f>CEILING('Blue Slime'!$Z$5/ IF('Blue Slime'!$X$5&lt; 10.8, Table15[[#This Row],[STR]], Table15[[#This Row],[STR]] / ('Blue Slime'!$X$5 / 10.8)), 1)</f>
        <v>1</v>
      </c>
      <c r="AP37" s="8">
        <f>CEILING('Green Slime'!$Z$5/ IF('Green Slime'!$X$5&lt; 10.8, Table15[[#This Row],[STR]], Table15[[#This Row],[STR]] / ('Green Slime'!$X$5 / 10.8)), 1)</f>
        <v>1</v>
      </c>
      <c r="AQ37" s="8">
        <f>CEILING(Wolf!$Z$6/ IF(Wolf!$X$6&lt; 10.8, Table15[[#This Row],[STR]], Table15[[#This Row],[STR]] / (Wolf!$X$6 / 10.8)), 1)</f>
        <v>3</v>
      </c>
      <c r="AR37" s="8">
        <f>CEILING('Horned Wolf'!$Z$5/ IF('Horned Wolf'!$X$5&lt; 10.8, Table15[[#This Row],[STR]], Table15[[#This Row],[STR]] / ('Horned Wolf'!$X$5 / 10.8)), 1)</f>
        <v>8</v>
      </c>
      <c r="AS37" s="8">
        <f>CEILING(Spider!$Z$7/ IF(Spider!$X$7&lt; 10.8, Table15[[#This Row],[STR]], Table15[[#This Row],[STR]] / (Spider!$X$7 / 10.8)), 1)</f>
        <v>7</v>
      </c>
      <c r="AT37" s="8">
        <f>CEILING('Evolved Spider'!$Z$8/ IF('Evolved Spider'!$X$8&lt; 10.8, Table15[[#This Row],[STR]], Table15[[#This Row],[STR]] / ('Evolved Spider'!$X$8 / 10.8)), 1)</f>
        <v>12</v>
      </c>
      <c r="AU37" s="8">
        <f>CEILING(Arachne!$Z$4/ IF(Arachne!$X$4&lt; 10.8, Table15[[#This Row],[STR]], Table15[[#This Row],[STR]] / (Arachne!$X$4 / 10.8)), 1)</f>
        <v>17</v>
      </c>
      <c r="AV37" s="12">
        <f>CEILING('Earth Elemental'!$Z$6/ IF('Earth Elemental'!$X$6&lt; 10.8, Table15[[#This Row],[STR]], Table15[[#This Row],[STR]] / ('Earth Elemental'!$X$6 / 10.8)), 1)</f>
        <v>14</v>
      </c>
      <c r="AW37" s="12">
        <f>CEILING('Wind Elemental'!$Z$6/ IF('Wind Elemental'!$X$6&lt; 10.8, Table15[[#This Row],[STR]], Table15[[#This Row],[STR]] / ('Wind Elemental'!$X$6 / 10.8)), 1)</f>
        <v>11</v>
      </c>
      <c r="AX37" s="12">
        <f>CEILING('Water Elemental'!$Z$6/ IF('Water Elemental'!$X$6&lt; 10.8, Table15[[#This Row],[STR]], Table15[[#This Row],[STR]] / ('Water Elemental'!$X$6 / 10.8)), 1)</f>
        <v>15</v>
      </c>
      <c r="AY37" s="12">
        <f>CEILING('Fire Elemental'!$Z$4/ IF('Fire Elemental'!$X$4&lt; 10.8, Table15[[#This Row],[STR]], Table15[[#This Row],[STR]] / ('Fire Elemental'!$X$4 / 10.8)), 1)</f>
        <v>24</v>
      </c>
      <c r="AZ37" s="15">
        <f>CEILING(Wyvern!$Z$4/ IF(Wyvern!$X$4&lt; 10.8, Table15[[#This Row],[STR]], Table15[[#This Row],[STR]] / (Wyvern!$X$4 / 10.8)), 1)</f>
        <v>29</v>
      </c>
      <c r="BA37" s="15">
        <f>CEILING('Evolved Wyvern'!$Z$4/ IF('Evolved Wyvern'!$X$4&lt; 10.8, Table15[[#This Row],[STR]], Table15[[#This Row],[STR]] / ('Evolved Wyvern'!$X$4 / 10.8)), 1)</f>
        <v>37</v>
      </c>
      <c r="BB37" s="15">
        <f>CEILING(Dragon!$Z$4/ IF(Dragon!$X$4&lt; 10.8, Table15[[#This Row],[STR]], Table15[[#This Row],[STR]] / (Dragon!$X$4 / 10.8)), 1)</f>
        <v>63</v>
      </c>
    </row>
    <row r="38" spans="1:54" x14ac:dyDescent="0.3">
      <c r="A38" s="1">
        <v>36</v>
      </c>
      <c r="B38" s="1">
        <f>$B$3 + ((Table15[[#This Row],[Level]] / 10) + $B$3 / 8) * Table15[[#This Row],[Level]] + Equipment!$D$34</f>
        <v>253.6</v>
      </c>
      <c r="C38" s="1">
        <f xml:space="preserve"> 2*Table15[[#This Row],[INT]]</f>
        <v>228</v>
      </c>
      <c r="D38" s="1">
        <f>$D$3 + ($D$3 / 4) * Table15[[#This Row],[Level]] + Equipment!$E$34</f>
        <v>71</v>
      </c>
      <c r="E38" s="1">
        <f>$E$3 + ($E$3 / 4) * Table15[[#This Row],[Level]] + Equipment!$F$34</f>
        <v>86</v>
      </c>
      <c r="F38" s="1">
        <f>$F$3 + ($F$3 / 4) * Table15[[#This Row],[Level]] + Equipment!$G$34</f>
        <v>100</v>
      </c>
      <c r="G38" s="1">
        <f>$G$3 + ($G$3 / 4) * Table15[[#This Row],[Level]] + Equipment!$H$34</f>
        <v>114</v>
      </c>
      <c r="H38" s="1">
        <f>$H$3 + ($H$3 / 4) * Table15[[#This Row],[Level]] + Equipment!$I$34</f>
        <v>86</v>
      </c>
      <c r="I38" s="1">
        <f xml:space="preserve"> (4 * (Table15[[#This Row],[Level]] ^ 3))/7 + $I$3</f>
        <v>26760.571428571428</v>
      </c>
      <c r="K38" s="8">
        <f>CEILING('Blue Slime'!$B$5/ IF('Blue Slime'!$D$5&lt; 10.8, Table15[[#This Row],[STR]], Table15[[#This Row],[STR]] / ('Blue Slime'!$D$5 / 10.8)), 1)</f>
        <v>1</v>
      </c>
      <c r="L38" s="8">
        <f>CEILING('Green Slime'!$B$5/ IF('Green Slime'!$D$5&lt; 10.8, Table15[[#This Row],[STR]], Table15[[#This Row],[STR]] / ('Green Slime'!$D$5 / 10.8)), 1)</f>
        <v>1</v>
      </c>
      <c r="M38" s="8">
        <f>CEILING(Wolf!$B$6/ IF(Wolf!$D$6&lt; 10.8, Table15[[#This Row],[STR]], Table15[[#This Row],[STR]] / (Wolf!$D$6 / 10.8)), 1)</f>
        <v>1</v>
      </c>
      <c r="N38" s="8">
        <f>CEILING('Horned Wolf'!$B$5/ IF('Horned Wolf'!$D$5&lt; 10.8, Table15[[#This Row],[STR]], Table15[[#This Row],[STR]] / ('Horned Wolf'!$D$5 / 10.8)), 1)</f>
        <v>2</v>
      </c>
      <c r="O38" s="8">
        <f>CEILING(Spider!$B$7/ IF(Spider!$D$7&lt; 10.8, Table15[[#This Row],[STR]], Table15[[#This Row],[STR]] / (Spider!$D$7 / 10.8)), 1)</f>
        <v>2</v>
      </c>
      <c r="P38" s="8">
        <f>CEILING('Evolved Spider'!$B$8/ IF('Evolved Spider'!$D$8&lt; 10.8, Table15[[#This Row],[STR]], Table15[[#This Row],[STR]] / ('Evolved Spider'!$D$8 / 10.8)), 1)</f>
        <v>4</v>
      </c>
      <c r="Q38" s="8">
        <f>CEILING(Arachne!$B$4/ IF(Arachne!$D$4&lt; 10.8, Table15[[#This Row],[STR]], Table15[[#This Row],[STR]] / (Arachne!$D$4 / 10.8)), 1)</f>
        <v>5</v>
      </c>
      <c r="R38" s="12">
        <f>CEILING('Earth Elemental'!$B$6/ IF('Earth Elemental'!$D$6&lt; 10.8, Table15[[#This Row],[STR]], Table15[[#This Row],[STR]] / ('Earth Elemental'!$D$6 / 10.8)), 1)</f>
        <v>6</v>
      </c>
      <c r="S38" s="12">
        <f>CEILING('Wind Elemental'!$B$6/ IF('Wind Elemental'!$D$6&lt; 10.8, Table15[[#This Row],[STR]], Table15[[#This Row],[STR]] / ('Wind Elemental'!$D$6 / 10.8)), 1)</f>
        <v>5</v>
      </c>
      <c r="T38" s="12">
        <f>CEILING('Water Elemental'!$B$6/ IF('Water Elemental'!$D$6&lt; 10.8, Table15[[#This Row],[STR]], Table15[[#This Row],[STR]] / ('Water Elemental'!$D$6 / 10.8)), 1)</f>
        <v>7</v>
      </c>
      <c r="U38" s="12">
        <f>CEILING('Fire Elemental'!$B$4/ IF('Fire Elemental'!$D$4&lt; 10.8, Table15[[#This Row],[STR]], Table15[[#This Row],[STR]] / ('Fire Elemental'!$D$4 / 10.8)), 1)</f>
        <v>9</v>
      </c>
      <c r="V38" s="15">
        <f>CEILING(Wyvern!$B$4/ IF(Wyvern!$D$4&lt; 10.8, Table15[[#This Row],[STR]], Table15[[#This Row],[STR]] / (Wyvern!$D$4 / 10.8)), 1)</f>
        <v>12</v>
      </c>
      <c r="W38" s="15">
        <f>CEILING('Evolved Wyvern'!$B$4/ IF('Evolved Wyvern'!$D$4&lt; 10.8, Table15[[#This Row],[STR]], Table15[[#This Row],[STR]] / ('Evolved Wyvern'!$D$4 / 10.8)), 1)</f>
        <v>17</v>
      </c>
      <c r="X38" s="15">
        <f>CEILING(Dragon!$B$4/ IF(Dragon!$D$4&lt; 10.8, Table15[[#This Row],[STR]], Table15[[#This Row],[STR]] / (Dragon!$D$4 / 10.8)), 1)</f>
        <v>27</v>
      </c>
      <c r="Z38" s="8">
        <f>CEILING('Blue Slime'!$M$5/ IF('Blue Slime'!$O$5&lt; 10.8, Table15[[#This Row],[STR]], Table15[[#This Row],[STR]] / ('Blue Slime'!$O$5 / 10.8)), 1)</f>
        <v>1</v>
      </c>
      <c r="AA38" s="8">
        <f>CEILING('Green Slime'!$M$5/ IF('Green Slime'!$O$5&lt; 10.8, Table15[[#This Row],[STR]], Table15[[#This Row],[STR]] / ('Green Slime'!$O$5 / 10.8)), 1)</f>
        <v>1</v>
      </c>
      <c r="AB38" s="8">
        <f>CEILING(Wolf!$M$6/ IF(Wolf!$O$6&lt; 10.8, Table15[[#This Row],[STR]], Table15[[#This Row],[STR]] / (Wolf!$O$6 / 10.8)), 1)</f>
        <v>2</v>
      </c>
      <c r="AC38" s="8">
        <f>CEILING('Horned Wolf'!$M$5/ IF('Horned Wolf'!$O$5&lt; 10.8, Table15[[#This Row],[STR]], Table15[[#This Row],[STR]] / ('Horned Wolf'!$O$5 / 10.8)), 1)</f>
        <v>5</v>
      </c>
      <c r="AD38" s="8">
        <f>CEILING(Spider!$M$7/ IF(Spider!$O$7&lt; 10.8, Table15[[#This Row],[STR]], Table15[[#This Row],[STR]] / (Spider!$O$7 / 10.8)), 1)</f>
        <v>4</v>
      </c>
      <c r="AE38" s="8">
        <f>CEILING('Evolved Spider'!$M$8/ IF('Evolved Spider'!$O$8&lt; 10.8, Table15[[#This Row],[STR]], Table15[[#This Row],[STR]] / ('Evolved Spider'!$O$8 / 10.8)), 1)</f>
        <v>8</v>
      </c>
      <c r="AF38" s="8">
        <f>CEILING(Arachne!$M$4/ IF(Arachne!$O$4&lt; 10.8, Table15[[#This Row],[STR]], Table15[[#This Row],[STR]] / (Arachne!$O$4 / 10.8)), 1)</f>
        <v>10</v>
      </c>
      <c r="AG38" s="12">
        <f>CEILING('Earth Elemental'!$M$6/ IF('Earth Elemental'!$O$6&lt; 10.8, Table15[[#This Row],[STR]], Table15[[#This Row],[STR]] / ('Earth Elemental'!$O$6 / 10.8)), 1)</f>
        <v>9</v>
      </c>
      <c r="AH38" s="12">
        <f>CEILING('Wind Elemental'!$M$6/ IF('Wind Elemental'!$O$6&lt; 10.8, Table15[[#This Row],[STR]], Table15[[#This Row],[STR]] / ('Wind Elemental'!$O$6 / 10.8)), 1)</f>
        <v>8</v>
      </c>
      <c r="AI38" s="12">
        <f>CEILING('Water Elemental'!$M$6/ IF('Water Elemental'!$O$6&lt; 10.8, Table15[[#This Row],[STR]], Table15[[#This Row],[STR]] / ('Water Elemental'!$O$6 / 10.8)), 1)</f>
        <v>11</v>
      </c>
      <c r="AJ38" s="12">
        <f>CEILING('Fire Elemental'!$M$4/ IF('Fire Elemental'!$O$4&lt; 10.8, Table15[[#This Row],[STR]], Table15[[#This Row],[STR]] / ('Fire Elemental'!$O$4 / 10.8)), 1)</f>
        <v>16</v>
      </c>
      <c r="AK38" s="15">
        <f>CEILING(Wyvern!$M$4/ IF(Wyvern!$O$4&lt; 10.8, Table15[[#This Row],[STR]], Table15[[#This Row],[STR]] / (Wyvern!$O$4 / 10.8)), 1)</f>
        <v>20</v>
      </c>
      <c r="AL38" s="15">
        <f>CEILING('Evolved Wyvern'!$M$4/ IF('Evolved Wyvern'!$O$4&lt; 10.8, Table15[[#This Row],[STR]], Table15[[#This Row],[STR]] / ('Evolved Wyvern'!$O$4 / 10.8)), 1)</f>
        <v>26</v>
      </c>
      <c r="AM38" s="15">
        <f>CEILING(Dragon!$M$4/ IF(Dragon!$O$4&lt; 10.8, Table15[[#This Row],[STR]], Table15[[#This Row],[STR]] / (Dragon!$O$4 / 10.8)), 1)</f>
        <v>43</v>
      </c>
      <c r="AO38" s="8">
        <f>CEILING('Blue Slime'!$Z$5/ IF('Blue Slime'!$X$5&lt; 10.8, Table15[[#This Row],[STR]], Table15[[#This Row],[STR]] / ('Blue Slime'!$X$5 / 10.8)), 1)</f>
        <v>1</v>
      </c>
      <c r="AP38" s="8">
        <f>CEILING('Green Slime'!$Z$5/ IF('Green Slime'!$X$5&lt; 10.8, Table15[[#This Row],[STR]], Table15[[#This Row],[STR]] / ('Green Slime'!$X$5 / 10.8)), 1)</f>
        <v>1</v>
      </c>
      <c r="AQ38" s="8">
        <f>CEILING(Wolf!$Z$6/ IF(Wolf!$X$6&lt; 10.8, Table15[[#This Row],[STR]], Table15[[#This Row],[STR]] / (Wolf!$X$6 / 10.8)), 1)</f>
        <v>3</v>
      </c>
      <c r="AR38" s="8">
        <f>CEILING('Horned Wolf'!$Z$5/ IF('Horned Wolf'!$X$5&lt; 10.8, Table15[[#This Row],[STR]], Table15[[#This Row],[STR]] / ('Horned Wolf'!$X$5 / 10.8)), 1)</f>
        <v>8</v>
      </c>
      <c r="AS38" s="8">
        <f>CEILING(Spider!$Z$7/ IF(Spider!$X$7&lt; 10.8, Table15[[#This Row],[STR]], Table15[[#This Row],[STR]] / (Spider!$X$7 / 10.8)), 1)</f>
        <v>7</v>
      </c>
      <c r="AT38" s="8">
        <f>CEILING('Evolved Spider'!$Z$8/ IF('Evolved Spider'!$X$8&lt; 10.8, Table15[[#This Row],[STR]], Table15[[#This Row],[STR]] / ('Evolved Spider'!$X$8 / 10.8)), 1)</f>
        <v>12</v>
      </c>
      <c r="AU38" s="8">
        <f>CEILING(Arachne!$Z$4/ IF(Arachne!$X$4&lt; 10.8, Table15[[#This Row],[STR]], Table15[[#This Row],[STR]] / (Arachne!$X$4 / 10.8)), 1)</f>
        <v>16</v>
      </c>
      <c r="AV38" s="12">
        <f>CEILING('Earth Elemental'!$Z$6/ IF('Earth Elemental'!$X$6&lt; 10.8, Table15[[#This Row],[STR]], Table15[[#This Row],[STR]] / ('Earth Elemental'!$X$6 / 10.8)), 1)</f>
        <v>14</v>
      </c>
      <c r="AW38" s="12">
        <f>CEILING('Wind Elemental'!$Z$6/ IF('Wind Elemental'!$X$6&lt; 10.8, Table15[[#This Row],[STR]], Table15[[#This Row],[STR]] / ('Wind Elemental'!$X$6 / 10.8)), 1)</f>
        <v>11</v>
      </c>
      <c r="AX38" s="12">
        <f>CEILING('Water Elemental'!$Z$6/ IF('Water Elemental'!$X$6&lt; 10.8, Table15[[#This Row],[STR]], Table15[[#This Row],[STR]] / ('Water Elemental'!$X$6 / 10.8)), 1)</f>
        <v>15</v>
      </c>
      <c r="AY38" s="12">
        <f>CEILING('Fire Elemental'!$Z$4/ IF('Fire Elemental'!$X$4&lt; 10.8, Table15[[#This Row],[STR]], Table15[[#This Row],[STR]] / ('Fire Elemental'!$X$4 / 10.8)), 1)</f>
        <v>24</v>
      </c>
      <c r="AZ38" s="15">
        <f>CEILING(Wyvern!$Z$4/ IF(Wyvern!$X$4&lt; 10.8, Table15[[#This Row],[STR]], Table15[[#This Row],[STR]] / (Wyvern!$X$4 / 10.8)), 1)</f>
        <v>29</v>
      </c>
      <c r="BA38" s="15">
        <f>CEILING('Evolved Wyvern'!$Z$4/ IF('Evolved Wyvern'!$X$4&lt; 10.8, Table15[[#This Row],[STR]], Table15[[#This Row],[STR]] / ('Evolved Wyvern'!$X$4 / 10.8)), 1)</f>
        <v>37</v>
      </c>
      <c r="BB38" s="15">
        <f>CEILING(Dragon!$Z$4/ IF(Dragon!$X$4&lt; 10.8, Table15[[#This Row],[STR]], Table15[[#This Row],[STR]] / (Dragon!$X$4 / 10.8)), 1)</f>
        <v>61</v>
      </c>
    </row>
    <row r="39" spans="1:54" x14ac:dyDescent="0.3">
      <c r="A39" s="1">
        <v>37</v>
      </c>
      <c r="B39" s="1">
        <f>$B$3 + ((Table15[[#This Row],[Level]] / 10) + $B$3 / 8) * Table15[[#This Row],[Level]] + Equipment!$D$34</f>
        <v>262.14999999999998</v>
      </c>
      <c r="C39" s="1">
        <f xml:space="preserve"> 2*Table15[[#This Row],[INT]]</f>
        <v>232</v>
      </c>
      <c r="D39" s="1">
        <f>$D$3 + ($D$3 / 4) * Table15[[#This Row],[Level]] + Equipment!$E$34</f>
        <v>72.25</v>
      </c>
      <c r="E39" s="1">
        <f>$E$3 + ($E$3 / 4) * Table15[[#This Row],[Level]] + Equipment!$F$34</f>
        <v>87.5</v>
      </c>
      <c r="F39" s="1">
        <f>$F$3 + ($F$3 / 4) * Table15[[#This Row],[Level]] + Equipment!$G$34</f>
        <v>101.75</v>
      </c>
      <c r="G39" s="1">
        <f>$G$3 + ($G$3 / 4) * Table15[[#This Row],[Level]] + Equipment!$H$34</f>
        <v>116</v>
      </c>
      <c r="H39" s="1">
        <f>$H$3 + ($H$3 / 4) * Table15[[#This Row],[Level]] + Equipment!$I$34</f>
        <v>87.5</v>
      </c>
      <c r="I39" s="1">
        <f xml:space="preserve"> (4 * (Table15[[#This Row],[Level]] ^ 3))/7 + $I$3</f>
        <v>29044.571428571428</v>
      </c>
      <c r="K39" s="8">
        <f>CEILING('Blue Slime'!$B$5/ IF('Blue Slime'!$D$5&lt; 10.8, Table15[[#This Row],[STR]], Table15[[#This Row],[STR]] / ('Blue Slime'!$D$5 / 10.8)), 1)</f>
        <v>1</v>
      </c>
      <c r="L39" s="8">
        <f>CEILING('Green Slime'!$B$5/ IF('Green Slime'!$D$5&lt; 10.8, Table15[[#This Row],[STR]], Table15[[#This Row],[STR]] / ('Green Slime'!$D$5 / 10.8)), 1)</f>
        <v>1</v>
      </c>
      <c r="M39" s="8">
        <f>CEILING(Wolf!$B$6/ IF(Wolf!$D$6&lt; 10.8, Table15[[#This Row],[STR]], Table15[[#This Row],[STR]] / (Wolf!$D$6 / 10.8)), 1)</f>
        <v>1</v>
      </c>
      <c r="N39" s="8">
        <f>CEILING('Horned Wolf'!$B$5/ IF('Horned Wolf'!$D$5&lt; 10.8, Table15[[#This Row],[STR]], Table15[[#This Row],[STR]] / ('Horned Wolf'!$D$5 / 10.8)), 1)</f>
        <v>2</v>
      </c>
      <c r="O39" s="8">
        <f>CEILING(Spider!$B$7/ IF(Spider!$D$7&lt; 10.8, Table15[[#This Row],[STR]], Table15[[#This Row],[STR]] / (Spider!$D$7 / 10.8)), 1)</f>
        <v>2</v>
      </c>
      <c r="P39" s="8">
        <f>CEILING('Evolved Spider'!$B$8/ IF('Evolved Spider'!$D$8&lt; 10.8, Table15[[#This Row],[STR]], Table15[[#This Row],[STR]] / ('Evolved Spider'!$D$8 / 10.8)), 1)</f>
        <v>4</v>
      </c>
      <c r="Q39" s="8">
        <f>CEILING(Arachne!$B$4/ IF(Arachne!$D$4&lt; 10.8, Table15[[#This Row],[STR]], Table15[[#This Row],[STR]] / (Arachne!$D$4 / 10.8)), 1)</f>
        <v>5</v>
      </c>
      <c r="R39" s="12">
        <f>CEILING('Earth Elemental'!$B$6/ IF('Earth Elemental'!$D$6&lt; 10.8, Table15[[#This Row],[STR]], Table15[[#This Row],[STR]] / ('Earth Elemental'!$D$6 / 10.8)), 1)</f>
        <v>5</v>
      </c>
      <c r="S39" s="12">
        <f>CEILING('Wind Elemental'!$B$6/ IF('Wind Elemental'!$D$6&lt; 10.8, Table15[[#This Row],[STR]], Table15[[#This Row],[STR]] / ('Wind Elemental'!$D$6 / 10.8)), 1)</f>
        <v>5</v>
      </c>
      <c r="T39" s="12">
        <f>CEILING('Water Elemental'!$B$6/ IF('Water Elemental'!$D$6&lt; 10.8, Table15[[#This Row],[STR]], Table15[[#This Row],[STR]] / ('Water Elemental'!$D$6 / 10.8)), 1)</f>
        <v>7</v>
      </c>
      <c r="U39" s="12">
        <f>CEILING('Fire Elemental'!$B$4/ IF('Fire Elemental'!$D$4&lt; 10.8, Table15[[#This Row],[STR]], Table15[[#This Row],[STR]] / ('Fire Elemental'!$D$4 / 10.8)), 1)</f>
        <v>9</v>
      </c>
      <c r="V39" s="15">
        <f>CEILING(Wyvern!$B$4/ IF(Wyvern!$D$4&lt; 10.8, Table15[[#This Row],[STR]], Table15[[#This Row],[STR]] / (Wyvern!$D$4 / 10.8)), 1)</f>
        <v>12</v>
      </c>
      <c r="W39" s="15">
        <f>CEILING('Evolved Wyvern'!$B$4/ IF('Evolved Wyvern'!$D$4&lt; 10.8, Table15[[#This Row],[STR]], Table15[[#This Row],[STR]] / ('Evolved Wyvern'!$D$4 / 10.8)), 1)</f>
        <v>16</v>
      </c>
      <c r="X39" s="15">
        <f>CEILING(Dragon!$B$4/ IF(Dragon!$D$4&lt; 10.8, Table15[[#This Row],[STR]], Table15[[#This Row],[STR]] / (Dragon!$D$4 / 10.8)), 1)</f>
        <v>27</v>
      </c>
      <c r="Z39" s="8">
        <f>CEILING('Blue Slime'!$M$5/ IF('Blue Slime'!$O$5&lt; 10.8, Table15[[#This Row],[STR]], Table15[[#This Row],[STR]] / ('Blue Slime'!$O$5 / 10.8)), 1)</f>
        <v>1</v>
      </c>
      <c r="AA39" s="8">
        <f>CEILING('Green Slime'!$M$5/ IF('Green Slime'!$O$5&lt; 10.8, Table15[[#This Row],[STR]], Table15[[#This Row],[STR]] / ('Green Slime'!$O$5 / 10.8)), 1)</f>
        <v>1</v>
      </c>
      <c r="AB39" s="8">
        <f>CEILING(Wolf!$M$6/ IF(Wolf!$O$6&lt; 10.8, Table15[[#This Row],[STR]], Table15[[#This Row],[STR]] / (Wolf!$O$6 / 10.8)), 1)</f>
        <v>2</v>
      </c>
      <c r="AC39" s="8">
        <f>CEILING('Horned Wolf'!$M$5/ IF('Horned Wolf'!$O$5&lt; 10.8, Table15[[#This Row],[STR]], Table15[[#This Row],[STR]] / ('Horned Wolf'!$O$5 / 10.8)), 1)</f>
        <v>5</v>
      </c>
      <c r="AD39" s="8">
        <f>CEILING(Spider!$M$7/ IF(Spider!$O$7&lt; 10.8, Table15[[#This Row],[STR]], Table15[[#This Row],[STR]] / (Spider!$O$7 / 10.8)), 1)</f>
        <v>4</v>
      </c>
      <c r="AE39" s="8">
        <f>CEILING('Evolved Spider'!$M$8/ IF('Evolved Spider'!$O$8&lt; 10.8, Table15[[#This Row],[STR]], Table15[[#This Row],[STR]] / ('Evolved Spider'!$O$8 / 10.8)), 1)</f>
        <v>8</v>
      </c>
      <c r="AF39" s="8">
        <f>CEILING(Arachne!$M$4/ IF(Arachne!$O$4&lt; 10.8, Table15[[#This Row],[STR]], Table15[[#This Row],[STR]] / (Arachne!$O$4 / 10.8)), 1)</f>
        <v>10</v>
      </c>
      <c r="AG39" s="12">
        <f>CEILING('Earth Elemental'!$M$6/ IF('Earth Elemental'!$O$6&lt; 10.8, Table15[[#This Row],[STR]], Table15[[#This Row],[STR]] / ('Earth Elemental'!$O$6 / 10.8)), 1)</f>
        <v>9</v>
      </c>
      <c r="AH39" s="12">
        <f>CEILING('Wind Elemental'!$M$6/ IF('Wind Elemental'!$O$6&lt; 10.8, Table15[[#This Row],[STR]], Table15[[#This Row],[STR]] / ('Wind Elemental'!$O$6 / 10.8)), 1)</f>
        <v>8</v>
      </c>
      <c r="AI39" s="12">
        <f>CEILING('Water Elemental'!$M$6/ IF('Water Elemental'!$O$6&lt; 10.8, Table15[[#This Row],[STR]], Table15[[#This Row],[STR]] / ('Water Elemental'!$O$6 / 10.8)), 1)</f>
        <v>11</v>
      </c>
      <c r="AJ39" s="12">
        <f>CEILING('Fire Elemental'!$M$4/ IF('Fire Elemental'!$O$4&lt; 10.8, Table15[[#This Row],[STR]], Table15[[#This Row],[STR]] / ('Fire Elemental'!$O$4 / 10.8)), 1)</f>
        <v>15</v>
      </c>
      <c r="AK39" s="15">
        <f>CEILING(Wyvern!$M$4/ IF(Wyvern!$O$4&lt; 10.8, Table15[[#This Row],[STR]], Table15[[#This Row],[STR]] / (Wyvern!$O$4 / 10.8)), 1)</f>
        <v>20</v>
      </c>
      <c r="AL39" s="15">
        <f>CEILING('Evolved Wyvern'!$M$4/ IF('Evolved Wyvern'!$O$4&lt; 10.8, Table15[[#This Row],[STR]], Table15[[#This Row],[STR]] / ('Evolved Wyvern'!$O$4 / 10.8)), 1)</f>
        <v>26</v>
      </c>
      <c r="AM39" s="15">
        <f>CEILING(Dragon!$M$4/ IF(Dragon!$O$4&lt; 10.8, Table15[[#This Row],[STR]], Table15[[#This Row],[STR]] / (Dragon!$O$4 / 10.8)), 1)</f>
        <v>43</v>
      </c>
      <c r="AO39" s="8">
        <f>CEILING('Blue Slime'!$Z$5/ IF('Blue Slime'!$X$5&lt; 10.8, Table15[[#This Row],[STR]], Table15[[#This Row],[STR]] / ('Blue Slime'!$X$5 / 10.8)), 1)</f>
        <v>1</v>
      </c>
      <c r="AP39" s="8">
        <f>CEILING('Green Slime'!$Z$5/ IF('Green Slime'!$X$5&lt; 10.8, Table15[[#This Row],[STR]], Table15[[#This Row],[STR]] / ('Green Slime'!$X$5 / 10.8)), 1)</f>
        <v>1</v>
      </c>
      <c r="AQ39" s="8">
        <f>CEILING(Wolf!$Z$6/ IF(Wolf!$X$6&lt; 10.8, Table15[[#This Row],[STR]], Table15[[#This Row],[STR]] / (Wolf!$X$6 / 10.8)), 1)</f>
        <v>3</v>
      </c>
      <c r="AR39" s="8">
        <f>CEILING('Horned Wolf'!$Z$5/ IF('Horned Wolf'!$X$5&lt; 10.8, Table15[[#This Row],[STR]], Table15[[#This Row],[STR]] / ('Horned Wolf'!$X$5 / 10.8)), 1)</f>
        <v>8</v>
      </c>
      <c r="AS39" s="8">
        <f>CEILING(Spider!$Z$7/ IF(Spider!$X$7&lt; 10.8, Table15[[#This Row],[STR]], Table15[[#This Row],[STR]] / (Spider!$X$7 / 10.8)), 1)</f>
        <v>7</v>
      </c>
      <c r="AT39" s="8">
        <f>CEILING('Evolved Spider'!$Z$8/ IF('Evolved Spider'!$X$8&lt; 10.8, Table15[[#This Row],[STR]], Table15[[#This Row],[STR]] / ('Evolved Spider'!$X$8 / 10.8)), 1)</f>
        <v>12</v>
      </c>
      <c r="AU39" s="8">
        <f>CEILING(Arachne!$Z$4/ IF(Arachne!$X$4&lt; 10.8, Table15[[#This Row],[STR]], Table15[[#This Row],[STR]] / (Arachne!$X$4 / 10.8)), 1)</f>
        <v>16</v>
      </c>
      <c r="AV39" s="12">
        <f>CEILING('Earth Elemental'!$Z$6/ IF('Earth Elemental'!$X$6&lt; 10.8, Table15[[#This Row],[STR]], Table15[[#This Row],[STR]] / ('Earth Elemental'!$X$6 / 10.8)), 1)</f>
        <v>14</v>
      </c>
      <c r="AW39" s="12">
        <f>CEILING('Wind Elemental'!$Z$6/ IF('Wind Elemental'!$X$6&lt; 10.8, Table15[[#This Row],[STR]], Table15[[#This Row],[STR]] / ('Wind Elemental'!$X$6 / 10.8)), 1)</f>
        <v>11</v>
      </c>
      <c r="AX39" s="12">
        <f>CEILING('Water Elemental'!$Z$6/ IF('Water Elemental'!$X$6&lt; 10.8, Table15[[#This Row],[STR]], Table15[[#This Row],[STR]] / ('Water Elemental'!$X$6 / 10.8)), 1)</f>
        <v>15</v>
      </c>
      <c r="AY39" s="12">
        <f>CEILING('Fire Elemental'!$Z$4/ IF('Fire Elemental'!$X$4&lt; 10.8, Table15[[#This Row],[STR]], Table15[[#This Row],[STR]] / ('Fire Elemental'!$X$4 / 10.8)), 1)</f>
        <v>23</v>
      </c>
      <c r="AZ39" s="15">
        <f>CEILING(Wyvern!$Z$4/ IF(Wyvern!$X$4&lt; 10.8, Table15[[#This Row],[STR]], Table15[[#This Row],[STR]] / (Wyvern!$X$4 / 10.8)), 1)</f>
        <v>28</v>
      </c>
      <c r="BA39" s="15">
        <f>CEILING('Evolved Wyvern'!$Z$4/ IF('Evolved Wyvern'!$X$4&lt; 10.8, Table15[[#This Row],[STR]], Table15[[#This Row],[STR]] / ('Evolved Wyvern'!$X$4 / 10.8)), 1)</f>
        <v>36</v>
      </c>
      <c r="BB39" s="15">
        <f>CEILING(Dragon!$Z$4/ IF(Dragon!$X$4&lt; 10.8, Table15[[#This Row],[STR]], Table15[[#This Row],[STR]] / (Dragon!$X$4 / 10.8)), 1)</f>
        <v>60</v>
      </c>
    </row>
    <row r="40" spans="1:54" x14ac:dyDescent="0.3">
      <c r="A40" s="1">
        <v>38</v>
      </c>
      <c r="B40" s="1">
        <f>$B$3 + ((Table15[[#This Row],[Level]] / 10) + $B$3 / 8) * Table15[[#This Row],[Level]] + Equipment!$D$34</f>
        <v>270.89999999999998</v>
      </c>
      <c r="C40" s="1">
        <f xml:space="preserve"> 2*Table15[[#This Row],[INT]]</f>
        <v>236</v>
      </c>
      <c r="D40" s="1">
        <f>$D$3 + ($D$3 / 4) * Table15[[#This Row],[Level]] + Equipment!$E$34</f>
        <v>73.5</v>
      </c>
      <c r="E40" s="1">
        <f>$E$3 + ($E$3 / 4) * Table15[[#This Row],[Level]] + Equipment!$F$34</f>
        <v>89</v>
      </c>
      <c r="F40" s="1">
        <f>$F$3 + ($F$3 / 4) * Table15[[#This Row],[Level]] + Equipment!$G$34</f>
        <v>103.5</v>
      </c>
      <c r="G40" s="1">
        <f>$G$3 + ($G$3 / 4) * Table15[[#This Row],[Level]] + Equipment!$H$34</f>
        <v>118</v>
      </c>
      <c r="H40" s="1">
        <f>$H$3 + ($H$3 / 4) * Table15[[#This Row],[Level]] + Equipment!$I$34</f>
        <v>89</v>
      </c>
      <c r="I40" s="1">
        <f xml:space="preserve"> (4 * (Table15[[#This Row],[Level]] ^ 3))/7 + $I$3</f>
        <v>31455.428571428572</v>
      </c>
      <c r="K40" s="8">
        <f>CEILING('Blue Slime'!$B$5/ IF('Blue Slime'!$D$5&lt; 10.8, Table15[[#This Row],[STR]], Table15[[#This Row],[STR]] / ('Blue Slime'!$D$5 / 10.8)), 1)</f>
        <v>1</v>
      </c>
      <c r="L40" s="8">
        <f>CEILING('Green Slime'!$B$5/ IF('Green Slime'!$D$5&lt; 10.8, Table15[[#This Row],[STR]], Table15[[#This Row],[STR]] / ('Green Slime'!$D$5 / 10.8)), 1)</f>
        <v>1</v>
      </c>
      <c r="M40" s="8">
        <f>CEILING(Wolf!$B$6/ IF(Wolf!$D$6&lt; 10.8, Table15[[#This Row],[STR]], Table15[[#This Row],[STR]] / (Wolf!$D$6 / 10.8)), 1)</f>
        <v>1</v>
      </c>
      <c r="N40" s="8">
        <f>CEILING('Horned Wolf'!$B$5/ IF('Horned Wolf'!$D$5&lt; 10.8, Table15[[#This Row],[STR]], Table15[[#This Row],[STR]] / ('Horned Wolf'!$D$5 / 10.8)), 1)</f>
        <v>2</v>
      </c>
      <c r="O40" s="8">
        <f>CEILING(Spider!$B$7/ IF(Spider!$D$7&lt; 10.8, Table15[[#This Row],[STR]], Table15[[#This Row],[STR]] / (Spider!$D$7 / 10.8)), 1)</f>
        <v>2</v>
      </c>
      <c r="P40" s="8">
        <f>CEILING('Evolved Spider'!$B$8/ IF('Evolved Spider'!$D$8&lt; 10.8, Table15[[#This Row],[STR]], Table15[[#This Row],[STR]] / ('Evolved Spider'!$D$8 / 10.8)), 1)</f>
        <v>4</v>
      </c>
      <c r="Q40" s="8">
        <f>CEILING(Arachne!$B$4/ IF(Arachne!$D$4&lt; 10.8, Table15[[#This Row],[STR]], Table15[[#This Row],[STR]] / (Arachne!$D$4 / 10.8)), 1)</f>
        <v>5</v>
      </c>
      <c r="R40" s="12">
        <f>CEILING('Earth Elemental'!$B$6/ IF('Earth Elemental'!$D$6&lt; 10.8, Table15[[#This Row],[STR]], Table15[[#This Row],[STR]] / ('Earth Elemental'!$D$6 / 10.8)), 1)</f>
        <v>5</v>
      </c>
      <c r="S40" s="12">
        <f>CEILING('Wind Elemental'!$B$6/ IF('Wind Elemental'!$D$6&lt; 10.8, Table15[[#This Row],[STR]], Table15[[#This Row],[STR]] / ('Wind Elemental'!$D$6 / 10.8)), 1)</f>
        <v>5</v>
      </c>
      <c r="T40" s="12">
        <f>CEILING('Water Elemental'!$B$6/ IF('Water Elemental'!$D$6&lt; 10.8, Table15[[#This Row],[STR]], Table15[[#This Row],[STR]] / ('Water Elemental'!$D$6 / 10.8)), 1)</f>
        <v>7</v>
      </c>
      <c r="U40" s="12">
        <f>CEILING('Fire Elemental'!$B$4/ IF('Fire Elemental'!$D$4&lt; 10.8, Table15[[#This Row],[STR]], Table15[[#This Row],[STR]] / ('Fire Elemental'!$D$4 / 10.8)), 1)</f>
        <v>9</v>
      </c>
      <c r="V40" s="15">
        <f>CEILING(Wyvern!$B$4/ IF(Wyvern!$D$4&lt; 10.8, Table15[[#This Row],[STR]], Table15[[#This Row],[STR]] / (Wyvern!$D$4 / 10.8)), 1)</f>
        <v>12</v>
      </c>
      <c r="W40" s="15">
        <f>CEILING('Evolved Wyvern'!$B$4/ IF('Evolved Wyvern'!$D$4&lt; 10.8, Table15[[#This Row],[STR]], Table15[[#This Row],[STR]] / ('Evolved Wyvern'!$D$4 / 10.8)), 1)</f>
        <v>16</v>
      </c>
      <c r="X40" s="15">
        <f>CEILING(Dragon!$B$4/ IF(Dragon!$D$4&lt; 10.8, Table15[[#This Row],[STR]], Table15[[#This Row],[STR]] / (Dragon!$D$4 / 10.8)), 1)</f>
        <v>26</v>
      </c>
      <c r="Z40" s="8">
        <f>CEILING('Blue Slime'!$M$5/ IF('Blue Slime'!$O$5&lt; 10.8, Table15[[#This Row],[STR]], Table15[[#This Row],[STR]] / ('Blue Slime'!$O$5 / 10.8)), 1)</f>
        <v>1</v>
      </c>
      <c r="AA40" s="8">
        <f>CEILING('Green Slime'!$M$5/ IF('Green Slime'!$O$5&lt; 10.8, Table15[[#This Row],[STR]], Table15[[#This Row],[STR]] / ('Green Slime'!$O$5 / 10.8)), 1)</f>
        <v>1</v>
      </c>
      <c r="AB40" s="8">
        <f>CEILING(Wolf!$M$6/ IF(Wolf!$O$6&lt; 10.8, Table15[[#This Row],[STR]], Table15[[#This Row],[STR]] / (Wolf!$O$6 / 10.8)), 1)</f>
        <v>2</v>
      </c>
      <c r="AC40" s="8">
        <f>CEILING('Horned Wolf'!$M$5/ IF('Horned Wolf'!$O$5&lt; 10.8, Table15[[#This Row],[STR]], Table15[[#This Row],[STR]] / ('Horned Wolf'!$O$5 / 10.8)), 1)</f>
        <v>5</v>
      </c>
      <c r="AD40" s="8">
        <f>CEILING(Spider!$M$7/ IF(Spider!$O$7&lt; 10.8, Table15[[#This Row],[STR]], Table15[[#This Row],[STR]] / (Spider!$O$7 / 10.8)), 1)</f>
        <v>4</v>
      </c>
      <c r="AE40" s="8">
        <f>CEILING('Evolved Spider'!$M$8/ IF('Evolved Spider'!$O$8&lt; 10.8, Table15[[#This Row],[STR]], Table15[[#This Row],[STR]] / ('Evolved Spider'!$O$8 / 10.8)), 1)</f>
        <v>7</v>
      </c>
      <c r="AF40" s="8">
        <f>CEILING(Arachne!$M$4/ IF(Arachne!$O$4&lt; 10.8, Table15[[#This Row],[STR]], Table15[[#This Row],[STR]] / (Arachne!$O$4 / 10.8)), 1)</f>
        <v>10</v>
      </c>
      <c r="AG40" s="12">
        <f>CEILING('Earth Elemental'!$M$6/ IF('Earth Elemental'!$O$6&lt; 10.8, Table15[[#This Row],[STR]], Table15[[#This Row],[STR]] / ('Earth Elemental'!$O$6 / 10.8)), 1)</f>
        <v>9</v>
      </c>
      <c r="AH40" s="12">
        <f>CEILING('Wind Elemental'!$M$6/ IF('Wind Elemental'!$O$6&lt; 10.8, Table15[[#This Row],[STR]], Table15[[#This Row],[STR]] / ('Wind Elemental'!$O$6 / 10.8)), 1)</f>
        <v>7</v>
      </c>
      <c r="AI40" s="12">
        <f>CEILING('Water Elemental'!$M$6/ IF('Water Elemental'!$O$6&lt; 10.8, Table15[[#This Row],[STR]], Table15[[#This Row],[STR]] / ('Water Elemental'!$O$6 / 10.8)), 1)</f>
        <v>11</v>
      </c>
      <c r="AJ40" s="12">
        <f>CEILING('Fire Elemental'!$M$4/ IF('Fire Elemental'!$O$4&lt; 10.8, Table15[[#This Row],[STR]], Table15[[#This Row],[STR]] / ('Fire Elemental'!$O$4 / 10.8)), 1)</f>
        <v>15</v>
      </c>
      <c r="AK40" s="15">
        <f>CEILING(Wyvern!$M$4/ IF(Wyvern!$O$4&lt; 10.8, Table15[[#This Row],[STR]], Table15[[#This Row],[STR]] / (Wyvern!$O$4 / 10.8)), 1)</f>
        <v>19</v>
      </c>
      <c r="AL40" s="15">
        <f>CEILING('Evolved Wyvern'!$M$4/ IF('Evolved Wyvern'!$O$4&lt; 10.8, Table15[[#This Row],[STR]], Table15[[#This Row],[STR]] / ('Evolved Wyvern'!$O$4 / 10.8)), 1)</f>
        <v>25</v>
      </c>
      <c r="AM40" s="15">
        <f>CEILING(Dragon!$M$4/ IF(Dragon!$O$4&lt; 10.8, Table15[[#This Row],[STR]], Table15[[#This Row],[STR]] / (Dragon!$O$4 / 10.8)), 1)</f>
        <v>42</v>
      </c>
      <c r="AO40" s="8">
        <f>CEILING('Blue Slime'!$Z$5/ IF('Blue Slime'!$X$5&lt; 10.8, Table15[[#This Row],[STR]], Table15[[#This Row],[STR]] / ('Blue Slime'!$X$5 / 10.8)), 1)</f>
        <v>1</v>
      </c>
      <c r="AP40" s="8">
        <f>CEILING('Green Slime'!$Z$5/ IF('Green Slime'!$X$5&lt; 10.8, Table15[[#This Row],[STR]], Table15[[#This Row],[STR]] / ('Green Slime'!$X$5 / 10.8)), 1)</f>
        <v>1</v>
      </c>
      <c r="AQ40" s="8">
        <f>CEILING(Wolf!$Z$6/ IF(Wolf!$X$6&lt; 10.8, Table15[[#This Row],[STR]], Table15[[#This Row],[STR]] / (Wolf!$X$6 / 10.8)), 1)</f>
        <v>3</v>
      </c>
      <c r="AR40" s="8">
        <f>CEILING('Horned Wolf'!$Z$5/ IF('Horned Wolf'!$X$5&lt; 10.8, Table15[[#This Row],[STR]], Table15[[#This Row],[STR]] / ('Horned Wolf'!$X$5 / 10.8)), 1)</f>
        <v>8</v>
      </c>
      <c r="AS40" s="8">
        <f>CEILING(Spider!$Z$7/ IF(Spider!$X$7&lt; 10.8, Table15[[#This Row],[STR]], Table15[[#This Row],[STR]] / (Spider!$X$7 / 10.8)), 1)</f>
        <v>7</v>
      </c>
      <c r="AT40" s="8">
        <f>CEILING('Evolved Spider'!$Z$8/ IF('Evolved Spider'!$X$8&lt; 10.8, Table15[[#This Row],[STR]], Table15[[#This Row],[STR]] / ('Evolved Spider'!$X$8 / 10.8)), 1)</f>
        <v>12</v>
      </c>
      <c r="AU40" s="8">
        <f>CEILING(Arachne!$Z$4/ IF(Arachne!$X$4&lt; 10.8, Table15[[#This Row],[STR]], Table15[[#This Row],[STR]] / (Arachne!$X$4 / 10.8)), 1)</f>
        <v>16</v>
      </c>
      <c r="AV40" s="12">
        <f>CEILING('Earth Elemental'!$Z$6/ IF('Earth Elemental'!$X$6&lt; 10.8, Table15[[#This Row],[STR]], Table15[[#This Row],[STR]] / ('Earth Elemental'!$X$6 / 10.8)), 1)</f>
        <v>13</v>
      </c>
      <c r="AW40" s="12">
        <f>CEILING('Wind Elemental'!$Z$6/ IF('Wind Elemental'!$X$6&lt; 10.8, Table15[[#This Row],[STR]], Table15[[#This Row],[STR]] / ('Wind Elemental'!$X$6 / 10.8)), 1)</f>
        <v>10</v>
      </c>
      <c r="AX40" s="12">
        <f>CEILING('Water Elemental'!$Z$6/ IF('Water Elemental'!$X$6&lt; 10.8, Table15[[#This Row],[STR]], Table15[[#This Row],[STR]] / ('Water Elemental'!$X$6 / 10.8)), 1)</f>
        <v>14</v>
      </c>
      <c r="AY40" s="12">
        <f>CEILING('Fire Elemental'!$Z$4/ IF('Fire Elemental'!$X$4&lt; 10.8, Table15[[#This Row],[STR]], Table15[[#This Row],[STR]] / ('Fire Elemental'!$X$4 / 10.8)), 1)</f>
        <v>23</v>
      </c>
      <c r="AZ40" s="15">
        <f>CEILING(Wyvern!$Z$4/ IF(Wyvern!$X$4&lt; 10.8, Table15[[#This Row],[STR]], Table15[[#This Row],[STR]] / (Wyvern!$X$4 / 10.8)), 1)</f>
        <v>28</v>
      </c>
      <c r="BA40" s="15">
        <f>CEILING('Evolved Wyvern'!$Z$4/ IF('Evolved Wyvern'!$X$4&lt; 10.8, Table15[[#This Row],[STR]], Table15[[#This Row],[STR]] / ('Evolved Wyvern'!$X$4 / 10.8)), 1)</f>
        <v>35</v>
      </c>
      <c r="BB40" s="15">
        <f>CEILING(Dragon!$Z$4/ IF(Dragon!$X$4&lt; 10.8, Table15[[#This Row],[STR]], Table15[[#This Row],[STR]] / (Dragon!$X$4 / 10.8)), 1)</f>
        <v>59</v>
      </c>
    </row>
    <row r="41" spans="1:54" x14ac:dyDescent="0.3">
      <c r="A41" s="1">
        <v>39</v>
      </c>
      <c r="B41" s="1">
        <f>$B$3 + ((Table15[[#This Row],[Level]] / 10) + $B$3 / 8) * Table15[[#This Row],[Level]] + Equipment!$D$34</f>
        <v>279.85000000000002</v>
      </c>
      <c r="C41" s="1">
        <f xml:space="preserve"> 2*Table15[[#This Row],[INT]]</f>
        <v>240</v>
      </c>
      <c r="D41" s="1">
        <f>$D$3 + ($D$3 / 4) * Table15[[#This Row],[Level]] + Equipment!$E$34</f>
        <v>74.75</v>
      </c>
      <c r="E41" s="1">
        <f>$E$3 + ($E$3 / 4) * Table15[[#This Row],[Level]] + Equipment!$F$34</f>
        <v>90.5</v>
      </c>
      <c r="F41" s="1">
        <f>$F$3 + ($F$3 / 4) * Table15[[#This Row],[Level]] + Equipment!$G$34</f>
        <v>105.25</v>
      </c>
      <c r="G41" s="1">
        <f>$G$3 + ($G$3 / 4) * Table15[[#This Row],[Level]] + Equipment!$H$34</f>
        <v>120</v>
      </c>
      <c r="H41" s="1">
        <f>$H$3 + ($H$3 / 4) * Table15[[#This Row],[Level]] + Equipment!$I$34</f>
        <v>90.5</v>
      </c>
      <c r="I41" s="1">
        <f xml:space="preserve"> (4 * (Table15[[#This Row],[Level]] ^ 3))/7 + $I$3</f>
        <v>33996.571428571428</v>
      </c>
      <c r="K41" s="8">
        <f>CEILING('Blue Slime'!$B$5/ IF('Blue Slime'!$D$5&lt; 10.8, Table15[[#This Row],[STR]], Table15[[#This Row],[STR]] / ('Blue Slime'!$D$5 / 10.8)), 1)</f>
        <v>1</v>
      </c>
      <c r="L41" s="8">
        <f>CEILING('Green Slime'!$B$5/ IF('Green Slime'!$D$5&lt; 10.8, Table15[[#This Row],[STR]], Table15[[#This Row],[STR]] / ('Green Slime'!$D$5 / 10.8)), 1)</f>
        <v>1</v>
      </c>
      <c r="M41" s="8">
        <f>CEILING(Wolf!$B$6/ IF(Wolf!$D$6&lt; 10.8, Table15[[#This Row],[STR]], Table15[[#This Row],[STR]] / (Wolf!$D$6 / 10.8)), 1)</f>
        <v>1</v>
      </c>
      <c r="N41" s="8">
        <f>CEILING('Horned Wolf'!$B$5/ IF('Horned Wolf'!$D$5&lt; 10.8, Table15[[#This Row],[STR]], Table15[[#This Row],[STR]] / ('Horned Wolf'!$D$5 / 10.8)), 1)</f>
        <v>2</v>
      </c>
      <c r="O41" s="8">
        <f>CEILING(Spider!$B$7/ IF(Spider!$D$7&lt; 10.8, Table15[[#This Row],[STR]], Table15[[#This Row],[STR]] / (Spider!$D$7 / 10.8)), 1)</f>
        <v>2</v>
      </c>
      <c r="P41" s="8">
        <f>CEILING('Evolved Spider'!$B$8/ IF('Evolved Spider'!$D$8&lt; 10.8, Table15[[#This Row],[STR]], Table15[[#This Row],[STR]] / ('Evolved Spider'!$D$8 / 10.8)), 1)</f>
        <v>4</v>
      </c>
      <c r="Q41" s="8">
        <f>CEILING(Arachne!$B$4/ IF(Arachne!$D$4&lt; 10.8, Table15[[#This Row],[STR]], Table15[[#This Row],[STR]] / (Arachne!$D$4 / 10.8)), 1)</f>
        <v>5</v>
      </c>
      <c r="R41" s="12">
        <f>CEILING('Earth Elemental'!$B$6/ IF('Earth Elemental'!$D$6&lt; 10.8, Table15[[#This Row],[STR]], Table15[[#This Row],[STR]] / ('Earth Elemental'!$D$6 / 10.8)), 1)</f>
        <v>5</v>
      </c>
      <c r="S41" s="12">
        <f>CEILING('Wind Elemental'!$B$6/ IF('Wind Elemental'!$D$6&lt; 10.8, Table15[[#This Row],[STR]], Table15[[#This Row],[STR]] / ('Wind Elemental'!$D$6 / 10.8)), 1)</f>
        <v>5</v>
      </c>
      <c r="T41" s="12">
        <f>CEILING('Water Elemental'!$B$6/ IF('Water Elemental'!$D$6&lt; 10.8, Table15[[#This Row],[STR]], Table15[[#This Row],[STR]] / ('Water Elemental'!$D$6 / 10.8)), 1)</f>
        <v>7</v>
      </c>
      <c r="U41" s="12">
        <f>CEILING('Fire Elemental'!$B$4/ IF('Fire Elemental'!$D$4&lt; 10.8, Table15[[#This Row],[STR]], Table15[[#This Row],[STR]] / ('Fire Elemental'!$D$4 / 10.8)), 1)</f>
        <v>9</v>
      </c>
      <c r="V41" s="15">
        <f>CEILING(Wyvern!$B$4/ IF(Wyvern!$D$4&lt; 10.8, Table15[[#This Row],[STR]], Table15[[#This Row],[STR]] / (Wyvern!$D$4 / 10.8)), 1)</f>
        <v>12</v>
      </c>
      <c r="W41" s="15">
        <f>CEILING('Evolved Wyvern'!$B$4/ IF('Evolved Wyvern'!$D$4&lt; 10.8, Table15[[#This Row],[STR]], Table15[[#This Row],[STR]] / ('Evolved Wyvern'!$D$4 / 10.8)), 1)</f>
        <v>16</v>
      </c>
      <c r="X41" s="15">
        <f>CEILING(Dragon!$B$4/ IF(Dragon!$D$4&lt; 10.8, Table15[[#This Row],[STR]], Table15[[#This Row],[STR]] / (Dragon!$D$4 / 10.8)), 1)</f>
        <v>26</v>
      </c>
      <c r="Z41" s="8">
        <f>CEILING('Blue Slime'!$M$5/ IF('Blue Slime'!$O$5&lt; 10.8, Table15[[#This Row],[STR]], Table15[[#This Row],[STR]] / ('Blue Slime'!$O$5 / 10.8)), 1)</f>
        <v>1</v>
      </c>
      <c r="AA41" s="8">
        <f>CEILING('Green Slime'!$M$5/ IF('Green Slime'!$O$5&lt; 10.8, Table15[[#This Row],[STR]], Table15[[#This Row],[STR]] / ('Green Slime'!$O$5 / 10.8)), 1)</f>
        <v>1</v>
      </c>
      <c r="AB41" s="8">
        <f>CEILING(Wolf!$M$6/ IF(Wolf!$O$6&lt; 10.8, Table15[[#This Row],[STR]], Table15[[#This Row],[STR]] / (Wolf!$O$6 / 10.8)), 1)</f>
        <v>2</v>
      </c>
      <c r="AC41" s="8">
        <f>CEILING('Horned Wolf'!$M$5/ IF('Horned Wolf'!$O$5&lt; 10.8, Table15[[#This Row],[STR]], Table15[[#This Row],[STR]] / ('Horned Wolf'!$O$5 / 10.8)), 1)</f>
        <v>5</v>
      </c>
      <c r="AD41" s="8">
        <f>CEILING(Spider!$M$7/ IF(Spider!$O$7&lt; 10.8, Table15[[#This Row],[STR]], Table15[[#This Row],[STR]] / (Spider!$O$7 / 10.8)), 1)</f>
        <v>4</v>
      </c>
      <c r="AE41" s="8">
        <f>CEILING('Evolved Spider'!$M$8/ IF('Evolved Spider'!$O$8&lt; 10.8, Table15[[#This Row],[STR]], Table15[[#This Row],[STR]] / ('Evolved Spider'!$O$8 / 10.8)), 1)</f>
        <v>7</v>
      </c>
      <c r="AF41" s="8">
        <f>CEILING(Arachne!$M$4/ IF(Arachne!$O$4&lt; 10.8, Table15[[#This Row],[STR]], Table15[[#This Row],[STR]] / (Arachne!$O$4 / 10.8)), 1)</f>
        <v>10</v>
      </c>
      <c r="AG41" s="12">
        <f>CEILING('Earth Elemental'!$M$6/ IF('Earth Elemental'!$O$6&lt; 10.8, Table15[[#This Row],[STR]], Table15[[#This Row],[STR]] / ('Earth Elemental'!$O$6 / 10.8)), 1)</f>
        <v>9</v>
      </c>
      <c r="AH41" s="12">
        <f>CEILING('Wind Elemental'!$M$6/ IF('Wind Elemental'!$O$6&lt; 10.8, Table15[[#This Row],[STR]], Table15[[#This Row],[STR]] / ('Wind Elemental'!$O$6 / 10.8)), 1)</f>
        <v>7</v>
      </c>
      <c r="AI41" s="12">
        <f>CEILING('Water Elemental'!$M$6/ IF('Water Elemental'!$O$6&lt; 10.8, Table15[[#This Row],[STR]], Table15[[#This Row],[STR]] / ('Water Elemental'!$O$6 / 10.8)), 1)</f>
        <v>10</v>
      </c>
      <c r="AJ41" s="12">
        <f>CEILING('Fire Elemental'!$M$4/ IF('Fire Elemental'!$O$4&lt; 10.8, Table15[[#This Row],[STR]], Table15[[#This Row],[STR]] / ('Fire Elemental'!$O$4 / 10.8)), 1)</f>
        <v>15</v>
      </c>
      <c r="AK41" s="15">
        <f>CEILING(Wyvern!$M$4/ IF(Wyvern!$O$4&lt; 10.8, Table15[[#This Row],[STR]], Table15[[#This Row],[STR]] / (Wyvern!$O$4 / 10.8)), 1)</f>
        <v>19</v>
      </c>
      <c r="AL41" s="15">
        <f>CEILING('Evolved Wyvern'!$M$4/ IF('Evolved Wyvern'!$O$4&lt; 10.8, Table15[[#This Row],[STR]], Table15[[#This Row],[STR]] / ('Evolved Wyvern'!$O$4 / 10.8)), 1)</f>
        <v>25</v>
      </c>
      <c r="AM41" s="15">
        <f>CEILING(Dragon!$M$4/ IF(Dragon!$O$4&lt; 10.8, Table15[[#This Row],[STR]], Table15[[#This Row],[STR]] / (Dragon!$O$4 / 10.8)), 1)</f>
        <v>41</v>
      </c>
      <c r="AO41" s="8">
        <f>CEILING('Blue Slime'!$Z$5/ IF('Blue Slime'!$X$5&lt; 10.8, Table15[[#This Row],[STR]], Table15[[#This Row],[STR]] / ('Blue Slime'!$X$5 / 10.8)), 1)</f>
        <v>1</v>
      </c>
      <c r="AP41" s="8">
        <f>CEILING('Green Slime'!$Z$5/ IF('Green Slime'!$X$5&lt; 10.8, Table15[[#This Row],[STR]], Table15[[#This Row],[STR]] / ('Green Slime'!$X$5 / 10.8)), 1)</f>
        <v>1</v>
      </c>
      <c r="AQ41" s="8">
        <f>CEILING(Wolf!$Z$6/ IF(Wolf!$X$6&lt; 10.8, Table15[[#This Row],[STR]], Table15[[#This Row],[STR]] / (Wolf!$X$6 / 10.8)), 1)</f>
        <v>3</v>
      </c>
      <c r="AR41" s="8">
        <f>CEILING('Horned Wolf'!$Z$5/ IF('Horned Wolf'!$X$5&lt; 10.8, Table15[[#This Row],[STR]], Table15[[#This Row],[STR]] / ('Horned Wolf'!$X$5 / 10.8)), 1)</f>
        <v>8</v>
      </c>
      <c r="AS41" s="8">
        <f>CEILING(Spider!$Z$7/ IF(Spider!$X$7&lt; 10.8, Table15[[#This Row],[STR]], Table15[[#This Row],[STR]] / (Spider!$X$7 / 10.8)), 1)</f>
        <v>7</v>
      </c>
      <c r="AT41" s="8">
        <f>CEILING('Evolved Spider'!$Z$8/ IF('Evolved Spider'!$X$8&lt; 10.8, Table15[[#This Row],[STR]], Table15[[#This Row],[STR]] / ('Evolved Spider'!$X$8 / 10.8)), 1)</f>
        <v>12</v>
      </c>
      <c r="AU41" s="8">
        <f>CEILING(Arachne!$Z$4/ IF(Arachne!$X$4&lt; 10.8, Table15[[#This Row],[STR]], Table15[[#This Row],[STR]] / (Arachne!$X$4 / 10.8)), 1)</f>
        <v>16</v>
      </c>
      <c r="AV41" s="12">
        <f>CEILING('Earth Elemental'!$Z$6/ IF('Earth Elemental'!$X$6&lt; 10.8, Table15[[#This Row],[STR]], Table15[[#This Row],[STR]] / ('Earth Elemental'!$X$6 / 10.8)), 1)</f>
        <v>13</v>
      </c>
      <c r="AW41" s="12">
        <f>CEILING('Wind Elemental'!$Z$6/ IF('Wind Elemental'!$X$6&lt; 10.8, Table15[[#This Row],[STR]], Table15[[#This Row],[STR]] / ('Wind Elemental'!$X$6 / 10.8)), 1)</f>
        <v>10</v>
      </c>
      <c r="AX41" s="12">
        <f>CEILING('Water Elemental'!$Z$6/ IF('Water Elemental'!$X$6&lt; 10.8, Table15[[#This Row],[STR]], Table15[[#This Row],[STR]] / ('Water Elemental'!$X$6 / 10.8)), 1)</f>
        <v>14</v>
      </c>
      <c r="AY41" s="12">
        <f>CEILING('Fire Elemental'!$Z$4/ IF('Fire Elemental'!$X$4&lt; 10.8, Table15[[#This Row],[STR]], Table15[[#This Row],[STR]] / ('Fire Elemental'!$X$4 / 10.8)), 1)</f>
        <v>23</v>
      </c>
      <c r="AZ41" s="15">
        <f>CEILING(Wyvern!$Z$4/ IF(Wyvern!$X$4&lt; 10.8, Table15[[#This Row],[STR]], Table15[[#This Row],[STR]] / (Wyvern!$X$4 / 10.8)), 1)</f>
        <v>27</v>
      </c>
      <c r="BA41" s="15">
        <f>CEILING('Evolved Wyvern'!$Z$4/ IF('Evolved Wyvern'!$X$4&lt; 10.8, Table15[[#This Row],[STR]], Table15[[#This Row],[STR]] / ('Evolved Wyvern'!$X$4 / 10.8)), 1)</f>
        <v>35</v>
      </c>
      <c r="BB41" s="15">
        <f>CEILING(Dragon!$Z$4/ IF(Dragon!$X$4&lt; 10.8, Table15[[#This Row],[STR]], Table15[[#This Row],[STR]] / (Dragon!$X$4 / 10.8)), 1)</f>
        <v>58</v>
      </c>
    </row>
    <row r="42" spans="1:54" x14ac:dyDescent="0.3">
      <c r="A42" s="1">
        <v>40</v>
      </c>
      <c r="B42" s="1">
        <f>$B$3 + ((Table15[[#This Row],[Level]] / 10) + $B$3 / 8) * Table15[[#This Row],[Level]] + Equipment!$D$34</f>
        <v>289</v>
      </c>
      <c r="C42" s="1">
        <f xml:space="preserve"> 2*Table15[[#This Row],[INT]]</f>
        <v>244</v>
      </c>
      <c r="D42" s="1">
        <f>$D$3 + ($D$3 / 4) * Table15[[#This Row],[Level]] + Equipment!$E$34</f>
        <v>76</v>
      </c>
      <c r="E42" s="1">
        <f>$E$3 + ($E$3 / 4) * Table15[[#This Row],[Level]] + Equipment!$F$34</f>
        <v>92</v>
      </c>
      <c r="F42" s="1">
        <f>$F$3 + ($F$3 / 4) * Table15[[#This Row],[Level]] + Equipment!$G$34</f>
        <v>107</v>
      </c>
      <c r="G42" s="1">
        <f>$G$3 + ($G$3 / 4) * Table15[[#This Row],[Level]] + Equipment!$H$34</f>
        <v>122</v>
      </c>
      <c r="H42" s="1">
        <f>$H$3 + ($H$3 / 4) * Table15[[#This Row],[Level]] + Equipment!$I$34</f>
        <v>92</v>
      </c>
      <c r="I42" s="1">
        <f xml:space="preserve"> (4 * (Table15[[#This Row],[Level]] ^ 3))/7 + $I$3</f>
        <v>36671.428571428572</v>
      </c>
      <c r="K42" s="8">
        <f>CEILING('Blue Slime'!$B$5/ IF('Blue Slime'!$D$5&lt; 10.8, Table15[[#This Row],[STR]], Table15[[#This Row],[STR]] / ('Blue Slime'!$D$5 / 10.8)), 1)</f>
        <v>1</v>
      </c>
      <c r="L42" s="8">
        <f>CEILING('Green Slime'!$B$5/ IF('Green Slime'!$D$5&lt; 10.8, Table15[[#This Row],[STR]], Table15[[#This Row],[STR]] / ('Green Slime'!$D$5 / 10.8)), 1)</f>
        <v>1</v>
      </c>
      <c r="M42" s="8">
        <f>CEILING(Wolf!$B$6/ IF(Wolf!$D$6&lt; 10.8, Table15[[#This Row],[STR]], Table15[[#This Row],[STR]] / (Wolf!$D$6 / 10.8)), 1)</f>
        <v>1</v>
      </c>
      <c r="N42" s="8">
        <f>CEILING('Horned Wolf'!$B$5/ IF('Horned Wolf'!$D$5&lt; 10.8, Table15[[#This Row],[STR]], Table15[[#This Row],[STR]] / ('Horned Wolf'!$D$5 / 10.8)), 1)</f>
        <v>2</v>
      </c>
      <c r="O42" s="8">
        <f>CEILING(Spider!$B$7/ IF(Spider!$D$7&lt; 10.8, Table15[[#This Row],[STR]], Table15[[#This Row],[STR]] / (Spider!$D$7 / 10.8)), 1)</f>
        <v>2</v>
      </c>
      <c r="P42" s="8">
        <f>CEILING('Evolved Spider'!$B$8/ IF('Evolved Spider'!$D$8&lt; 10.8, Table15[[#This Row],[STR]], Table15[[#This Row],[STR]] / ('Evolved Spider'!$D$8 / 10.8)), 1)</f>
        <v>4</v>
      </c>
      <c r="Q42" s="8">
        <f>CEILING(Arachne!$B$4/ IF(Arachne!$D$4&lt; 10.8, Table15[[#This Row],[STR]], Table15[[#This Row],[STR]] / (Arachne!$D$4 / 10.8)), 1)</f>
        <v>5</v>
      </c>
      <c r="R42" s="12">
        <f>CEILING('Earth Elemental'!$B$6/ IF('Earth Elemental'!$D$6&lt; 10.8, Table15[[#This Row],[STR]], Table15[[#This Row],[STR]] / ('Earth Elemental'!$D$6 / 10.8)), 1)</f>
        <v>5</v>
      </c>
      <c r="S42" s="12">
        <f>CEILING('Wind Elemental'!$B$6/ IF('Wind Elemental'!$D$6&lt; 10.8, Table15[[#This Row],[STR]], Table15[[#This Row],[STR]] / ('Wind Elemental'!$D$6 / 10.8)), 1)</f>
        <v>5</v>
      </c>
      <c r="T42" s="12">
        <f>CEILING('Water Elemental'!$B$6/ IF('Water Elemental'!$D$6&lt; 10.8, Table15[[#This Row],[STR]], Table15[[#This Row],[STR]] / ('Water Elemental'!$D$6 / 10.8)), 1)</f>
        <v>7</v>
      </c>
      <c r="U42" s="12">
        <f>CEILING('Fire Elemental'!$B$4/ IF('Fire Elemental'!$D$4&lt; 10.8, Table15[[#This Row],[STR]], Table15[[#This Row],[STR]] / ('Fire Elemental'!$D$4 / 10.8)), 1)</f>
        <v>9</v>
      </c>
      <c r="V42" s="15">
        <f>CEILING(Wyvern!$B$4/ IF(Wyvern!$D$4&lt; 10.8, Table15[[#This Row],[STR]], Table15[[#This Row],[STR]] / (Wyvern!$D$4 / 10.8)), 1)</f>
        <v>11</v>
      </c>
      <c r="W42" s="15">
        <f>CEILING('Evolved Wyvern'!$B$4/ IF('Evolved Wyvern'!$D$4&lt; 10.8, Table15[[#This Row],[STR]], Table15[[#This Row],[STR]] / ('Evolved Wyvern'!$D$4 / 10.8)), 1)</f>
        <v>16</v>
      </c>
      <c r="X42" s="15">
        <f>CEILING(Dragon!$B$4/ IF(Dragon!$D$4&lt; 10.8, Table15[[#This Row],[STR]], Table15[[#This Row],[STR]] / (Dragon!$D$4 / 10.8)), 1)</f>
        <v>25</v>
      </c>
      <c r="Z42" s="8">
        <f>CEILING('Blue Slime'!$M$5/ IF('Blue Slime'!$O$5&lt; 10.8, Table15[[#This Row],[STR]], Table15[[#This Row],[STR]] / ('Blue Slime'!$O$5 / 10.8)), 1)</f>
        <v>1</v>
      </c>
      <c r="AA42" s="8">
        <f>CEILING('Green Slime'!$M$5/ IF('Green Slime'!$O$5&lt; 10.8, Table15[[#This Row],[STR]], Table15[[#This Row],[STR]] / ('Green Slime'!$O$5 / 10.8)), 1)</f>
        <v>1</v>
      </c>
      <c r="AB42" s="8">
        <f>CEILING(Wolf!$M$6/ IF(Wolf!$O$6&lt; 10.8, Table15[[#This Row],[STR]], Table15[[#This Row],[STR]] / (Wolf!$O$6 / 10.8)), 1)</f>
        <v>2</v>
      </c>
      <c r="AC42" s="8">
        <f>CEILING('Horned Wolf'!$M$5/ IF('Horned Wolf'!$O$5&lt; 10.8, Table15[[#This Row],[STR]], Table15[[#This Row],[STR]] / ('Horned Wolf'!$O$5 / 10.8)), 1)</f>
        <v>4</v>
      </c>
      <c r="AD42" s="8">
        <f>CEILING(Spider!$M$7/ IF(Spider!$O$7&lt; 10.8, Table15[[#This Row],[STR]], Table15[[#This Row],[STR]] / (Spider!$O$7 / 10.8)), 1)</f>
        <v>4</v>
      </c>
      <c r="AE42" s="8">
        <f>CEILING('Evolved Spider'!$M$8/ IF('Evolved Spider'!$O$8&lt; 10.8, Table15[[#This Row],[STR]], Table15[[#This Row],[STR]] / ('Evolved Spider'!$O$8 / 10.8)), 1)</f>
        <v>7</v>
      </c>
      <c r="AF42" s="8">
        <f>CEILING(Arachne!$M$4/ IF(Arachne!$O$4&lt; 10.8, Table15[[#This Row],[STR]], Table15[[#This Row],[STR]] / (Arachne!$O$4 / 10.8)), 1)</f>
        <v>10</v>
      </c>
      <c r="AG42" s="12">
        <f>CEILING('Earth Elemental'!$M$6/ IF('Earth Elemental'!$O$6&lt; 10.8, Table15[[#This Row],[STR]], Table15[[#This Row],[STR]] / ('Earth Elemental'!$O$6 / 10.8)), 1)</f>
        <v>9</v>
      </c>
      <c r="AH42" s="12">
        <f>CEILING('Wind Elemental'!$M$6/ IF('Wind Elemental'!$O$6&lt; 10.8, Table15[[#This Row],[STR]], Table15[[#This Row],[STR]] / ('Wind Elemental'!$O$6 / 10.8)), 1)</f>
        <v>7</v>
      </c>
      <c r="AI42" s="12">
        <f>CEILING('Water Elemental'!$M$6/ IF('Water Elemental'!$O$6&lt; 10.8, Table15[[#This Row],[STR]], Table15[[#This Row],[STR]] / ('Water Elemental'!$O$6 / 10.8)), 1)</f>
        <v>10</v>
      </c>
      <c r="AJ42" s="12">
        <f>CEILING('Fire Elemental'!$M$4/ IF('Fire Elemental'!$O$4&lt; 10.8, Table15[[#This Row],[STR]], Table15[[#This Row],[STR]] / ('Fire Elemental'!$O$4 / 10.8)), 1)</f>
        <v>15</v>
      </c>
      <c r="AK42" s="15">
        <f>CEILING(Wyvern!$M$4/ IF(Wyvern!$O$4&lt; 10.8, Table15[[#This Row],[STR]], Table15[[#This Row],[STR]] / (Wyvern!$O$4 / 10.8)), 1)</f>
        <v>19</v>
      </c>
      <c r="AL42" s="15">
        <f>CEILING('Evolved Wyvern'!$M$4/ IF('Evolved Wyvern'!$O$4&lt; 10.8, Table15[[#This Row],[STR]], Table15[[#This Row],[STR]] / ('Evolved Wyvern'!$O$4 / 10.8)), 1)</f>
        <v>25</v>
      </c>
      <c r="AM42" s="15">
        <f>CEILING(Dragon!$M$4/ IF(Dragon!$O$4&lt; 10.8, Table15[[#This Row],[STR]], Table15[[#This Row],[STR]] / (Dragon!$O$4 / 10.8)), 1)</f>
        <v>41</v>
      </c>
      <c r="AO42" s="8">
        <f>CEILING('Blue Slime'!$Z$5/ IF('Blue Slime'!$X$5&lt; 10.8, Table15[[#This Row],[STR]], Table15[[#This Row],[STR]] / ('Blue Slime'!$X$5 / 10.8)), 1)</f>
        <v>1</v>
      </c>
      <c r="AP42" s="8">
        <f>CEILING('Green Slime'!$Z$5/ IF('Green Slime'!$X$5&lt; 10.8, Table15[[#This Row],[STR]], Table15[[#This Row],[STR]] / ('Green Slime'!$X$5 / 10.8)), 1)</f>
        <v>1</v>
      </c>
      <c r="AQ42" s="8">
        <f>CEILING(Wolf!$Z$6/ IF(Wolf!$X$6&lt; 10.8, Table15[[#This Row],[STR]], Table15[[#This Row],[STR]] / (Wolf!$X$6 / 10.8)), 1)</f>
        <v>3</v>
      </c>
      <c r="AR42" s="8">
        <f>CEILING('Horned Wolf'!$Z$5/ IF('Horned Wolf'!$X$5&lt; 10.8, Table15[[#This Row],[STR]], Table15[[#This Row],[STR]] / ('Horned Wolf'!$X$5 / 10.8)), 1)</f>
        <v>7</v>
      </c>
      <c r="AS42" s="8">
        <f>CEILING(Spider!$Z$7/ IF(Spider!$X$7&lt; 10.8, Table15[[#This Row],[STR]], Table15[[#This Row],[STR]] / (Spider!$X$7 / 10.8)), 1)</f>
        <v>7</v>
      </c>
      <c r="AT42" s="8">
        <f>CEILING('Evolved Spider'!$Z$8/ IF('Evolved Spider'!$X$8&lt; 10.8, Table15[[#This Row],[STR]], Table15[[#This Row],[STR]] / ('Evolved Spider'!$X$8 / 10.8)), 1)</f>
        <v>11</v>
      </c>
      <c r="AU42" s="8">
        <f>CEILING(Arachne!$Z$4/ IF(Arachne!$X$4&lt; 10.8, Table15[[#This Row],[STR]], Table15[[#This Row],[STR]] / (Arachne!$X$4 / 10.8)), 1)</f>
        <v>15</v>
      </c>
      <c r="AV42" s="12">
        <f>CEILING('Earth Elemental'!$Z$6/ IF('Earth Elemental'!$X$6&lt; 10.8, Table15[[#This Row],[STR]], Table15[[#This Row],[STR]] / ('Earth Elemental'!$X$6 / 10.8)), 1)</f>
        <v>13</v>
      </c>
      <c r="AW42" s="12">
        <f>CEILING('Wind Elemental'!$Z$6/ IF('Wind Elemental'!$X$6&lt; 10.8, Table15[[#This Row],[STR]], Table15[[#This Row],[STR]] / ('Wind Elemental'!$X$6 / 10.8)), 1)</f>
        <v>10</v>
      </c>
      <c r="AX42" s="12">
        <f>CEILING('Water Elemental'!$Z$6/ IF('Water Elemental'!$X$6&lt; 10.8, Table15[[#This Row],[STR]], Table15[[#This Row],[STR]] / ('Water Elemental'!$X$6 / 10.8)), 1)</f>
        <v>14</v>
      </c>
      <c r="AY42" s="12">
        <f>CEILING('Fire Elemental'!$Z$4/ IF('Fire Elemental'!$X$4&lt; 10.8, Table15[[#This Row],[STR]], Table15[[#This Row],[STR]] / ('Fire Elemental'!$X$4 / 10.8)), 1)</f>
        <v>22</v>
      </c>
      <c r="AZ42" s="15">
        <f>CEILING(Wyvern!$Z$4/ IF(Wyvern!$X$4&lt; 10.8, Table15[[#This Row],[STR]], Table15[[#This Row],[STR]] / (Wyvern!$X$4 / 10.8)), 1)</f>
        <v>27</v>
      </c>
      <c r="BA42" s="15">
        <f>CEILING('Evolved Wyvern'!$Z$4/ IF('Evolved Wyvern'!$X$4&lt; 10.8, Table15[[#This Row],[STR]], Table15[[#This Row],[STR]] / ('Evolved Wyvern'!$X$4 / 10.8)), 1)</f>
        <v>34</v>
      </c>
      <c r="BB42" s="15">
        <f>CEILING(Dragon!$Z$4/ IF(Dragon!$X$4&lt; 10.8, Table15[[#This Row],[STR]], Table15[[#This Row],[STR]] / (Dragon!$X$4 / 10.8)), 1)</f>
        <v>57</v>
      </c>
    </row>
    <row r="43" spans="1:54" x14ac:dyDescent="0.3">
      <c r="A43" s="1">
        <v>41</v>
      </c>
      <c r="B43" s="1">
        <f>$B$3 + ((Table15[[#This Row],[Level]] / 10) + $B$3 / 8) * Table15[[#This Row],[Level]] + Equipment!$D$34</f>
        <v>298.35000000000002</v>
      </c>
      <c r="C43" s="1">
        <f xml:space="preserve"> 2*Table15[[#This Row],[INT]]</f>
        <v>248</v>
      </c>
      <c r="D43" s="1">
        <f>$D$3 + ($D$3 / 4) * Table15[[#This Row],[Level]] + Equipment!$E$34</f>
        <v>77.25</v>
      </c>
      <c r="E43" s="1">
        <f>$E$3 + ($E$3 / 4) * Table15[[#This Row],[Level]] + Equipment!$F$34</f>
        <v>93.5</v>
      </c>
      <c r="F43" s="1">
        <f>$F$3 + ($F$3 / 4) * Table15[[#This Row],[Level]] + Equipment!$G$34</f>
        <v>108.75</v>
      </c>
      <c r="G43" s="1">
        <f>$G$3 + ($G$3 / 4) * Table15[[#This Row],[Level]] + Equipment!$H$34</f>
        <v>124</v>
      </c>
      <c r="H43" s="1">
        <f>$H$3 + ($H$3 / 4) * Table15[[#This Row],[Level]] + Equipment!$I$34</f>
        <v>93.5</v>
      </c>
      <c r="I43" s="1">
        <f xml:space="preserve"> (4 * (Table15[[#This Row],[Level]] ^ 3))/7 + $I$3</f>
        <v>39483.428571428572</v>
      </c>
      <c r="K43" s="8">
        <f>CEILING('Blue Slime'!$B$5/ IF('Blue Slime'!$D$5&lt; 10.8, Table15[[#This Row],[STR]], Table15[[#This Row],[STR]] / ('Blue Slime'!$D$5 / 10.8)), 1)</f>
        <v>1</v>
      </c>
      <c r="L43" s="8">
        <f>CEILING('Green Slime'!$B$5/ IF('Green Slime'!$D$5&lt; 10.8, Table15[[#This Row],[STR]], Table15[[#This Row],[STR]] / ('Green Slime'!$D$5 / 10.8)), 1)</f>
        <v>1</v>
      </c>
      <c r="M43" s="8">
        <f>CEILING(Wolf!$B$6/ IF(Wolf!$D$6&lt; 10.8, Table15[[#This Row],[STR]], Table15[[#This Row],[STR]] / (Wolf!$D$6 / 10.8)), 1)</f>
        <v>1</v>
      </c>
      <c r="N43" s="8">
        <f>CEILING('Horned Wolf'!$B$5/ IF('Horned Wolf'!$D$5&lt; 10.8, Table15[[#This Row],[STR]], Table15[[#This Row],[STR]] / ('Horned Wolf'!$D$5 / 10.8)), 1)</f>
        <v>2</v>
      </c>
      <c r="O43" s="8">
        <f>CEILING(Spider!$B$7/ IF(Spider!$D$7&lt; 10.8, Table15[[#This Row],[STR]], Table15[[#This Row],[STR]] / (Spider!$D$7 / 10.8)), 1)</f>
        <v>2</v>
      </c>
      <c r="P43" s="8">
        <f>CEILING('Evolved Spider'!$B$8/ IF('Evolved Spider'!$D$8&lt; 10.8, Table15[[#This Row],[STR]], Table15[[#This Row],[STR]] / ('Evolved Spider'!$D$8 / 10.8)), 1)</f>
        <v>4</v>
      </c>
      <c r="Q43" s="8">
        <f>CEILING(Arachne!$B$4/ IF(Arachne!$D$4&lt; 10.8, Table15[[#This Row],[STR]], Table15[[#This Row],[STR]] / (Arachne!$D$4 / 10.8)), 1)</f>
        <v>5</v>
      </c>
      <c r="R43" s="12">
        <f>CEILING('Earth Elemental'!$B$6/ IF('Earth Elemental'!$D$6&lt; 10.8, Table15[[#This Row],[STR]], Table15[[#This Row],[STR]] / ('Earth Elemental'!$D$6 / 10.8)), 1)</f>
        <v>5</v>
      </c>
      <c r="S43" s="12">
        <f>CEILING('Wind Elemental'!$B$6/ IF('Wind Elemental'!$D$6&lt; 10.8, Table15[[#This Row],[STR]], Table15[[#This Row],[STR]] / ('Wind Elemental'!$D$6 / 10.8)), 1)</f>
        <v>5</v>
      </c>
      <c r="T43" s="12">
        <f>CEILING('Water Elemental'!$B$6/ IF('Water Elemental'!$D$6&lt; 10.8, Table15[[#This Row],[STR]], Table15[[#This Row],[STR]] / ('Water Elemental'!$D$6 / 10.8)), 1)</f>
        <v>7</v>
      </c>
      <c r="U43" s="12">
        <f>CEILING('Fire Elemental'!$B$4/ IF('Fire Elemental'!$D$4&lt; 10.8, Table15[[#This Row],[STR]], Table15[[#This Row],[STR]] / ('Fire Elemental'!$D$4 / 10.8)), 1)</f>
        <v>8</v>
      </c>
      <c r="V43" s="15">
        <f>CEILING(Wyvern!$B$4/ IF(Wyvern!$D$4&lt; 10.8, Table15[[#This Row],[STR]], Table15[[#This Row],[STR]] / (Wyvern!$D$4 / 10.8)), 1)</f>
        <v>11</v>
      </c>
      <c r="W43" s="15">
        <f>CEILING('Evolved Wyvern'!$B$4/ IF('Evolved Wyvern'!$D$4&lt; 10.8, Table15[[#This Row],[STR]], Table15[[#This Row],[STR]] / ('Evolved Wyvern'!$D$4 / 10.8)), 1)</f>
        <v>15</v>
      </c>
      <c r="X43" s="15">
        <f>CEILING(Dragon!$B$4/ IF(Dragon!$D$4&lt; 10.8, Table15[[#This Row],[STR]], Table15[[#This Row],[STR]] / (Dragon!$D$4 / 10.8)), 1)</f>
        <v>25</v>
      </c>
      <c r="Z43" s="8">
        <f>CEILING('Blue Slime'!$M$5/ IF('Blue Slime'!$O$5&lt; 10.8, Table15[[#This Row],[STR]], Table15[[#This Row],[STR]] / ('Blue Slime'!$O$5 / 10.8)), 1)</f>
        <v>1</v>
      </c>
      <c r="AA43" s="8">
        <f>CEILING('Green Slime'!$M$5/ IF('Green Slime'!$O$5&lt; 10.8, Table15[[#This Row],[STR]], Table15[[#This Row],[STR]] / ('Green Slime'!$O$5 / 10.8)), 1)</f>
        <v>1</v>
      </c>
      <c r="AB43" s="8">
        <f>CEILING(Wolf!$M$6/ IF(Wolf!$O$6&lt; 10.8, Table15[[#This Row],[STR]], Table15[[#This Row],[STR]] / (Wolf!$O$6 / 10.8)), 1)</f>
        <v>2</v>
      </c>
      <c r="AC43" s="8">
        <f>CEILING('Horned Wolf'!$M$5/ IF('Horned Wolf'!$O$5&lt; 10.8, Table15[[#This Row],[STR]], Table15[[#This Row],[STR]] / ('Horned Wolf'!$O$5 / 10.8)), 1)</f>
        <v>4</v>
      </c>
      <c r="AD43" s="8">
        <f>CEILING(Spider!$M$7/ IF(Spider!$O$7&lt; 10.8, Table15[[#This Row],[STR]], Table15[[#This Row],[STR]] / (Spider!$O$7 / 10.8)), 1)</f>
        <v>4</v>
      </c>
      <c r="AE43" s="8">
        <f>CEILING('Evolved Spider'!$M$8/ IF('Evolved Spider'!$O$8&lt; 10.8, Table15[[#This Row],[STR]], Table15[[#This Row],[STR]] / ('Evolved Spider'!$O$8 / 10.8)), 1)</f>
        <v>7</v>
      </c>
      <c r="AF43" s="8">
        <f>CEILING(Arachne!$M$4/ IF(Arachne!$O$4&lt; 10.8, Table15[[#This Row],[STR]], Table15[[#This Row],[STR]] / (Arachne!$O$4 / 10.8)), 1)</f>
        <v>9</v>
      </c>
      <c r="AG43" s="12">
        <f>CEILING('Earth Elemental'!$M$6/ IF('Earth Elemental'!$O$6&lt; 10.8, Table15[[#This Row],[STR]], Table15[[#This Row],[STR]] / ('Earth Elemental'!$O$6 / 10.8)), 1)</f>
        <v>9</v>
      </c>
      <c r="AH43" s="12">
        <f>CEILING('Wind Elemental'!$M$6/ IF('Wind Elemental'!$O$6&lt; 10.8, Table15[[#This Row],[STR]], Table15[[#This Row],[STR]] / ('Wind Elemental'!$O$6 / 10.8)), 1)</f>
        <v>7</v>
      </c>
      <c r="AI43" s="12">
        <f>CEILING('Water Elemental'!$M$6/ IF('Water Elemental'!$O$6&lt; 10.8, Table15[[#This Row],[STR]], Table15[[#This Row],[STR]] / ('Water Elemental'!$O$6 / 10.8)), 1)</f>
        <v>10</v>
      </c>
      <c r="AJ43" s="12">
        <f>CEILING('Fire Elemental'!$M$4/ IF('Fire Elemental'!$O$4&lt; 10.8, Table15[[#This Row],[STR]], Table15[[#This Row],[STR]] / ('Fire Elemental'!$O$4 / 10.8)), 1)</f>
        <v>15</v>
      </c>
      <c r="AK43" s="15">
        <f>CEILING(Wyvern!$M$4/ IF(Wyvern!$O$4&lt; 10.8, Table15[[#This Row],[STR]], Table15[[#This Row],[STR]] / (Wyvern!$O$4 / 10.8)), 1)</f>
        <v>18</v>
      </c>
      <c r="AL43" s="15">
        <f>CEILING('Evolved Wyvern'!$M$4/ IF('Evolved Wyvern'!$O$4&lt; 10.8, Table15[[#This Row],[STR]], Table15[[#This Row],[STR]] / ('Evolved Wyvern'!$O$4 / 10.8)), 1)</f>
        <v>24</v>
      </c>
      <c r="AM43" s="15">
        <f>CEILING(Dragon!$M$4/ IF(Dragon!$O$4&lt; 10.8, Table15[[#This Row],[STR]], Table15[[#This Row],[STR]] / (Dragon!$O$4 / 10.8)), 1)</f>
        <v>40</v>
      </c>
      <c r="AO43" s="8">
        <f>CEILING('Blue Slime'!$Z$5/ IF('Blue Slime'!$X$5&lt; 10.8, Table15[[#This Row],[STR]], Table15[[#This Row],[STR]] / ('Blue Slime'!$X$5 / 10.8)), 1)</f>
        <v>1</v>
      </c>
      <c r="AP43" s="8">
        <f>CEILING('Green Slime'!$Z$5/ IF('Green Slime'!$X$5&lt; 10.8, Table15[[#This Row],[STR]], Table15[[#This Row],[STR]] / ('Green Slime'!$X$5 / 10.8)), 1)</f>
        <v>1</v>
      </c>
      <c r="AQ43" s="8">
        <f>CEILING(Wolf!$Z$6/ IF(Wolf!$X$6&lt; 10.8, Table15[[#This Row],[STR]], Table15[[#This Row],[STR]] / (Wolf!$X$6 / 10.8)), 1)</f>
        <v>3</v>
      </c>
      <c r="AR43" s="8">
        <f>CEILING('Horned Wolf'!$Z$5/ IF('Horned Wolf'!$X$5&lt; 10.8, Table15[[#This Row],[STR]], Table15[[#This Row],[STR]] / ('Horned Wolf'!$X$5 / 10.8)), 1)</f>
        <v>7</v>
      </c>
      <c r="AS43" s="8">
        <f>CEILING(Spider!$Z$7/ IF(Spider!$X$7&lt; 10.8, Table15[[#This Row],[STR]], Table15[[#This Row],[STR]] / (Spider!$X$7 / 10.8)), 1)</f>
        <v>6</v>
      </c>
      <c r="AT43" s="8">
        <f>CEILING('Evolved Spider'!$Z$8/ IF('Evolved Spider'!$X$8&lt; 10.8, Table15[[#This Row],[STR]], Table15[[#This Row],[STR]] / ('Evolved Spider'!$X$8 / 10.8)), 1)</f>
        <v>11</v>
      </c>
      <c r="AU43" s="8">
        <f>CEILING(Arachne!$Z$4/ IF(Arachne!$X$4&lt; 10.8, Table15[[#This Row],[STR]], Table15[[#This Row],[STR]] / (Arachne!$X$4 / 10.8)), 1)</f>
        <v>15</v>
      </c>
      <c r="AV43" s="12">
        <f>CEILING('Earth Elemental'!$Z$6/ IF('Earth Elemental'!$X$6&lt; 10.8, Table15[[#This Row],[STR]], Table15[[#This Row],[STR]] / ('Earth Elemental'!$X$6 / 10.8)), 1)</f>
        <v>13</v>
      </c>
      <c r="AW43" s="12">
        <f>CEILING('Wind Elemental'!$Z$6/ IF('Wind Elemental'!$X$6&lt; 10.8, Table15[[#This Row],[STR]], Table15[[#This Row],[STR]] / ('Wind Elemental'!$X$6 / 10.8)), 1)</f>
        <v>10</v>
      </c>
      <c r="AX43" s="12">
        <f>CEILING('Water Elemental'!$Z$6/ IF('Water Elemental'!$X$6&lt; 10.8, Table15[[#This Row],[STR]], Table15[[#This Row],[STR]] / ('Water Elemental'!$X$6 / 10.8)), 1)</f>
        <v>14</v>
      </c>
      <c r="AY43" s="12">
        <f>CEILING('Fire Elemental'!$Z$4/ IF('Fire Elemental'!$X$4&lt; 10.8, Table15[[#This Row],[STR]], Table15[[#This Row],[STR]] / ('Fire Elemental'!$X$4 / 10.8)), 1)</f>
        <v>22</v>
      </c>
      <c r="AZ43" s="15">
        <f>CEILING(Wyvern!$Z$4/ IF(Wyvern!$X$4&lt; 10.8, Table15[[#This Row],[STR]], Table15[[#This Row],[STR]] / (Wyvern!$X$4 / 10.8)), 1)</f>
        <v>26</v>
      </c>
      <c r="BA43" s="15">
        <f>CEILING('Evolved Wyvern'!$Z$4/ IF('Evolved Wyvern'!$X$4&lt; 10.8, Table15[[#This Row],[STR]], Table15[[#This Row],[STR]] / ('Evolved Wyvern'!$X$4 / 10.8)), 1)</f>
        <v>34</v>
      </c>
      <c r="BB43" s="15">
        <f>CEILING(Dragon!$Z$4/ IF(Dragon!$X$4&lt; 10.8, Table15[[#This Row],[STR]], Table15[[#This Row],[STR]] / (Dragon!$X$4 / 10.8)), 1)</f>
        <v>57</v>
      </c>
    </row>
    <row r="44" spans="1:54" x14ac:dyDescent="0.3">
      <c r="A44" s="1">
        <v>42</v>
      </c>
      <c r="B44" s="1">
        <f>$B$3 + ((Table15[[#This Row],[Level]] / 10) + $B$3 / 8) * Table15[[#This Row],[Level]] + Equipment!$D$34</f>
        <v>307.89999999999998</v>
      </c>
      <c r="C44" s="1">
        <f xml:space="preserve"> 2*Table15[[#This Row],[INT]]</f>
        <v>252</v>
      </c>
      <c r="D44" s="1">
        <f>$D$3 + ($D$3 / 4) * Table15[[#This Row],[Level]] + Equipment!$E$34</f>
        <v>78.5</v>
      </c>
      <c r="E44" s="1">
        <f>$E$3 + ($E$3 / 4) * Table15[[#This Row],[Level]] + Equipment!$F$34</f>
        <v>95</v>
      </c>
      <c r="F44" s="1">
        <f>$F$3 + ($F$3 / 4) * Table15[[#This Row],[Level]] + Equipment!$G$34</f>
        <v>110.5</v>
      </c>
      <c r="G44" s="1">
        <f>$G$3 + ($G$3 / 4) * Table15[[#This Row],[Level]] + Equipment!$H$34</f>
        <v>126</v>
      </c>
      <c r="H44" s="1">
        <f>$H$3 + ($H$3 / 4) * Table15[[#This Row],[Level]] + Equipment!$I$34</f>
        <v>95</v>
      </c>
      <c r="I44" s="1">
        <f xml:space="preserve"> (4 * (Table15[[#This Row],[Level]] ^ 3))/7 + $I$3</f>
        <v>42436</v>
      </c>
      <c r="K44" s="8">
        <f>CEILING('Blue Slime'!$B$5/ IF('Blue Slime'!$D$5&lt; 10.8, Table15[[#This Row],[STR]], Table15[[#This Row],[STR]] / ('Blue Slime'!$D$5 / 10.8)), 1)</f>
        <v>1</v>
      </c>
      <c r="L44" s="8">
        <f>CEILING('Green Slime'!$B$5/ IF('Green Slime'!$D$5&lt; 10.8, Table15[[#This Row],[STR]], Table15[[#This Row],[STR]] / ('Green Slime'!$D$5 / 10.8)), 1)</f>
        <v>1</v>
      </c>
      <c r="M44" s="8">
        <f>CEILING(Wolf!$B$6/ IF(Wolf!$D$6&lt; 10.8, Table15[[#This Row],[STR]], Table15[[#This Row],[STR]] / (Wolf!$D$6 / 10.8)), 1)</f>
        <v>1</v>
      </c>
      <c r="N44" s="8">
        <f>CEILING('Horned Wolf'!$B$5/ IF('Horned Wolf'!$D$5&lt; 10.8, Table15[[#This Row],[STR]], Table15[[#This Row],[STR]] / ('Horned Wolf'!$D$5 / 10.8)), 1)</f>
        <v>2</v>
      </c>
      <c r="O44" s="8">
        <f>CEILING(Spider!$B$7/ IF(Spider!$D$7&lt; 10.8, Table15[[#This Row],[STR]], Table15[[#This Row],[STR]] / (Spider!$D$7 / 10.8)), 1)</f>
        <v>2</v>
      </c>
      <c r="P44" s="8">
        <f>CEILING('Evolved Spider'!$B$8/ IF('Evolved Spider'!$D$8&lt; 10.8, Table15[[#This Row],[STR]], Table15[[#This Row],[STR]] / ('Evolved Spider'!$D$8 / 10.8)), 1)</f>
        <v>4</v>
      </c>
      <c r="Q44" s="8">
        <f>CEILING(Arachne!$B$4/ IF(Arachne!$D$4&lt; 10.8, Table15[[#This Row],[STR]], Table15[[#This Row],[STR]] / (Arachne!$D$4 / 10.8)), 1)</f>
        <v>5</v>
      </c>
      <c r="R44" s="12">
        <f>CEILING('Earth Elemental'!$B$6/ IF('Earth Elemental'!$D$6&lt; 10.8, Table15[[#This Row],[STR]], Table15[[#This Row],[STR]] / ('Earth Elemental'!$D$6 / 10.8)), 1)</f>
        <v>5</v>
      </c>
      <c r="S44" s="12">
        <f>CEILING('Wind Elemental'!$B$6/ IF('Wind Elemental'!$D$6&lt; 10.8, Table15[[#This Row],[STR]], Table15[[#This Row],[STR]] / ('Wind Elemental'!$D$6 / 10.8)), 1)</f>
        <v>5</v>
      </c>
      <c r="T44" s="12">
        <f>CEILING('Water Elemental'!$B$6/ IF('Water Elemental'!$D$6&lt; 10.8, Table15[[#This Row],[STR]], Table15[[#This Row],[STR]] / ('Water Elemental'!$D$6 / 10.8)), 1)</f>
        <v>7</v>
      </c>
      <c r="U44" s="12">
        <f>CEILING('Fire Elemental'!$B$4/ IF('Fire Elemental'!$D$4&lt; 10.8, Table15[[#This Row],[STR]], Table15[[#This Row],[STR]] / ('Fire Elemental'!$D$4 / 10.8)), 1)</f>
        <v>8</v>
      </c>
      <c r="V44" s="15">
        <f>CEILING(Wyvern!$B$4/ IF(Wyvern!$D$4&lt; 10.8, Table15[[#This Row],[STR]], Table15[[#This Row],[STR]] / (Wyvern!$D$4 / 10.8)), 1)</f>
        <v>11</v>
      </c>
      <c r="W44" s="15">
        <f>CEILING('Evolved Wyvern'!$B$4/ IF('Evolved Wyvern'!$D$4&lt; 10.8, Table15[[#This Row],[STR]], Table15[[#This Row],[STR]] / ('Evolved Wyvern'!$D$4 / 10.8)), 1)</f>
        <v>15</v>
      </c>
      <c r="X44" s="15">
        <f>CEILING(Dragon!$B$4/ IF(Dragon!$D$4&lt; 10.8, Table15[[#This Row],[STR]], Table15[[#This Row],[STR]] / (Dragon!$D$4 / 10.8)), 1)</f>
        <v>25</v>
      </c>
      <c r="Z44" s="8">
        <f>CEILING('Blue Slime'!$M$5/ IF('Blue Slime'!$O$5&lt; 10.8, Table15[[#This Row],[STR]], Table15[[#This Row],[STR]] / ('Blue Slime'!$O$5 / 10.8)), 1)</f>
        <v>1</v>
      </c>
      <c r="AA44" s="8">
        <f>CEILING('Green Slime'!$M$5/ IF('Green Slime'!$O$5&lt; 10.8, Table15[[#This Row],[STR]], Table15[[#This Row],[STR]] / ('Green Slime'!$O$5 / 10.8)), 1)</f>
        <v>1</v>
      </c>
      <c r="AB44" s="8">
        <f>CEILING(Wolf!$M$6/ IF(Wolf!$O$6&lt; 10.8, Table15[[#This Row],[STR]], Table15[[#This Row],[STR]] / (Wolf!$O$6 / 10.8)), 1)</f>
        <v>2</v>
      </c>
      <c r="AC44" s="8">
        <f>CEILING('Horned Wolf'!$M$5/ IF('Horned Wolf'!$O$5&lt; 10.8, Table15[[#This Row],[STR]], Table15[[#This Row],[STR]] / ('Horned Wolf'!$O$5 / 10.8)), 1)</f>
        <v>4</v>
      </c>
      <c r="AD44" s="8">
        <f>CEILING(Spider!$M$7/ IF(Spider!$O$7&lt; 10.8, Table15[[#This Row],[STR]], Table15[[#This Row],[STR]] / (Spider!$O$7 / 10.8)), 1)</f>
        <v>4</v>
      </c>
      <c r="AE44" s="8">
        <f>CEILING('Evolved Spider'!$M$8/ IF('Evolved Spider'!$O$8&lt; 10.8, Table15[[#This Row],[STR]], Table15[[#This Row],[STR]] / ('Evolved Spider'!$O$8 / 10.8)), 1)</f>
        <v>7</v>
      </c>
      <c r="AF44" s="8">
        <f>CEILING(Arachne!$M$4/ IF(Arachne!$O$4&lt; 10.8, Table15[[#This Row],[STR]], Table15[[#This Row],[STR]] / (Arachne!$O$4 / 10.8)), 1)</f>
        <v>9</v>
      </c>
      <c r="AG44" s="12">
        <f>CEILING('Earth Elemental'!$M$6/ IF('Earth Elemental'!$O$6&lt; 10.8, Table15[[#This Row],[STR]], Table15[[#This Row],[STR]] / ('Earth Elemental'!$O$6 / 10.8)), 1)</f>
        <v>8</v>
      </c>
      <c r="AH44" s="12">
        <f>CEILING('Wind Elemental'!$M$6/ IF('Wind Elemental'!$O$6&lt; 10.8, Table15[[#This Row],[STR]], Table15[[#This Row],[STR]] / ('Wind Elemental'!$O$6 / 10.8)), 1)</f>
        <v>7</v>
      </c>
      <c r="AI44" s="12">
        <f>CEILING('Water Elemental'!$M$6/ IF('Water Elemental'!$O$6&lt; 10.8, Table15[[#This Row],[STR]], Table15[[#This Row],[STR]] / ('Water Elemental'!$O$6 / 10.8)), 1)</f>
        <v>10</v>
      </c>
      <c r="AJ44" s="12">
        <f>CEILING('Fire Elemental'!$M$4/ IF('Fire Elemental'!$O$4&lt; 10.8, Table15[[#This Row],[STR]], Table15[[#This Row],[STR]] / ('Fire Elemental'!$O$4 / 10.8)), 1)</f>
        <v>14</v>
      </c>
      <c r="AK44" s="15">
        <f>CEILING(Wyvern!$M$4/ IF(Wyvern!$O$4&lt; 10.8, Table15[[#This Row],[STR]], Table15[[#This Row],[STR]] / (Wyvern!$O$4 / 10.8)), 1)</f>
        <v>18</v>
      </c>
      <c r="AL44" s="15">
        <f>CEILING('Evolved Wyvern'!$M$4/ IF('Evolved Wyvern'!$O$4&lt; 10.8, Table15[[#This Row],[STR]], Table15[[#This Row],[STR]] / ('Evolved Wyvern'!$O$4 / 10.8)), 1)</f>
        <v>24</v>
      </c>
      <c r="AM44" s="15">
        <f>CEILING(Dragon!$M$4/ IF(Dragon!$O$4&lt; 10.8, Table15[[#This Row],[STR]], Table15[[#This Row],[STR]] / (Dragon!$O$4 / 10.8)), 1)</f>
        <v>39</v>
      </c>
      <c r="AO44" s="8">
        <f>CEILING('Blue Slime'!$Z$5/ IF('Blue Slime'!$X$5&lt; 10.8, Table15[[#This Row],[STR]], Table15[[#This Row],[STR]] / ('Blue Slime'!$X$5 / 10.8)), 1)</f>
        <v>1</v>
      </c>
      <c r="AP44" s="8">
        <f>CEILING('Green Slime'!$Z$5/ IF('Green Slime'!$X$5&lt; 10.8, Table15[[#This Row],[STR]], Table15[[#This Row],[STR]] / ('Green Slime'!$X$5 / 10.8)), 1)</f>
        <v>1</v>
      </c>
      <c r="AQ44" s="8">
        <f>CEILING(Wolf!$Z$6/ IF(Wolf!$X$6&lt; 10.8, Table15[[#This Row],[STR]], Table15[[#This Row],[STR]] / (Wolf!$X$6 / 10.8)), 1)</f>
        <v>3</v>
      </c>
      <c r="AR44" s="8">
        <f>CEILING('Horned Wolf'!$Z$5/ IF('Horned Wolf'!$X$5&lt; 10.8, Table15[[#This Row],[STR]], Table15[[#This Row],[STR]] / ('Horned Wolf'!$X$5 / 10.8)), 1)</f>
        <v>7</v>
      </c>
      <c r="AS44" s="8">
        <f>CEILING(Spider!$Z$7/ IF(Spider!$X$7&lt; 10.8, Table15[[#This Row],[STR]], Table15[[#This Row],[STR]] / (Spider!$X$7 / 10.8)), 1)</f>
        <v>6</v>
      </c>
      <c r="AT44" s="8">
        <f>CEILING('Evolved Spider'!$Z$8/ IF('Evolved Spider'!$X$8&lt; 10.8, Table15[[#This Row],[STR]], Table15[[#This Row],[STR]] / ('Evolved Spider'!$X$8 / 10.8)), 1)</f>
        <v>11</v>
      </c>
      <c r="AU44" s="8">
        <f>CEILING(Arachne!$Z$4/ IF(Arachne!$X$4&lt; 10.8, Table15[[#This Row],[STR]], Table15[[#This Row],[STR]] / (Arachne!$X$4 / 10.8)), 1)</f>
        <v>15</v>
      </c>
      <c r="AV44" s="12">
        <f>CEILING('Earth Elemental'!$Z$6/ IF('Earth Elemental'!$X$6&lt; 10.8, Table15[[#This Row],[STR]], Table15[[#This Row],[STR]] / ('Earth Elemental'!$X$6 / 10.8)), 1)</f>
        <v>13</v>
      </c>
      <c r="AW44" s="12">
        <f>CEILING('Wind Elemental'!$Z$6/ IF('Wind Elemental'!$X$6&lt; 10.8, Table15[[#This Row],[STR]], Table15[[#This Row],[STR]] / ('Wind Elemental'!$X$6 / 10.8)), 1)</f>
        <v>10</v>
      </c>
      <c r="AX44" s="12">
        <f>CEILING('Water Elemental'!$Z$6/ IF('Water Elemental'!$X$6&lt; 10.8, Table15[[#This Row],[STR]], Table15[[#This Row],[STR]] / ('Water Elemental'!$X$6 / 10.8)), 1)</f>
        <v>13</v>
      </c>
      <c r="AY44" s="12">
        <f>CEILING('Fire Elemental'!$Z$4/ IF('Fire Elemental'!$X$4&lt; 10.8, Table15[[#This Row],[STR]], Table15[[#This Row],[STR]] / ('Fire Elemental'!$X$4 / 10.8)), 1)</f>
        <v>22</v>
      </c>
      <c r="AZ44" s="15">
        <f>CEILING(Wyvern!$Z$4/ IF(Wyvern!$X$4&lt; 10.8, Table15[[#This Row],[STR]], Table15[[#This Row],[STR]] / (Wyvern!$X$4 / 10.8)), 1)</f>
        <v>26</v>
      </c>
      <c r="BA44" s="15">
        <f>CEILING('Evolved Wyvern'!$Z$4/ IF('Evolved Wyvern'!$X$4&lt; 10.8, Table15[[#This Row],[STR]], Table15[[#This Row],[STR]] / ('Evolved Wyvern'!$X$4 / 10.8)), 1)</f>
        <v>33</v>
      </c>
      <c r="BB44" s="15">
        <f>CEILING(Dragon!$Z$4/ IF(Dragon!$X$4&lt; 10.8, Table15[[#This Row],[STR]], Table15[[#This Row],[STR]] / (Dragon!$X$4 / 10.8)), 1)</f>
        <v>56</v>
      </c>
    </row>
    <row r="45" spans="1:54" x14ac:dyDescent="0.3">
      <c r="A45" s="1">
        <v>43</v>
      </c>
      <c r="B45" s="1">
        <f>$B$3 + ((Table15[[#This Row],[Level]] / 10) + $B$3 / 8) * Table15[[#This Row],[Level]] + Equipment!$D$34</f>
        <v>317.64999999999998</v>
      </c>
      <c r="C45" s="1">
        <f xml:space="preserve"> 2*Table15[[#This Row],[INT]]</f>
        <v>256</v>
      </c>
      <c r="D45" s="1">
        <f>$D$3 + ($D$3 / 4) * Table15[[#This Row],[Level]] + Equipment!$E$34</f>
        <v>79.75</v>
      </c>
      <c r="E45" s="1">
        <f>$E$3 + ($E$3 / 4) * Table15[[#This Row],[Level]] + Equipment!$F$34</f>
        <v>96.5</v>
      </c>
      <c r="F45" s="1">
        <f>$F$3 + ($F$3 / 4) * Table15[[#This Row],[Level]] + Equipment!$G$34</f>
        <v>112.25</v>
      </c>
      <c r="G45" s="1">
        <f>$G$3 + ($G$3 / 4) * Table15[[#This Row],[Level]] + Equipment!$H$34</f>
        <v>128</v>
      </c>
      <c r="H45" s="1">
        <f>$H$3 + ($H$3 / 4) * Table15[[#This Row],[Level]] + Equipment!$I$34</f>
        <v>96.5</v>
      </c>
      <c r="I45" s="1">
        <f xml:space="preserve"> (4 * (Table15[[#This Row],[Level]] ^ 3))/7 + $I$3</f>
        <v>45532.571428571428</v>
      </c>
      <c r="K45" s="8">
        <f>CEILING('Blue Slime'!$B$5/ IF('Blue Slime'!$D$5&lt; 10.8, Table15[[#This Row],[STR]], Table15[[#This Row],[STR]] / ('Blue Slime'!$D$5 / 10.8)), 1)</f>
        <v>1</v>
      </c>
      <c r="L45" s="8">
        <f>CEILING('Green Slime'!$B$5/ IF('Green Slime'!$D$5&lt; 10.8, Table15[[#This Row],[STR]], Table15[[#This Row],[STR]] / ('Green Slime'!$D$5 / 10.8)), 1)</f>
        <v>1</v>
      </c>
      <c r="M45" s="8">
        <f>CEILING(Wolf!$B$6/ IF(Wolf!$D$6&lt; 10.8, Table15[[#This Row],[STR]], Table15[[#This Row],[STR]] / (Wolf!$D$6 / 10.8)), 1)</f>
        <v>1</v>
      </c>
      <c r="N45" s="8">
        <f>CEILING('Horned Wolf'!$B$5/ IF('Horned Wolf'!$D$5&lt; 10.8, Table15[[#This Row],[STR]], Table15[[#This Row],[STR]] / ('Horned Wolf'!$D$5 / 10.8)), 1)</f>
        <v>2</v>
      </c>
      <c r="O45" s="8">
        <f>CEILING(Spider!$B$7/ IF(Spider!$D$7&lt; 10.8, Table15[[#This Row],[STR]], Table15[[#This Row],[STR]] / (Spider!$D$7 / 10.8)), 1)</f>
        <v>2</v>
      </c>
      <c r="P45" s="8">
        <f>CEILING('Evolved Spider'!$B$8/ IF('Evolved Spider'!$D$8&lt; 10.8, Table15[[#This Row],[STR]], Table15[[#This Row],[STR]] / ('Evolved Spider'!$D$8 / 10.8)), 1)</f>
        <v>4</v>
      </c>
      <c r="Q45" s="8">
        <f>CEILING(Arachne!$B$4/ IF(Arachne!$D$4&lt; 10.8, Table15[[#This Row],[STR]], Table15[[#This Row],[STR]] / (Arachne!$D$4 / 10.8)), 1)</f>
        <v>5</v>
      </c>
      <c r="R45" s="12">
        <f>CEILING('Earth Elemental'!$B$6/ IF('Earth Elemental'!$D$6&lt; 10.8, Table15[[#This Row],[STR]], Table15[[#This Row],[STR]] / ('Earth Elemental'!$D$6 / 10.8)), 1)</f>
        <v>5</v>
      </c>
      <c r="S45" s="12">
        <f>CEILING('Wind Elemental'!$B$6/ IF('Wind Elemental'!$D$6&lt; 10.8, Table15[[#This Row],[STR]], Table15[[#This Row],[STR]] / ('Wind Elemental'!$D$6 / 10.8)), 1)</f>
        <v>4</v>
      </c>
      <c r="T45" s="12">
        <f>CEILING('Water Elemental'!$B$6/ IF('Water Elemental'!$D$6&lt; 10.8, Table15[[#This Row],[STR]], Table15[[#This Row],[STR]] / ('Water Elemental'!$D$6 / 10.8)), 1)</f>
        <v>7</v>
      </c>
      <c r="U45" s="12">
        <f>CEILING('Fire Elemental'!$B$4/ IF('Fire Elemental'!$D$4&lt; 10.8, Table15[[#This Row],[STR]], Table15[[#This Row],[STR]] / ('Fire Elemental'!$D$4 / 10.8)), 1)</f>
        <v>8</v>
      </c>
      <c r="V45" s="15">
        <f>CEILING(Wyvern!$B$4/ IF(Wyvern!$D$4&lt; 10.8, Table15[[#This Row],[STR]], Table15[[#This Row],[STR]] / (Wyvern!$D$4 / 10.8)), 1)</f>
        <v>11</v>
      </c>
      <c r="W45" s="15">
        <f>CEILING('Evolved Wyvern'!$B$4/ IF('Evolved Wyvern'!$D$4&lt; 10.8, Table15[[#This Row],[STR]], Table15[[#This Row],[STR]] / ('Evolved Wyvern'!$D$4 / 10.8)), 1)</f>
        <v>15</v>
      </c>
      <c r="X45" s="15">
        <f>CEILING(Dragon!$B$4/ IF(Dragon!$D$4&lt; 10.8, Table15[[#This Row],[STR]], Table15[[#This Row],[STR]] / (Dragon!$D$4 / 10.8)), 1)</f>
        <v>24</v>
      </c>
      <c r="Z45" s="8">
        <f>CEILING('Blue Slime'!$M$5/ IF('Blue Slime'!$O$5&lt; 10.8, Table15[[#This Row],[STR]], Table15[[#This Row],[STR]] / ('Blue Slime'!$O$5 / 10.8)), 1)</f>
        <v>1</v>
      </c>
      <c r="AA45" s="8">
        <f>CEILING('Green Slime'!$M$5/ IF('Green Slime'!$O$5&lt; 10.8, Table15[[#This Row],[STR]], Table15[[#This Row],[STR]] / ('Green Slime'!$O$5 / 10.8)), 1)</f>
        <v>1</v>
      </c>
      <c r="AB45" s="8">
        <f>CEILING(Wolf!$M$6/ IF(Wolf!$O$6&lt; 10.8, Table15[[#This Row],[STR]], Table15[[#This Row],[STR]] / (Wolf!$O$6 / 10.8)), 1)</f>
        <v>2</v>
      </c>
      <c r="AC45" s="8">
        <f>CEILING('Horned Wolf'!$M$5/ IF('Horned Wolf'!$O$5&lt; 10.8, Table15[[#This Row],[STR]], Table15[[#This Row],[STR]] / ('Horned Wolf'!$O$5 / 10.8)), 1)</f>
        <v>4</v>
      </c>
      <c r="AD45" s="8">
        <f>CEILING(Spider!$M$7/ IF(Spider!$O$7&lt; 10.8, Table15[[#This Row],[STR]], Table15[[#This Row],[STR]] / (Spider!$O$7 / 10.8)), 1)</f>
        <v>4</v>
      </c>
      <c r="AE45" s="8">
        <f>CEILING('Evolved Spider'!$M$8/ IF('Evolved Spider'!$O$8&lt; 10.8, Table15[[#This Row],[STR]], Table15[[#This Row],[STR]] / ('Evolved Spider'!$O$8 / 10.8)), 1)</f>
        <v>7</v>
      </c>
      <c r="AF45" s="8">
        <f>CEILING(Arachne!$M$4/ IF(Arachne!$O$4&lt; 10.8, Table15[[#This Row],[STR]], Table15[[#This Row],[STR]] / (Arachne!$O$4 / 10.8)), 1)</f>
        <v>9</v>
      </c>
      <c r="AG45" s="12">
        <f>CEILING('Earth Elemental'!$M$6/ IF('Earth Elemental'!$O$6&lt; 10.8, Table15[[#This Row],[STR]], Table15[[#This Row],[STR]] / ('Earth Elemental'!$O$6 / 10.8)), 1)</f>
        <v>8</v>
      </c>
      <c r="AH45" s="12">
        <f>CEILING('Wind Elemental'!$M$6/ IF('Wind Elemental'!$O$6&lt; 10.8, Table15[[#This Row],[STR]], Table15[[#This Row],[STR]] / ('Wind Elemental'!$O$6 / 10.8)), 1)</f>
        <v>7</v>
      </c>
      <c r="AI45" s="12">
        <f>CEILING('Water Elemental'!$M$6/ IF('Water Elemental'!$O$6&lt; 10.8, Table15[[#This Row],[STR]], Table15[[#This Row],[STR]] / ('Water Elemental'!$O$6 / 10.8)), 1)</f>
        <v>10</v>
      </c>
      <c r="AJ45" s="12">
        <f>CEILING('Fire Elemental'!$M$4/ IF('Fire Elemental'!$O$4&lt; 10.8, Table15[[#This Row],[STR]], Table15[[#This Row],[STR]] / ('Fire Elemental'!$O$4 / 10.8)), 1)</f>
        <v>14</v>
      </c>
      <c r="AK45" s="15">
        <f>CEILING(Wyvern!$M$4/ IF(Wyvern!$O$4&lt; 10.8, Table15[[#This Row],[STR]], Table15[[#This Row],[STR]] / (Wyvern!$O$4 / 10.8)), 1)</f>
        <v>18</v>
      </c>
      <c r="AL45" s="15">
        <f>CEILING('Evolved Wyvern'!$M$4/ IF('Evolved Wyvern'!$O$4&lt; 10.8, Table15[[#This Row],[STR]], Table15[[#This Row],[STR]] / ('Evolved Wyvern'!$O$4 / 10.8)), 1)</f>
        <v>23</v>
      </c>
      <c r="AM45" s="15">
        <f>CEILING(Dragon!$M$4/ IF(Dragon!$O$4&lt; 10.8, Table15[[#This Row],[STR]], Table15[[#This Row],[STR]] / (Dragon!$O$4 / 10.8)), 1)</f>
        <v>39</v>
      </c>
      <c r="AO45" s="8">
        <f>CEILING('Blue Slime'!$Z$5/ IF('Blue Slime'!$X$5&lt; 10.8, Table15[[#This Row],[STR]], Table15[[#This Row],[STR]] / ('Blue Slime'!$X$5 / 10.8)), 1)</f>
        <v>1</v>
      </c>
      <c r="AP45" s="8">
        <f>CEILING('Green Slime'!$Z$5/ IF('Green Slime'!$X$5&lt; 10.8, Table15[[#This Row],[STR]], Table15[[#This Row],[STR]] / ('Green Slime'!$X$5 / 10.8)), 1)</f>
        <v>1</v>
      </c>
      <c r="AQ45" s="8">
        <f>CEILING(Wolf!$Z$6/ IF(Wolf!$X$6&lt; 10.8, Table15[[#This Row],[STR]], Table15[[#This Row],[STR]] / (Wolf!$X$6 / 10.8)), 1)</f>
        <v>3</v>
      </c>
      <c r="AR45" s="8">
        <f>CEILING('Horned Wolf'!$Z$5/ IF('Horned Wolf'!$X$5&lt; 10.8, Table15[[#This Row],[STR]], Table15[[#This Row],[STR]] / ('Horned Wolf'!$X$5 / 10.8)), 1)</f>
        <v>7</v>
      </c>
      <c r="AS45" s="8">
        <f>CEILING(Spider!$Z$7/ IF(Spider!$X$7&lt; 10.8, Table15[[#This Row],[STR]], Table15[[#This Row],[STR]] / (Spider!$X$7 / 10.8)), 1)</f>
        <v>6</v>
      </c>
      <c r="AT45" s="8">
        <f>CEILING('Evolved Spider'!$Z$8/ IF('Evolved Spider'!$X$8&lt; 10.8, Table15[[#This Row],[STR]], Table15[[#This Row],[STR]] / ('Evolved Spider'!$X$8 / 10.8)), 1)</f>
        <v>11</v>
      </c>
      <c r="AU45" s="8">
        <f>CEILING(Arachne!$Z$4/ IF(Arachne!$X$4&lt; 10.8, Table15[[#This Row],[STR]], Table15[[#This Row],[STR]] / (Arachne!$X$4 / 10.8)), 1)</f>
        <v>15</v>
      </c>
      <c r="AV45" s="12">
        <f>CEILING('Earth Elemental'!$Z$6/ IF('Earth Elemental'!$X$6&lt; 10.8, Table15[[#This Row],[STR]], Table15[[#This Row],[STR]] / ('Earth Elemental'!$X$6 / 10.8)), 1)</f>
        <v>12</v>
      </c>
      <c r="AW45" s="12">
        <f>CEILING('Wind Elemental'!$Z$6/ IF('Wind Elemental'!$X$6&lt; 10.8, Table15[[#This Row],[STR]], Table15[[#This Row],[STR]] / ('Wind Elemental'!$X$6 / 10.8)), 1)</f>
        <v>10</v>
      </c>
      <c r="AX45" s="12">
        <f>CEILING('Water Elemental'!$Z$6/ IF('Water Elemental'!$X$6&lt; 10.8, Table15[[#This Row],[STR]], Table15[[#This Row],[STR]] / ('Water Elemental'!$X$6 / 10.8)), 1)</f>
        <v>13</v>
      </c>
      <c r="AY45" s="12">
        <f>CEILING('Fire Elemental'!$Z$4/ IF('Fire Elemental'!$X$4&lt; 10.8, Table15[[#This Row],[STR]], Table15[[#This Row],[STR]] / ('Fire Elemental'!$X$4 / 10.8)), 1)</f>
        <v>21</v>
      </c>
      <c r="AZ45" s="15">
        <f>CEILING(Wyvern!$Z$4/ IF(Wyvern!$X$4&lt; 10.8, Table15[[#This Row],[STR]], Table15[[#This Row],[STR]] / (Wyvern!$X$4 / 10.8)), 1)</f>
        <v>26</v>
      </c>
      <c r="BA45" s="15">
        <f>CEILING('Evolved Wyvern'!$Z$4/ IF('Evolved Wyvern'!$X$4&lt; 10.8, Table15[[#This Row],[STR]], Table15[[#This Row],[STR]] / ('Evolved Wyvern'!$X$4 / 10.8)), 1)</f>
        <v>33</v>
      </c>
      <c r="BB45" s="15">
        <f>CEILING(Dragon!$Z$4/ IF(Dragon!$X$4&lt; 10.8, Table15[[#This Row],[STR]], Table15[[#This Row],[STR]] / (Dragon!$X$4 / 10.8)), 1)</f>
        <v>55</v>
      </c>
    </row>
    <row r="46" spans="1:54" x14ac:dyDescent="0.3">
      <c r="A46" s="30">
        <v>44</v>
      </c>
      <c r="B46" s="30">
        <f>$B$3 + ((Table15[[#This Row],[Level]] / 10) + $B$3 / 8) * Table15[[#This Row],[Level]] + Equipment!$D$34</f>
        <v>327.60000000000002</v>
      </c>
      <c r="C46" s="30">
        <f xml:space="preserve"> 2*Table15[[#This Row],[INT]]</f>
        <v>260</v>
      </c>
      <c r="D46" s="30">
        <f>$D$3 + ($D$3 / 4) * Table15[[#This Row],[Level]] + Equipment!$E$34</f>
        <v>81</v>
      </c>
      <c r="E46" s="30">
        <f>$E$3 + ($E$3 / 4) * Table15[[#This Row],[Level]] + Equipment!$F$34</f>
        <v>98</v>
      </c>
      <c r="F46" s="30">
        <f>$F$3 + ($F$3 / 4) * Table15[[#This Row],[Level]] + Equipment!$G$34</f>
        <v>114</v>
      </c>
      <c r="G46" s="30">
        <f>$G$3 + ($G$3 / 4) * Table15[[#This Row],[Level]] + Equipment!$H$34</f>
        <v>130</v>
      </c>
      <c r="H46" s="30">
        <f>$H$3 + ($H$3 / 4) * Table15[[#This Row],[Level]] + Equipment!$I$34</f>
        <v>98</v>
      </c>
      <c r="I46" s="30">
        <f xml:space="preserve"> (4 * (Table15[[#This Row],[Level]] ^ 3))/7 + $I$3</f>
        <v>48776.571428571428</v>
      </c>
      <c r="K46" s="8">
        <f>CEILING('Blue Slime'!$B$5/ IF('Blue Slime'!$D$5&lt; 10.8, Table15[[#This Row],[STR]], Table15[[#This Row],[STR]] / ('Blue Slime'!$D$5 / 10.8)), 1)</f>
        <v>1</v>
      </c>
      <c r="L46" s="8">
        <f>CEILING('Green Slime'!$B$5/ IF('Green Slime'!$D$5&lt; 10.8, Table15[[#This Row],[STR]], Table15[[#This Row],[STR]] / ('Green Slime'!$D$5 / 10.8)), 1)</f>
        <v>1</v>
      </c>
      <c r="M46" s="8">
        <f>CEILING(Wolf!$B$6/ IF(Wolf!$D$6&lt; 10.8, Table15[[#This Row],[STR]], Table15[[#This Row],[STR]] / (Wolf!$D$6 / 10.8)), 1)</f>
        <v>1</v>
      </c>
      <c r="N46" s="8">
        <f>CEILING('Horned Wolf'!$B$5/ IF('Horned Wolf'!$D$5&lt; 10.8, Table15[[#This Row],[STR]], Table15[[#This Row],[STR]] / ('Horned Wolf'!$D$5 / 10.8)), 1)</f>
        <v>2</v>
      </c>
      <c r="O46" s="8">
        <f>CEILING(Spider!$B$7/ IF(Spider!$D$7&lt; 10.8, Table15[[#This Row],[STR]], Table15[[#This Row],[STR]] / (Spider!$D$7 / 10.8)), 1)</f>
        <v>2</v>
      </c>
      <c r="P46" s="8">
        <f>CEILING('Evolved Spider'!$B$8/ IF('Evolved Spider'!$D$8&lt; 10.8, Table15[[#This Row],[STR]], Table15[[#This Row],[STR]] / ('Evolved Spider'!$D$8 / 10.8)), 1)</f>
        <v>4</v>
      </c>
      <c r="Q46" s="8">
        <f>CEILING(Arachne!$B$4/ IF(Arachne!$D$4&lt; 10.8, Table15[[#This Row],[STR]], Table15[[#This Row],[STR]] / (Arachne!$D$4 / 10.8)), 1)</f>
        <v>5</v>
      </c>
      <c r="R46" s="12">
        <f>CEILING('Earth Elemental'!$B$6/ IF('Earth Elemental'!$D$6&lt; 10.8, Table15[[#This Row],[STR]], Table15[[#This Row],[STR]] / ('Earth Elemental'!$D$6 / 10.8)), 1)</f>
        <v>5</v>
      </c>
      <c r="S46" s="12">
        <f>CEILING('Wind Elemental'!$B$6/ IF('Wind Elemental'!$D$6&lt; 10.8, Table15[[#This Row],[STR]], Table15[[#This Row],[STR]] / ('Wind Elemental'!$D$6 / 10.8)), 1)</f>
        <v>4</v>
      </c>
      <c r="T46" s="12">
        <f>CEILING('Water Elemental'!$B$6/ IF('Water Elemental'!$D$6&lt; 10.8, Table15[[#This Row],[STR]], Table15[[#This Row],[STR]] / ('Water Elemental'!$D$6 / 10.8)), 1)</f>
        <v>6</v>
      </c>
      <c r="U46" s="12">
        <f>CEILING('Fire Elemental'!$B$4/ IF('Fire Elemental'!$D$4&lt; 10.8, Table15[[#This Row],[STR]], Table15[[#This Row],[STR]] / ('Fire Elemental'!$D$4 / 10.8)), 1)</f>
        <v>8</v>
      </c>
      <c r="V46" s="15">
        <f>CEILING(Wyvern!$B$4/ IF(Wyvern!$D$4&lt; 10.8, Table15[[#This Row],[STR]], Table15[[#This Row],[STR]] / (Wyvern!$D$4 / 10.8)), 1)</f>
        <v>11</v>
      </c>
      <c r="W46" s="15">
        <f>CEILING('Evolved Wyvern'!$B$4/ IF('Evolved Wyvern'!$D$4&lt; 10.8, Table15[[#This Row],[STR]], Table15[[#This Row],[STR]] / ('Evolved Wyvern'!$D$4 / 10.8)), 1)</f>
        <v>15</v>
      </c>
      <c r="X46" s="15">
        <f>CEILING(Dragon!$B$4/ IF(Dragon!$D$4&lt; 10.8, Table15[[#This Row],[STR]], Table15[[#This Row],[STR]] / (Dragon!$D$4 / 10.8)), 1)</f>
        <v>24</v>
      </c>
      <c r="Z46" s="8">
        <f>CEILING('Blue Slime'!$M$5/ IF('Blue Slime'!$O$5&lt; 10.8, Table15[[#This Row],[STR]], Table15[[#This Row],[STR]] / ('Blue Slime'!$O$5 / 10.8)), 1)</f>
        <v>1</v>
      </c>
      <c r="AA46" s="8">
        <f>CEILING('Green Slime'!$M$5/ IF('Green Slime'!$O$5&lt; 10.8, Table15[[#This Row],[STR]], Table15[[#This Row],[STR]] / ('Green Slime'!$O$5 / 10.8)), 1)</f>
        <v>1</v>
      </c>
      <c r="AB46" s="8">
        <f>CEILING(Wolf!$M$6/ IF(Wolf!$O$6&lt; 10.8, Table15[[#This Row],[STR]], Table15[[#This Row],[STR]] / (Wolf!$O$6 / 10.8)), 1)</f>
        <v>2</v>
      </c>
      <c r="AC46" s="8">
        <f>CEILING('Horned Wolf'!$M$5/ IF('Horned Wolf'!$O$5&lt; 10.8, Table15[[#This Row],[STR]], Table15[[#This Row],[STR]] / ('Horned Wolf'!$O$5 / 10.8)), 1)</f>
        <v>4</v>
      </c>
      <c r="AD46" s="8">
        <f>CEILING(Spider!$M$7/ IF(Spider!$O$7&lt; 10.8, Table15[[#This Row],[STR]], Table15[[#This Row],[STR]] / (Spider!$O$7 / 10.8)), 1)</f>
        <v>4</v>
      </c>
      <c r="AE46" s="8">
        <f>CEILING('Evolved Spider'!$M$8/ IF('Evolved Spider'!$O$8&lt; 10.8, Table15[[#This Row],[STR]], Table15[[#This Row],[STR]] / ('Evolved Spider'!$O$8 / 10.8)), 1)</f>
        <v>7</v>
      </c>
      <c r="AF46" s="8">
        <f>CEILING(Arachne!$M$4/ IF(Arachne!$O$4&lt; 10.8, Table15[[#This Row],[STR]], Table15[[#This Row],[STR]] / (Arachne!$O$4 / 10.8)), 1)</f>
        <v>9</v>
      </c>
      <c r="AG46" s="12">
        <f>CEILING('Earth Elemental'!$M$6/ IF('Earth Elemental'!$O$6&lt; 10.8, Table15[[#This Row],[STR]], Table15[[#This Row],[STR]] / ('Earth Elemental'!$O$6 / 10.8)), 1)</f>
        <v>8</v>
      </c>
      <c r="AH46" s="12">
        <f>CEILING('Wind Elemental'!$M$6/ IF('Wind Elemental'!$O$6&lt; 10.8, Table15[[#This Row],[STR]], Table15[[#This Row],[STR]] / ('Wind Elemental'!$O$6 / 10.8)), 1)</f>
        <v>7</v>
      </c>
      <c r="AI46" s="12">
        <f>CEILING('Water Elemental'!$M$6/ IF('Water Elemental'!$O$6&lt; 10.8, Table15[[#This Row],[STR]], Table15[[#This Row],[STR]] / ('Water Elemental'!$O$6 / 10.8)), 1)</f>
        <v>10</v>
      </c>
      <c r="AJ46" s="12">
        <f>CEILING('Fire Elemental'!$M$4/ IF('Fire Elemental'!$O$4&lt; 10.8, Table15[[#This Row],[STR]], Table15[[#This Row],[STR]] / ('Fire Elemental'!$O$4 / 10.8)), 1)</f>
        <v>14</v>
      </c>
      <c r="AK46" s="15">
        <f>CEILING(Wyvern!$M$4/ IF(Wyvern!$O$4&lt; 10.8, Table15[[#This Row],[STR]], Table15[[#This Row],[STR]] / (Wyvern!$O$4 / 10.8)), 1)</f>
        <v>17</v>
      </c>
      <c r="AL46" s="15">
        <f>CEILING('Evolved Wyvern'!$M$4/ IF('Evolved Wyvern'!$O$4&lt; 10.8, Table15[[#This Row],[STR]], Table15[[#This Row],[STR]] / ('Evolved Wyvern'!$O$4 / 10.8)), 1)</f>
        <v>23</v>
      </c>
      <c r="AM46" s="15">
        <f>CEILING(Dragon!$M$4/ IF(Dragon!$O$4&lt; 10.8, Table15[[#This Row],[STR]], Table15[[#This Row],[STR]] / (Dragon!$O$4 / 10.8)), 1)</f>
        <v>38</v>
      </c>
      <c r="AO46" s="8">
        <f>CEILING('Blue Slime'!$Z$5/ IF('Blue Slime'!$X$5&lt; 10.8, Table15[[#This Row],[STR]], Table15[[#This Row],[STR]] / ('Blue Slime'!$X$5 / 10.8)), 1)</f>
        <v>1</v>
      </c>
      <c r="AP46" s="8">
        <f>CEILING('Green Slime'!$Z$5/ IF('Green Slime'!$X$5&lt; 10.8, Table15[[#This Row],[STR]], Table15[[#This Row],[STR]] / ('Green Slime'!$X$5 / 10.8)), 1)</f>
        <v>1</v>
      </c>
      <c r="AQ46" s="8">
        <f>CEILING(Wolf!$Z$6/ IF(Wolf!$X$6&lt; 10.8, Table15[[#This Row],[STR]], Table15[[#This Row],[STR]] / (Wolf!$X$6 / 10.8)), 1)</f>
        <v>3</v>
      </c>
      <c r="AR46" s="8">
        <f>CEILING('Horned Wolf'!$Z$5/ IF('Horned Wolf'!$X$5&lt; 10.8, Table15[[#This Row],[STR]], Table15[[#This Row],[STR]] / ('Horned Wolf'!$X$5 / 10.8)), 1)</f>
        <v>7</v>
      </c>
      <c r="AS46" s="8">
        <f>CEILING(Spider!$Z$7/ IF(Spider!$X$7&lt; 10.8, Table15[[#This Row],[STR]], Table15[[#This Row],[STR]] / (Spider!$X$7 / 10.8)), 1)</f>
        <v>6</v>
      </c>
      <c r="AT46" s="8">
        <f>CEILING('Evolved Spider'!$Z$8/ IF('Evolved Spider'!$X$8&lt; 10.8, Table15[[#This Row],[STR]], Table15[[#This Row],[STR]] / ('Evolved Spider'!$X$8 / 10.8)), 1)</f>
        <v>11</v>
      </c>
      <c r="AU46" s="8">
        <f>CEILING(Arachne!$Z$4/ IF(Arachne!$X$4&lt; 10.8, Table15[[#This Row],[STR]], Table15[[#This Row],[STR]] / (Arachne!$X$4 / 10.8)), 1)</f>
        <v>15</v>
      </c>
      <c r="AV46" s="12">
        <f>CEILING('Earth Elemental'!$Z$6/ IF('Earth Elemental'!$X$6&lt; 10.8, Table15[[#This Row],[STR]], Table15[[#This Row],[STR]] / ('Earth Elemental'!$X$6 / 10.8)), 1)</f>
        <v>12</v>
      </c>
      <c r="AW46" s="12">
        <f>CEILING('Wind Elemental'!$Z$6/ IF('Wind Elemental'!$X$6&lt; 10.8, Table15[[#This Row],[STR]], Table15[[#This Row],[STR]] / ('Wind Elemental'!$X$6 / 10.8)), 1)</f>
        <v>10</v>
      </c>
      <c r="AX46" s="12">
        <f>CEILING('Water Elemental'!$Z$6/ IF('Water Elemental'!$X$6&lt; 10.8, Table15[[#This Row],[STR]], Table15[[#This Row],[STR]] / ('Water Elemental'!$X$6 / 10.8)), 1)</f>
        <v>13</v>
      </c>
      <c r="AY46" s="12">
        <f>CEILING('Fire Elemental'!$Z$4/ IF('Fire Elemental'!$X$4&lt; 10.8, Table15[[#This Row],[STR]], Table15[[#This Row],[STR]] / ('Fire Elemental'!$X$4 / 10.8)), 1)</f>
        <v>21</v>
      </c>
      <c r="AZ46" s="15">
        <f>CEILING(Wyvern!$Z$4/ IF(Wyvern!$X$4&lt; 10.8, Table15[[#This Row],[STR]], Table15[[#This Row],[STR]] / (Wyvern!$X$4 / 10.8)), 1)</f>
        <v>25</v>
      </c>
      <c r="BA46" s="15">
        <f>CEILING('Evolved Wyvern'!$Z$4/ IF('Evolved Wyvern'!$X$4&lt; 10.8, Table15[[#This Row],[STR]], Table15[[#This Row],[STR]] / ('Evolved Wyvern'!$X$4 / 10.8)), 1)</f>
        <v>32</v>
      </c>
      <c r="BB46" s="15">
        <f>CEILING(Dragon!$Z$4/ IF(Dragon!$X$4&lt; 10.8, Table15[[#This Row],[STR]], Table15[[#This Row],[STR]] / (Dragon!$X$4 / 10.8)), 1)</f>
        <v>54</v>
      </c>
    </row>
    <row r="47" spans="1:54" x14ac:dyDescent="0.3">
      <c r="A47" s="1">
        <v>45</v>
      </c>
      <c r="B47" s="1">
        <f>$B$3 + ((Table15[[#This Row],[Level]] / 10) + $B$3 / 8) * Table15[[#This Row],[Level]] + Equipment!$D$42</f>
        <v>378.75</v>
      </c>
      <c r="C47" s="1">
        <f xml:space="preserve"> 2*Table15[[#This Row],[INT]]</f>
        <v>284</v>
      </c>
      <c r="D47" s="1">
        <f>$D$3 + ($D$3 / 4) * Table15[[#This Row],[Level]] + Equipment!$E$42</f>
        <v>89.25</v>
      </c>
      <c r="E47" s="1">
        <f>$E$3 + ($E$3 / 4) * Table15[[#This Row],[Level]] + Equipment!$F$42</f>
        <v>106.5</v>
      </c>
      <c r="F47" s="1">
        <f>$F$3 + ($F$3 / 4) * Table15[[#This Row],[Level]] + Equipment!$G$42</f>
        <v>124.75</v>
      </c>
      <c r="G47" s="1">
        <f>$G$3 + ($G$3 / 4) * Table15[[#This Row],[Level]] + Equipment!$H$42</f>
        <v>142</v>
      </c>
      <c r="H47" s="1">
        <f>$H$3 + ($H$3 / 4) * Table15[[#This Row],[Level]] + Equipment!$I$42</f>
        <v>106.5</v>
      </c>
      <c r="I47" s="1">
        <f xml:space="preserve"> (4 * (Table15[[#This Row],[Level]] ^ 3))/7 + $I$3</f>
        <v>52171.428571428572</v>
      </c>
      <c r="K47" s="8">
        <f>CEILING('Blue Slime'!$B$5/ IF('Blue Slime'!$D$5&lt; 10.8, Table15[[#This Row],[STR]], Table15[[#This Row],[STR]] / ('Blue Slime'!$D$5 / 10.8)), 1)</f>
        <v>1</v>
      </c>
      <c r="L47" s="8">
        <f>CEILING('Green Slime'!$B$5/ IF('Green Slime'!$D$5&lt; 10.8, Table15[[#This Row],[STR]], Table15[[#This Row],[STR]] / ('Green Slime'!$D$5 / 10.8)), 1)</f>
        <v>1</v>
      </c>
      <c r="M47" s="8">
        <f>CEILING(Wolf!$B$6/ IF(Wolf!$D$6&lt; 10.8, Table15[[#This Row],[STR]], Table15[[#This Row],[STR]] / (Wolf!$D$6 / 10.8)), 1)</f>
        <v>1</v>
      </c>
      <c r="N47" s="8">
        <f>CEILING('Horned Wolf'!$B$5/ IF('Horned Wolf'!$D$5&lt; 10.8, Table15[[#This Row],[STR]], Table15[[#This Row],[STR]] / ('Horned Wolf'!$D$5 / 10.8)), 1)</f>
        <v>2</v>
      </c>
      <c r="O47" s="8">
        <f>CEILING(Spider!$B$7/ IF(Spider!$D$7&lt; 10.8, Table15[[#This Row],[STR]], Table15[[#This Row],[STR]] / (Spider!$D$7 / 10.8)), 1)</f>
        <v>2</v>
      </c>
      <c r="P47" s="8">
        <f>CEILING('Evolved Spider'!$B$8/ IF('Evolved Spider'!$D$8&lt; 10.8, Table15[[#This Row],[STR]], Table15[[#This Row],[STR]] / ('Evolved Spider'!$D$8 / 10.8)), 1)</f>
        <v>3</v>
      </c>
      <c r="Q47" s="8">
        <f>CEILING(Arachne!$B$4/ IF(Arachne!$D$4&lt; 10.8, Table15[[#This Row],[STR]], Table15[[#This Row],[STR]] / (Arachne!$D$4 / 10.8)), 1)</f>
        <v>4</v>
      </c>
      <c r="R47" s="12">
        <f>CEILING('Earth Elemental'!$B$6/ IF('Earth Elemental'!$D$6&lt; 10.8, Table15[[#This Row],[STR]], Table15[[#This Row],[STR]] / ('Earth Elemental'!$D$6 / 10.8)), 1)</f>
        <v>5</v>
      </c>
      <c r="S47" s="12">
        <f>CEILING('Wind Elemental'!$B$6/ IF('Wind Elemental'!$D$6&lt; 10.8, Table15[[#This Row],[STR]], Table15[[#This Row],[STR]] / ('Wind Elemental'!$D$6 / 10.8)), 1)</f>
        <v>4</v>
      </c>
      <c r="T47" s="12">
        <f>CEILING('Water Elemental'!$B$6/ IF('Water Elemental'!$D$6&lt; 10.8, Table15[[#This Row],[STR]], Table15[[#This Row],[STR]] / ('Water Elemental'!$D$6 / 10.8)), 1)</f>
        <v>6</v>
      </c>
      <c r="U47" s="12">
        <f>CEILING('Fire Elemental'!$B$4/ IF('Fire Elemental'!$D$4&lt; 10.8, Table15[[#This Row],[STR]], Table15[[#This Row],[STR]] / ('Fire Elemental'!$D$4 / 10.8)), 1)</f>
        <v>7</v>
      </c>
      <c r="V47" s="15">
        <f>CEILING(Wyvern!$B$4/ IF(Wyvern!$D$4&lt; 10.8, Table15[[#This Row],[STR]], Table15[[#This Row],[STR]] / (Wyvern!$D$4 / 10.8)), 1)</f>
        <v>10</v>
      </c>
      <c r="W47" s="15">
        <f>CEILING('Evolved Wyvern'!$B$4/ IF('Evolved Wyvern'!$D$4&lt; 10.8, Table15[[#This Row],[STR]], Table15[[#This Row],[STR]] / ('Evolved Wyvern'!$D$4 / 10.8)), 1)</f>
        <v>14</v>
      </c>
      <c r="X47" s="15">
        <f>CEILING(Dragon!$B$4/ IF(Dragon!$D$4&lt; 10.8, Table15[[#This Row],[STR]], Table15[[#This Row],[STR]] / (Dragon!$D$4 / 10.8)), 1)</f>
        <v>22</v>
      </c>
      <c r="Z47" s="8">
        <f>CEILING('Blue Slime'!$M$5/ IF('Blue Slime'!$O$5&lt; 10.8, Table15[[#This Row],[STR]], Table15[[#This Row],[STR]] / ('Blue Slime'!$O$5 / 10.8)), 1)</f>
        <v>1</v>
      </c>
      <c r="AA47" s="8">
        <f>CEILING('Green Slime'!$M$5/ IF('Green Slime'!$O$5&lt; 10.8, Table15[[#This Row],[STR]], Table15[[#This Row],[STR]] / ('Green Slime'!$O$5 / 10.8)), 1)</f>
        <v>1</v>
      </c>
      <c r="AB47" s="8">
        <f>CEILING(Wolf!$M$6/ IF(Wolf!$O$6&lt; 10.8, Table15[[#This Row],[STR]], Table15[[#This Row],[STR]] / (Wolf!$O$6 / 10.8)), 1)</f>
        <v>2</v>
      </c>
      <c r="AC47" s="8">
        <f>CEILING('Horned Wolf'!$M$5/ IF('Horned Wolf'!$O$5&lt; 10.8, Table15[[#This Row],[STR]], Table15[[#This Row],[STR]] / ('Horned Wolf'!$O$5 / 10.8)), 1)</f>
        <v>4</v>
      </c>
      <c r="AD47" s="8">
        <f>CEILING(Spider!$M$7/ IF(Spider!$O$7&lt; 10.8, Table15[[#This Row],[STR]], Table15[[#This Row],[STR]] / (Spider!$O$7 / 10.8)), 1)</f>
        <v>4</v>
      </c>
      <c r="AE47" s="8">
        <f>CEILING('Evolved Spider'!$M$8/ IF('Evolved Spider'!$O$8&lt; 10.8, Table15[[#This Row],[STR]], Table15[[#This Row],[STR]] / ('Evolved Spider'!$O$8 / 10.8)), 1)</f>
        <v>6</v>
      </c>
      <c r="AF47" s="8">
        <f>CEILING(Arachne!$M$4/ IF(Arachne!$O$4&lt; 10.8, Table15[[#This Row],[STR]], Table15[[#This Row],[STR]] / (Arachne!$O$4 / 10.8)), 1)</f>
        <v>8</v>
      </c>
      <c r="AG47" s="12">
        <f>CEILING('Earth Elemental'!$M$6/ IF('Earth Elemental'!$O$6&lt; 10.8, Table15[[#This Row],[STR]], Table15[[#This Row],[STR]] / ('Earth Elemental'!$O$6 / 10.8)), 1)</f>
        <v>8</v>
      </c>
      <c r="AH47" s="12">
        <f>CEILING('Wind Elemental'!$M$6/ IF('Wind Elemental'!$O$6&lt; 10.8, Table15[[#This Row],[STR]], Table15[[#This Row],[STR]] / ('Wind Elemental'!$O$6 / 10.8)), 1)</f>
        <v>6</v>
      </c>
      <c r="AI47" s="12">
        <f>CEILING('Water Elemental'!$M$6/ IF('Water Elemental'!$O$6&lt; 10.8, Table15[[#This Row],[STR]], Table15[[#This Row],[STR]] / ('Water Elemental'!$O$6 / 10.8)), 1)</f>
        <v>9</v>
      </c>
      <c r="AJ47" s="12">
        <f>CEILING('Fire Elemental'!$M$4/ IF('Fire Elemental'!$O$4&lt; 10.8, Table15[[#This Row],[STR]], Table15[[#This Row],[STR]] / ('Fire Elemental'!$O$4 / 10.8)), 1)</f>
        <v>13</v>
      </c>
      <c r="AK47" s="15">
        <f>CEILING(Wyvern!$M$4/ IF(Wyvern!$O$4&lt; 10.8, Table15[[#This Row],[STR]], Table15[[#This Row],[STR]] / (Wyvern!$O$4 / 10.8)), 1)</f>
        <v>16</v>
      </c>
      <c r="AL47" s="15">
        <f>CEILING('Evolved Wyvern'!$M$4/ IF('Evolved Wyvern'!$O$4&lt; 10.8, Table15[[#This Row],[STR]], Table15[[#This Row],[STR]] / ('Evolved Wyvern'!$O$4 / 10.8)), 1)</f>
        <v>21</v>
      </c>
      <c r="AM47" s="15">
        <f>CEILING(Dragon!$M$4/ IF(Dragon!$O$4&lt; 10.8, Table15[[#This Row],[STR]], Table15[[#This Row],[STR]] / (Dragon!$O$4 / 10.8)), 1)</f>
        <v>35</v>
      </c>
      <c r="AO47" s="8">
        <f>CEILING('Blue Slime'!$Z$5/ IF('Blue Slime'!$X$5&lt; 10.8, Table15[[#This Row],[STR]], Table15[[#This Row],[STR]] / ('Blue Slime'!$X$5 / 10.8)), 1)</f>
        <v>1</v>
      </c>
      <c r="AP47" s="8">
        <f>CEILING('Green Slime'!$Z$5/ IF('Green Slime'!$X$5&lt; 10.8, Table15[[#This Row],[STR]], Table15[[#This Row],[STR]] / ('Green Slime'!$X$5 / 10.8)), 1)</f>
        <v>1</v>
      </c>
      <c r="AQ47" s="8">
        <f>CEILING(Wolf!$Z$6/ IF(Wolf!$X$6&lt; 10.8, Table15[[#This Row],[STR]], Table15[[#This Row],[STR]] / (Wolf!$X$6 / 10.8)), 1)</f>
        <v>3</v>
      </c>
      <c r="AR47" s="8">
        <f>CEILING('Horned Wolf'!$Z$5/ IF('Horned Wolf'!$X$5&lt; 10.8, Table15[[#This Row],[STR]], Table15[[#This Row],[STR]] / ('Horned Wolf'!$X$5 / 10.8)), 1)</f>
        <v>6</v>
      </c>
      <c r="AS47" s="8">
        <f>CEILING(Spider!$Z$7/ IF(Spider!$X$7&lt; 10.8, Table15[[#This Row],[STR]], Table15[[#This Row],[STR]] / (Spider!$X$7 / 10.8)), 1)</f>
        <v>6</v>
      </c>
      <c r="AT47" s="8">
        <f>CEILING('Evolved Spider'!$Z$8/ IF('Evolved Spider'!$X$8&lt; 10.8, Table15[[#This Row],[STR]], Table15[[#This Row],[STR]] / ('Evolved Spider'!$X$8 / 10.8)), 1)</f>
        <v>10</v>
      </c>
      <c r="AU47" s="8">
        <f>CEILING(Arachne!$Z$4/ IF(Arachne!$X$4&lt; 10.8, Table15[[#This Row],[STR]], Table15[[#This Row],[STR]] / (Arachne!$X$4 / 10.8)), 1)</f>
        <v>13</v>
      </c>
      <c r="AV47" s="12">
        <f>CEILING('Earth Elemental'!$Z$6/ IF('Earth Elemental'!$X$6&lt; 10.8, Table15[[#This Row],[STR]], Table15[[#This Row],[STR]] / ('Earth Elemental'!$X$6 / 10.8)), 1)</f>
        <v>11</v>
      </c>
      <c r="AW47" s="12">
        <f>CEILING('Wind Elemental'!$Z$6/ IF('Wind Elemental'!$X$6&lt; 10.8, Table15[[#This Row],[STR]], Table15[[#This Row],[STR]] / ('Wind Elemental'!$X$6 / 10.8)), 1)</f>
        <v>9</v>
      </c>
      <c r="AX47" s="12">
        <f>CEILING('Water Elemental'!$Z$6/ IF('Water Elemental'!$X$6&lt; 10.8, Table15[[#This Row],[STR]], Table15[[#This Row],[STR]] / ('Water Elemental'!$X$6 / 10.8)), 1)</f>
        <v>12</v>
      </c>
      <c r="AY47" s="12">
        <f>CEILING('Fire Elemental'!$Z$4/ IF('Fire Elemental'!$X$4&lt; 10.8, Table15[[#This Row],[STR]], Table15[[#This Row],[STR]] / ('Fire Elemental'!$X$4 / 10.8)), 1)</f>
        <v>19</v>
      </c>
      <c r="AZ47" s="15">
        <f>CEILING(Wyvern!$Z$4/ IF(Wyvern!$X$4&lt; 10.8, Table15[[#This Row],[STR]], Table15[[#This Row],[STR]] / (Wyvern!$X$4 / 10.8)), 1)</f>
        <v>23</v>
      </c>
      <c r="BA47" s="15">
        <f>CEILING('Evolved Wyvern'!$Z$4/ IF('Evolved Wyvern'!$X$4&lt; 10.8, Table15[[#This Row],[STR]], Table15[[#This Row],[STR]] / ('Evolved Wyvern'!$X$4 / 10.8)), 1)</f>
        <v>29</v>
      </c>
      <c r="BB47" s="15">
        <f>CEILING(Dragon!$Z$4/ IF(Dragon!$X$4&lt; 10.8, Table15[[#This Row],[STR]], Table15[[#This Row],[STR]] / (Dragon!$X$4 / 10.8)), 1)</f>
        <v>49</v>
      </c>
    </row>
    <row r="48" spans="1:54" x14ac:dyDescent="0.3">
      <c r="A48" s="1">
        <v>46</v>
      </c>
      <c r="B48" s="1">
        <f>$B$3 + ((Table15[[#This Row],[Level]] / 10) + $B$3 / 8) * Table15[[#This Row],[Level]] + Equipment!$D$42</f>
        <v>389.09999999999997</v>
      </c>
      <c r="C48" s="1">
        <f xml:space="preserve"> 2*Table15[[#This Row],[INT]]</f>
        <v>288</v>
      </c>
      <c r="D48" s="1">
        <f>$D$3 + ($D$3 / 4) * Table15[[#This Row],[Level]] + Equipment!$E$42</f>
        <v>90.5</v>
      </c>
      <c r="E48" s="1">
        <f>$E$3 + ($E$3 / 4) * Table15[[#This Row],[Level]] + Equipment!$F$42</f>
        <v>108</v>
      </c>
      <c r="F48" s="1">
        <f>$F$3 + ($F$3 / 4) * Table15[[#This Row],[Level]] + Equipment!$G$42</f>
        <v>126.5</v>
      </c>
      <c r="G48" s="1">
        <f>$G$3 + ($G$3 / 4) * Table15[[#This Row],[Level]] + Equipment!$H$42</f>
        <v>144</v>
      </c>
      <c r="H48" s="1">
        <f>$H$3 + ($H$3 / 4) * Table15[[#This Row],[Level]] + Equipment!$I$42</f>
        <v>108</v>
      </c>
      <c r="I48" s="1">
        <f xml:space="preserve"> (4 * (Table15[[#This Row],[Level]] ^ 3))/7 + $I$3</f>
        <v>55720.571428571428</v>
      </c>
      <c r="K48" s="8">
        <f>CEILING('Blue Slime'!$B$5/ IF('Blue Slime'!$D$5&lt; 10.8, Table15[[#This Row],[STR]], Table15[[#This Row],[STR]] / ('Blue Slime'!$D$5 / 10.8)), 1)</f>
        <v>1</v>
      </c>
      <c r="L48" s="8">
        <f>CEILING('Green Slime'!$B$5/ IF('Green Slime'!$D$5&lt; 10.8, Table15[[#This Row],[STR]], Table15[[#This Row],[STR]] / ('Green Slime'!$D$5 / 10.8)), 1)</f>
        <v>1</v>
      </c>
      <c r="M48" s="8">
        <f>CEILING(Wolf!$B$6/ IF(Wolf!$D$6&lt; 10.8, Table15[[#This Row],[STR]], Table15[[#This Row],[STR]] / (Wolf!$D$6 / 10.8)), 1)</f>
        <v>1</v>
      </c>
      <c r="N48" s="8">
        <f>CEILING('Horned Wolf'!$B$5/ IF('Horned Wolf'!$D$5&lt; 10.8, Table15[[#This Row],[STR]], Table15[[#This Row],[STR]] / ('Horned Wolf'!$D$5 / 10.8)), 1)</f>
        <v>2</v>
      </c>
      <c r="O48" s="8">
        <f>CEILING(Spider!$B$7/ IF(Spider!$D$7&lt; 10.8, Table15[[#This Row],[STR]], Table15[[#This Row],[STR]] / (Spider!$D$7 / 10.8)), 1)</f>
        <v>2</v>
      </c>
      <c r="P48" s="8">
        <f>CEILING('Evolved Spider'!$B$8/ IF('Evolved Spider'!$D$8&lt; 10.8, Table15[[#This Row],[STR]], Table15[[#This Row],[STR]] / ('Evolved Spider'!$D$8 / 10.8)), 1)</f>
        <v>3</v>
      </c>
      <c r="Q48" s="8">
        <f>CEILING(Arachne!$B$4/ IF(Arachne!$D$4&lt; 10.8, Table15[[#This Row],[STR]], Table15[[#This Row],[STR]] / (Arachne!$D$4 / 10.8)), 1)</f>
        <v>4</v>
      </c>
      <c r="R48" s="12">
        <f>CEILING('Earth Elemental'!$B$6/ IF('Earth Elemental'!$D$6&lt; 10.8, Table15[[#This Row],[STR]], Table15[[#This Row],[STR]] / ('Earth Elemental'!$D$6 / 10.8)), 1)</f>
        <v>4</v>
      </c>
      <c r="S48" s="12">
        <f>CEILING('Wind Elemental'!$B$6/ IF('Wind Elemental'!$D$6&lt; 10.8, Table15[[#This Row],[STR]], Table15[[#This Row],[STR]] / ('Wind Elemental'!$D$6 / 10.8)), 1)</f>
        <v>4</v>
      </c>
      <c r="T48" s="12">
        <f>CEILING('Water Elemental'!$B$6/ IF('Water Elemental'!$D$6&lt; 10.8, Table15[[#This Row],[STR]], Table15[[#This Row],[STR]] / ('Water Elemental'!$D$6 / 10.8)), 1)</f>
        <v>6</v>
      </c>
      <c r="U48" s="12">
        <f>CEILING('Fire Elemental'!$B$4/ IF('Fire Elemental'!$D$4&lt; 10.8, Table15[[#This Row],[STR]], Table15[[#This Row],[STR]] / ('Fire Elemental'!$D$4 / 10.8)), 1)</f>
        <v>7</v>
      </c>
      <c r="V48" s="15">
        <f>CEILING(Wyvern!$B$4/ IF(Wyvern!$D$4&lt; 10.8, Table15[[#This Row],[STR]], Table15[[#This Row],[STR]] / (Wyvern!$D$4 / 10.8)), 1)</f>
        <v>10</v>
      </c>
      <c r="W48" s="15">
        <f>CEILING('Evolved Wyvern'!$B$4/ IF('Evolved Wyvern'!$D$4&lt; 10.8, Table15[[#This Row],[STR]], Table15[[#This Row],[STR]] / ('Evolved Wyvern'!$D$4 / 10.8)), 1)</f>
        <v>13</v>
      </c>
      <c r="X48" s="15">
        <f>CEILING(Dragon!$B$4/ IF(Dragon!$D$4&lt; 10.8, Table15[[#This Row],[STR]], Table15[[#This Row],[STR]] / (Dragon!$D$4 / 10.8)), 1)</f>
        <v>22</v>
      </c>
      <c r="Z48" s="8">
        <f>CEILING('Blue Slime'!$M$5/ IF('Blue Slime'!$O$5&lt; 10.8, Table15[[#This Row],[STR]], Table15[[#This Row],[STR]] / ('Blue Slime'!$O$5 / 10.8)), 1)</f>
        <v>1</v>
      </c>
      <c r="AA48" s="8">
        <f>CEILING('Green Slime'!$M$5/ IF('Green Slime'!$O$5&lt; 10.8, Table15[[#This Row],[STR]], Table15[[#This Row],[STR]] / ('Green Slime'!$O$5 / 10.8)), 1)</f>
        <v>1</v>
      </c>
      <c r="AB48" s="8">
        <f>CEILING(Wolf!$M$6/ IF(Wolf!$O$6&lt; 10.8, Table15[[#This Row],[STR]], Table15[[#This Row],[STR]] / (Wolf!$O$6 / 10.8)), 1)</f>
        <v>2</v>
      </c>
      <c r="AC48" s="8">
        <f>CEILING('Horned Wolf'!$M$5/ IF('Horned Wolf'!$O$5&lt; 10.8, Table15[[#This Row],[STR]], Table15[[#This Row],[STR]] / ('Horned Wolf'!$O$5 / 10.8)), 1)</f>
        <v>4</v>
      </c>
      <c r="AD48" s="8">
        <f>CEILING(Spider!$M$7/ IF(Spider!$O$7&lt; 10.8, Table15[[#This Row],[STR]], Table15[[#This Row],[STR]] / (Spider!$O$7 / 10.8)), 1)</f>
        <v>4</v>
      </c>
      <c r="AE48" s="8">
        <f>CEILING('Evolved Spider'!$M$8/ IF('Evolved Spider'!$O$8&lt; 10.8, Table15[[#This Row],[STR]], Table15[[#This Row],[STR]] / ('Evolved Spider'!$O$8 / 10.8)), 1)</f>
        <v>6</v>
      </c>
      <c r="AF48" s="8">
        <f>CEILING(Arachne!$M$4/ IF(Arachne!$O$4&lt; 10.8, Table15[[#This Row],[STR]], Table15[[#This Row],[STR]] / (Arachne!$O$4 / 10.8)), 1)</f>
        <v>8</v>
      </c>
      <c r="AG48" s="12">
        <f>CEILING('Earth Elemental'!$M$6/ IF('Earth Elemental'!$O$6&lt; 10.8, Table15[[#This Row],[STR]], Table15[[#This Row],[STR]] / ('Earth Elemental'!$O$6 / 10.8)), 1)</f>
        <v>7</v>
      </c>
      <c r="AH48" s="12">
        <f>CEILING('Wind Elemental'!$M$6/ IF('Wind Elemental'!$O$6&lt; 10.8, Table15[[#This Row],[STR]], Table15[[#This Row],[STR]] / ('Wind Elemental'!$O$6 / 10.8)), 1)</f>
        <v>6</v>
      </c>
      <c r="AI48" s="12">
        <f>CEILING('Water Elemental'!$M$6/ IF('Water Elemental'!$O$6&lt; 10.8, Table15[[#This Row],[STR]], Table15[[#This Row],[STR]] / ('Water Elemental'!$O$6 / 10.8)), 1)</f>
        <v>9</v>
      </c>
      <c r="AJ48" s="12">
        <f>CEILING('Fire Elemental'!$M$4/ IF('Fire Elemental'!$O$4&lt; 10.8, Table15[[#This Row],[STR]], Table15[[#This Row],[STR]] / ('Fire Elemental'!$O$4 / 10.8)), 1)</f>
        <v>13</v>
      </c>
      <c r="AK48" s="15">
        <f>CEILING(Wyvern!$M$4/ IF(Wyvern!$O$4&lt; 10.8, Table15[[#This Row],[STR]], Table15[[#This Row],[STR]] / (Wyvern!$O$4 / 10.8)), 1)</f>
        <v>16</v>
      </c>
      <c r="AL48" s="15">
        <f>CEILING('Evolved Wyvern'!$M$4/ IF('Evolved Wyvern'!$O$4&lt; 10.8, Table15[[#This Row],[STR]], Table15[[#This Row],[STR]] / ('Evolved Wyvern'!$O$4 / 10.8)), 1)</f>
        <v>21</v>
      </c>
      <c r="AM48" s="15">
        <f>CEILING(Dragon!$M$4/ IF(Dragon!$O$4&lt; 10.8, Table15[[#This Row],[STR]], Table15[[#This Row],[STR]] / (Dragon!$O$4 / 10.8)), 1)</f>
        <v>34</v>
      </c>
      <c r="AO48" s="8">
        <f>CEILING('Blue Slime'!$Z$5/ IF('Blue Slime'!$X$5&lt; 10.8, Table15[[#This Row],[STR]], Table15[[#This Row],[STR]] / ('Blue Slime'!$X$5 / 10.8)), 1)</f>
        <v>1</v>
      </c>
      <c r="AP48" s="8">
        <f>CEILING('Green Slime'!$Z$5/ IF('Green Slime'!$X$5&lt; 10.8, Table15[[#This Row],[STR]], Table15[[#This Row],[STR]] / ('Green Slime'!$X$5 / 10.8)), 1)</f>
        <v>1</v>
      </c>
      <c r="AQ48" s="8">
        <f>CEILING(Wolf!$Z$6/ IF(Wolf!$X$6&lt; 10.8, Table15[[#This Row],[STR]], Table15[[#This Row],[STR]] / (Wolf!$X$6 / 10.8)), 1)</f>
        <v>3</v>
      </c>
      <c r="AR48" s="8">
        <f>CEILING('Horned Wolf'!$Z$5/ IF('Horned Wolf'!$X$5&lt; 10.8, Table15[[#This Row],[STR]], Table15[[#This Row],[STR]] / ('Horned Wolf'!$X$5 / 10.8)), 1)</f>
        <v>6</v>
      </c>
      <c r="AS48" s="8">
        <f>CEILING(Spider!$Z$7/ IF(Spider!$X$7&lt; 10.8, Table15[[#This Row],[STR]], Table15[[#This Row],[STR]] / (Spider!$X$7 / 10.8)), 1)</f>
        <v>6</v>
      </c>
      <c r="AT48" s="8">
        <f>CEILING('Evolved Spider'!$Z$8/ IF('Evolved Spider'!$X$8&lt; 10.8, Table15[[#This Row],[STR]], Table15[[#This Row],[STR]] / ('Evolved Spider'!$X$8 / 10.8)), 1)</f>
        <v>10</v>
      </c>
      <c r="AU48" s="8">
        <f>CEILING(Arachne!$Z$4/ IF(Arachne!$X$4&lt; 10.8, Table15[[#This Row],[STR]], Table15[[#This Row],[STR]] / (Arachne!$X$4 / 10.8)), 1)</f>
        <v>13</v>
      </c>
      <c r="AV48" s="12">
        <f>CEILING('Earth Elemental'!$Z$6/ IF('Earth Elemental'!$X$6&lt; 10.8, Table15[[#This Row],[STR]], Table15[[#This Row],[STR]] / ('Earth Elemental'!$X$6 / 10.8)), 1)</f>
        <v>11</v>
      </c>
      <c r="AW48" s="12">
        <f>CEILING('Wind Elemental'!$Z$6/ IF('Wind Elemental'!$X$6&lt; 10.8, Table15[[#This Row],[STR]], Table15[[#This Row],[STR]] / ('Wind Elemental'!$X$6 / 10.8)), 1)</f>
        <v>9</v>
      </c>
      <c r="AX48" s="12">
        <f>CEILING('Water Elemental'!$Z$6/ IF('Water Elemental'!$X$6&lt; 10.8, Table15[[#This Row],[STR]], Table15[[#This Row],[STR]] / ('Water Elemental'!$X$6 / 10.8)), 1)</f>
        <v>12</v>
      </c>
      <c r="AY48" s="12">
        <f>CEILING('Fire Elemental'!$Z$4/ IF('Fire Elemental'!$X$4&lt; 10.8, Table15[[#This Row],[STR]], Table15[[#This Row],[STR]] / ('Fire Elemental'!$X$4 / 10.8)), 1)</f>
        <v>19</v>
      </c>
      <c r="AZ48" s="15">
        <f>CEILING(Wyvern!$Z$4/ IF(Wyvern!$X$4&lt; 10.8, Table15[[#This Row],[STR]], Table15[[#This Row],[STR]] / (Wyvern!$X$4 / 10.8)), 1)</f>
        <v>23</v>
      </c>
      <c r="BA48" s="15">
        <f>CEILING('Evolved Wyvern'!$Z$4/ IF('Evolved Wyvern'!$X$4&lt; 10.8, Table15[[#This Row],[STR]], Table15[[#This Row],[STR]] / ('Evolved Wyvern'!$X$4 / 10.8)), 1)</f>
        <v>29</v>
      </c>
      <c r="BB48" s="15">
        <f>CEILING(Dragon!$Z$4/ IF(Dragon!$X$4&lt; 10.8, Table15[[#This Row],[STR]], Table15[[#This Row],[STR]] / (Dragon!$X$4 / 10.8)), 1)</f>
        <v>49</v>
      </c>
    </row>
    <row r="49" spans="1:54" x14ac:dyDescent="0.3">
      <c r="A49" s="1">
        <v>47</v>
      </c>
      <c r="B49" s="1">
        <f>$B$3 + ((Table15[[#This Row],[Level]] / 10) + $B$3 / 8) * Table15[[#This Row],[Level]] + Equipment!$D$42</f>
        <v>399.65000000000003</v>
      </c>
      <c r="C49" s="1">
        <f xml:space="preserve"> 2*Table15[[#This Row],[INT]]</f>
        <v>292</v>
      </c>
      <c r="D49" s="1">
        <f>$D$3 + ($D$3 / 4) * Table15[[#This Row],[Level]] + Equipment!$E$42</f>
        <v>91.75</v>
      </c>
      <c r="E49" s="1">
        <f>$E$3 + ($E$3 / 4) * Table15[[#This Row],[Level]] + Equipment!$F$42</f>
        <v>109.5</v>
      </c>
      <c r="F49" s="1">
        <f>$F$3 + ($F$3 / 4) * Table15[[#This Row],[Level]] + Equipment!$G$42</f>
        <v>128.25</v>
      </c>
      <c r="G49" s="1">
        <f>$G$3 + ($G$3 / 4) * Table15[[#This Row],[Level]] + Equipment!$H$42</f>
        <v>146</v>
      </c>
      <c r="H49" s="1">
        <f>$H$3 + ($H$3 / 4) * Table15[[#This Row],[Level]] + Equipment!$I$42</f>
        <v>109.5</v>
      </c>
      <c r="I49" s="1">
        <f xml:space="preserve"> (4 * (Table15[[#This Row],[Level]] ^ 3))/7 + $I$3</f>
        <v>59427.428571428572</v>
      </c>
      <c r="K49" s="8">
        <f>CEILING('Blue Slime'!$B$5/ IF('Blue Slime'!$D$5&lt; 10.8, Table15[[#This Row],[STR]], Table15[[#This Row],[STR]] / ('Blue Slime'!$D$5 / 10.8)), 1)</f>
        <v>1</v>
      </c>
      <c r="L49" s="8">
        <f>CEILING('Green Slime'!$B$5/ IF('Green Slime'!$D$5&lt; 10.8, Table15[[#This Row],[STR]], Table15[[#This Row],[STR]] / ('Green Slime'!$D$5 / 10.8)), 1)</f>
        <v>1</v>
      </c>
      <c r="M49" s="8">
        <f>CEILING(Wolf!$B$6/ IF(Wolf!$D$6&lt; 10.8, Table15[[#This Row],[STR]], Table15[[#This Row],[STR]] / (Wolf!$D$6 / 10.8)), 1)</f>
        <v>1</v>
      </c>
      <c r="N49" s="8">
        <f>CEILING('Horned Wolf'!$B$5/ IF('Horned Wolf'!$D$5&lt; 10.8, Table15[[#This Row],[STR]], Table15[[#This Row],[STR]] / ('Horned Wolf'!$D$5 / 10.8)), 1)</f>
        <v>2</v>
      </c>
      <c r="O49" s="8">
        <f>CEILING(Spider!$B$7/ IF(Spider!$D$7&lt; 10.8, Table15[[#This Row],[STR]], Table15[[#This Row],[STR]] / (Spider!$D$7 / 10.8)), 1)</f>
        <v>2</v>
      </c>
      <c r="P49" s="8">
        <f>CEILING('Evolved Spider'!$B$8/ IF('Evolved Spider'!$D$8&lt; 10.8, Table15[[#This Row],[STR]], Table15[[#This Row],[STR]] / ('Evolved Spider'!$D$8 / 10.8)), 1)</f>
        <v>3</v>
      </c>
      <c r="Q49" s="8">
        <f>CEILING(Arachne!$B$4/ IF(Arachne!$D$4&lt; 10.8, Table15[[#This Row],[STR]], Table15[[#This Row],[STR]] / (Arachne!$D$4 / 10.8)), 1)</f>
        <v>4</v>
      </c>
      <c r="R49" s="12">
        <f>CEILING('Earth Elemental'!$B$6/ IF('Earth Elemental'!$D$6&lt; 10.8, Table15[[#This Row],[STR]], Table15[[#This Row],[STR]] / ('Earth Elemental'!$D$6 / 10.8)), 1)</f>
        <v>4</v>
      </c>
      <c r="S49" s="12">
        <f>CEILING('Wind Elemental'!$B$6/ IF('Wind Elemental'!$D$6&lt; 10.8, Table15[[#This Row],[STR]], Table15[[#This Row],[STR]] / ('Wind Elemental'!$D$6 / 10.8)), 1)</f>
        <v>4</v>
      </c>
      <c r="T49" s="12">
        <f>CEILING('Water Elemental'!$B$6/ IF('Water Elemental'!$D$6&lt; 10.8, Table15[[#This Row],[STR]], Table15[[#This Row],[STR]] / ('Water Elemental'!$D$6 / 10.8)), 1)</f>
        <v>6</v>
      </c>
      <c r="U49" s="12">
        <f>CEILING('Fire Elemental'!$B$4/ IF('Fire Elemental'!$D$4&lt; 10.8, Table15[[#This Row],[STR]], Table15[[#This Row],[STR]] / ('Fire Elemental'!$D$4 / 10.8)), 1)</f>
        <v>7</v>
      </c>
      <c r="V49" s="15">
        <f>CEILING(Wyvern!$B$4/ IF(Wyvern!$D$4&lt; 10.8, Table15[[#This Row],[STR]], Table15[[#This Row],[STR]] / (Wyvern!$D$4 / 10.8)), 1)</f>
        <v>10</v>
      </c>
      <c r="W49" s="15">
        <f>CEILING('Evolved Wyvern'!$B$4/ IF('Evolved Wyvern'!$D$4&lt; 10.8, Table15[[#This Row],[STR]], Table15[[#This Row],[STR]] / ('Evolved Wyvern'!$D$4 / 10.8)), 1)</f>
        <v>13</v>
      </c>
      <c r="X49" s="15">
        <f>CEILING(Dragon!$B$4/ IF(Dragon!$D$4&lt; 10.8, Table15[[#This Row],[STR]], Table15[[#This Row],[STR]] / (Dragon!$D$4 / 10.8)), 1)</f>
        <v>21</v>
      </c>
      <c r="Z49" s="8">
        <f>CEILING('Blue Slime'!$M$5/ IF('Blue Slime'!$O$5&lt; 10.8, Table15[[#This Row],[STR]], Table15[[#This Row],[STR]] / ('Blue Slime'!$O$5 / 10.8)), 1)</f>
        <v>1</v>
      </c>
      <c r="AA49" s="8">
        <f>CEILING('Green Slime'!$M$5/ IF('Green Slime'!$O$5&lt; 10.8, Table15[[#This Row],[STR]], Table15[[#This Row],[STR]] / ('Green Slime'!$O$5 / 10.8)), 1)</f>
        <v>1</v>
      </c>
      <c r="AB49" s="8">
        <f>CEILING(Wolf!$M$6/ IF(Wolf!$O$6&lt; 10.8, Table15[[#This Row],[STR]], Table15[[#This Row],[STR]] / (Wolf!$O$6 / 10.8)), 1)</f>
        <v>2</v>
      </c>
      <c r="AC49" s="8">
        <f>CEILING('Horned Wolf'!$M$5/ IF('Horned Wolf'!$O$5&lt; 10.8, Table15[[#This Row],[STR]], Table15[[#This Row],[STR]] / ('Horned Wolf'!$O$5 / 10.8)), 1)</f>
        <v>4</v>
      </c>
      <c r="AD49" s="8">
        <f>CEILING(Spider!$M$7/ IF(Spider!$O$7&lt; 10.8, Table15[[#This Row],[STR]], Table15[[#This Row],[STR]] / (Spider!$O$7 / 10.8)), 1)</f>
        <v>3</v>
      </c>
      <c r="AE49" s="8">
        <f>CEILING('Evolved Spider'!$M$8/ IF('Evolved Spider'!$O$8&lt; 10.8, Table15[[#This Row],[STR]], Table15[[#This Row],[STR]] / ('Evolved Spider'!$O$8 / 10.8)), 1)</f>
        <v>6</v>
      </c>
      <c r="AF49" s="8">
        <f>CEILING(Arachne!$M$4/ IF(Arachne!$O$4&lt; 10.8, Table15[[#This Row],[STR]], Table15[[#This Row],[STR]] / (Arachne!$O$4 / 10.8)), 1)</f>
        <v>8</v>
      </c>
      <c r="AG49" s="12">
        <f>CEILING('Earth Elemental'!$M$6/ IF('Earth Elemental'!$O$6&lt; 10.8, Table15[[#This Row],[STR]], Table15[[#This Row],[STR]] / ('Earth Elemental'!$O$6 / 10.8)), 1)</f>
        <v>7</v>
      </c>
      <c r="AH49" s="12">
        <f>CEILING('Wind Elemental'!$M$6/ IF('Wind Elemental'!$O$6&lt; 10.8, Table15[[#This Row],[STR]], Table15[[#This Row],[STR]] / ('Wind Elemental'!$O$6 / 10.8)), 1)</f>
        <v>6</v>
      </c>
      <c r="AI49" s="12">
        <f>CEILING('Water Elemental'!$M$6/ IF('Water Elemental'!$O$6&lt; 10.8, Table15[[#This Row],[STR]], Table15[[#This Row],[STR]] / ('Water Elemental'!$O$6 / 10.8)), 1)</f>
        <v>9</v>
      </c>
      <c r="AJ49" s="12">
        <f>CEILING('Fire Elemental'!$M$4/ IF('Fire Elemental'!$O$4&lt; 10.8, Table15[[#This Row],[STR]], Table15[[#This Row],[STR]] / ('Fire Elemental'!$O$4 / 10.8)), 1)</f>
        <v>12</v>
      </c>
      <c r="AK49" s="15">
        <f>CEILING(Wyvern!$M$4/ IF(Wyvern!$O$4&lt; 10.8, Table15[[#This Row],[STR]], Table15[[#This Row],[STR]] / (Wyvern!$O$4 / 10.8)), 1)</f>
        <v>16</v>
      </c>
      <c r="AL49" s="15">
        <f>CEILING('Evolved Wyvern'!$M$4/ IF('Evolved Wyvern'!$O$4&lt; 10.8, Table15[[#This Row],[STR]], Table15[[#This Row],[STR]] / ('Evolved Wyvern'!$O$4 / 10.8)), 1)</f>
        <v>21</v>
      </c>
      <c r="AM49" s="15">
        <f>CEILING(Dragon!$M$4/ IF(Dragon!$O$4&lt; 10.8, Table15[[#This Row],[STR]], Table15[[#This Row],[STR]] / (Dragon!$O$4 / 10.8)), 1)</f>
        <v>34</v>
      </c>
      <c r="AO49" s="8">
        <f>CEILING('Blue Slime'!$Z$5/ IF('Blue Slime'!$X$5&lt; 10.8, Table15[[#This Row],[STR]], Table15[[#This Row],[STR]] / ('Blue Slime'!$X$5 / 10.8)), 1)</f>
        <v>1</v>
      </c>
      <c r="AP49" s="8">
        <f>CEILING('Green Slime'!$Z$5/ IF('Green Slime'!$X$5&lt; 10.8, Table15[[#This Row],[STR]], Table15[[#This Row],[STR]] / ('Green Slime'!$X$5 / 10.8)), 1)</f>
        <v>1</v>
      </c>
      <c r="AQ49" s="8">
        <f>CEILING(Wolf!$Z$6/ IF(Wolf!$X$6&lt; 10.8, Table15[[#This Row],[STR]], Table15[[#This Row],[STR]] / (Wolf!$X$6 / 10.8)), 1)</f>
        <v>3</v>
      </c>
      <c r="AR49" s="8">
        <f>CEILING('Horned Wolf'!$Z$5/ IF('Horned Wolf'!$X$5&lt; 10.8, Table15[[#This Row],[STR]], Table15[[#This Row],[STR]] / ('Horned Wolf'!$X$5 / 10.8)), 1)</f>
        <v>6</v>
      </c>
      <c r="AS49" s="8">
        <f>CEILING(Spider!$Z$7/ IF(Spider!$X$7&lt; 10.8, Table15[[#This Row],[STR]], Table15[[#This Row],[STR]] / (Spider!$X$7 / 10.8)), 1)</f>
        <v>6</v>
      </c>
      <c r="AT49" s="8">
        <f>CEILING('Evolved Spider'!$Z$8/ IF('Evolved Spider'!$X$8&lt; 10.8, Table15[[#This Row],[STR]], Table15[[#This Row],[STR]] / ('Evolved Spider'!$X$8 / 10.8)), 1)</f>
        <v>10</v>
      </c>
      <c r="AU49" s="8">
        <f>CEILING(Arachne!$Z$4/ IF(Arachne!$X$4&lt; 10.8, Table15[[#This Row],[STR]], Table15[[#This Row],[STR]] / (Arachne!$X$4 / 10.8)), 1)</f>
        <v>13</v>
      </c>
      <c r="AV49" s="12">
        <f>CEILING('Earth Elemental'!$Z$6/ IF('Earth Elemental'!$X$6&lt; 10.8, Table15[[#This Row],[STR]], Table15[[#This Row],[STR]] / ('Earth Elemental'!$X$6 / 10.8)), 1)</f>
        <v>11</v>
      </c>
      <c r="AW49" s="12">
        <f>CEILING('Wind Elemental'!$Z$6/ IF('Wind Elemental'!$X$6&lt; 10.8, Table15[[#This Row],[STR]], Table15[[#This Row],[STR]] / ('Wind Elemental'!$X$6 / 10.8)), 1)</f>
        <v>9</v>
      </c>
      <c r="AX49" s="12">
        <f>CEILING('Water Elemental'!$Z$6/ IF('Water Elemental'!$X$6&lt; 10.8, Table15[[#This Row],[STR]], Table15[[#This Row],[STR]] / ('Water Elemental'!$X$6 / 10.8)), 1)</f>
        <v>12</v>
      </c>
      <c r="AY49" s="12">
        <f>CEILING('Fire Elemental'!$Z$4/ IF('Fire Elemental'!$X$4&lt; 10.8, Table15[[#This Row],[STR]], Table15[[#This Row],[STR]] / ('Fire Elemental'!$X$4 / 10.8)), 1)</f>
        <v>19</v>
      </c>
      <c r="AZ49" s="15">
        <f>CEILING(Wyvern!$Z$4/ IF(Wyvern!$X$4&lt; 10.8, Table15[[#This Row],[STR]], Table15[[#This Row],[STR]] / (Wyvern!$X$4 / 10.8)), 1)</f>
        <v>22</v>
      </c>
      <c r="BA49" s="15">
        <f>CEILING('Evolved Wyvern'!$Z$4/ IF('Evolved Wyvern'!$X$4&lt; 10.8, Table15[[#This Row],[STR]], Table15[[#This Row],[STR]] / ('Evolved Wyvern'!$X$4 / 10.8)), 1)</f>
        <v>29</v>
      </c>
      <c r="BB49" s="15">
        <f>CEILING(Dragon!$Z$4/ IF(Dragon!$X$4&lt; 10.8, Table15[[#This Row],[STR]], Table15[[#This Row],[STR]] / (Dragon!$X$4 / 10.8)), 1)</f>
        <v>48</v>
      </c>
    </row>
    <row r="50" spans="1:54" x14ac:dyDescent="0.3">
      <c r="A50" s="1">
        <v>48</v>
      </c>
      <c r="B50" s="1">
        <f>$B$3 + ((Table15[[#This Row],[Level]] / 10) + $B$3 / 8) * Table15[[#This Row],[Level]] + Equipment!$D$42</f>
        <v>410.4</v>
      </c>
      <c r="C50" s="1">
        <f xml:space="preserve"> 2*Table15[[#This Row],[INT]]</f>
        <v>296</v>
      </c>
      <c r="D50" s="1">
        <f>$D$3 + ($D$3 / 4) * Table15[[#This Row],[Level]] + Equipment!$E$42</f>
        <v>93</v>
      </c>
      <c r="E50" s="1">
        <f>$E$3 + ($E$3 / 4) * Table15[[#This Row],[Level]] + Equipment!$F$42</f>
        <v>111</v>
      </c>
      <c r="F50" s="1">
        <f>$F$3 + ($F$3 / 4) * Table15[[#This Row],[Level]] + Equipment!$G$42</f>
        <v>130</v>
      </c>
      <c r="G50" s="1">
        <f>$G$3 + ($G$3 / 4) * Table15[[#This Row],[Level]] + Equipment!$H$42</f>
        <v>148</v>
      </c>
      <c r="H50" s="1">
        <f>$H$3 + ($H$3 / 4) * Table15[[#This Row],[Level]] + Equipment!$I$42</f>
        <v>111</v>
      </c>
      <c r="I50" s="1">
        <f xml:space="preserve"> (4 * (Table15[[#This Row],[Level]] ^ 3))/7 + $I$3</f>
        <v>63295.428571428572</v>
      </c>
      <c r="K50" s="8">
        <f>CEILING('Blue Slime'!$B$5/ IF('Blue Slime'!$D$5&lt; 10.8, Table15[[#This Row],[STR]], Table15[[#This Row],[STR]] / ('Blue Slime'!$D$5 / 10.8)), 1)</f>
        <v>1</v>
      </c>
      <c r="L50" s="8">
        <f>CEILING('Green Slime'!$B$5/ IF('Green Slime'!$D$5&lt; 10.8, Table15[[#This Row],[STR]], Table15[[#This Row],[STR]] / ('Green Slime'!$D$5 / 10.8)), 1)</f>
        <v>1</v>
      </c>
      <c r="M50" s="8">
        <f>CEILING(Wolf!$B$6/ IF(Wolf!$D$6&lt; 10.8, Table15[[#This Row],[STR]], Table15[[#This Row],[STR]] / (Wolf!$D$6 / 10.8)), 1)</f>
        <v>1</v>
      </c>
      <c r="N50" s="8">
        <f>CEILING('Horned Wolf'!$B$5/ IF('Horned Wolf'!$D$5&lt; 10.8, Table15[[#This Row],[STR]], Table15[[#This Row],[STR]] / ('Horned Wolf'!$D$5 / 10.8)), 1)</f>
        <v>2</v>
      </c>
      <c r="O50" s="8">
        <f>CEILING(Spider!$B$7/ IF(Spider!$D$7&lt; 10.8, Table15[[#This Row],[STR]], Table15[[#This Row],[STR]] / (Spider!$D$7 / 10.8)), 1)</f>
        <v>2</v>
      </c>
      <c r="P50" s="8">
        <f>CEILING('Evolved Spider'!$B$8/ IF('Evolved Spider'!$D$8&lt; 10.8, Table15[[#This Row],[STR]], Table15[[#This Row],[STR]] / ('Evolved Spider'!$D$8 / 10.8)), 1)</f>
        <v>3</v>
      </c>
      <c r="Q50" s="8">
        <f>CEILING(Arachne!$B$4/ IF(Arachne!$D$4&lt; 10.8, Table15[[#This Row],[STR]], Table15[[#This Row],[STR]] / (Arachne!$D$4 / 10.8)), 1)</f>
        <v>4</v>
      </c>
      <c r="R50" s="12">
        <f>CEILING('Earth Elemental'!$B$6/ IF('Earth Elemental'!$D$6&lt; 10.8, Table15[[#This Row],[STR]], Table15[[#This Row],[STR]] / ('Earth Elemental'!$D$6 / 10.8)), 1)</f>
        <v>4</v>
      </c>
      <c r="S50" s="12">
        <f>CEILING('Wind Elemental'!$B$6/ IF('Wind Elemental'!$D$6&lt; 10.8, Table15[[#This Row],[STR]], Table15[[#This Row],[STR]] / ('Wind Elemental'!$D$6 / 10.8)), 1)</f>
        <v>4</v>
      </c>
      <c r="T50" s="12">
        <f>CEILING('Water Elemental'!$B$6/ IF('Water Elemental'!$D$6&lt; 10.8, Table15[[#This Row],[STR]], Table15[[#This Row],[STR]] / ('Water Elemental'!$D$6 / 10.8)), 1)</f>
        <v>6</v>
      </c>
      <c r="U50" s="12">
        <f>CEILING('Fire Elemental'!$B$4/ IF('Fire Elemental'!$D$4&lt; 10.8, Table15[[#This Row],[STR]], Table15[[#This Row],[STR]] / ('Fire Elemental'!$D$4 / 10.8)), 1)</f>
        <v>7</v>
      </c>
      <c r="V50" s="15">
        <f>CEILING(Wyvern!$B$4/ IF(Wyvern!$D$4&lt; 10.8, Table15[[#This Row],[STR]], Table15[[#This Row],[STR]] / (Wyvern!$D$4 / 10.8)), 1)</f>
        <v>10</v>
      </c>
      <c r="W50" s="15">
        <f>CEILING('Evolved Wyvern'!$B$4/ IF('Evolved Wyvern'!$D$4&lt; 10.8, Table15[[#This Row],[STR]], Table15[[#This Row],[STR]] / ('Evolved Wyvern'!$D$4 / 10.8)), 1)</f>
        <v>13</v>
      </c>
      <c r="X50" s="15">
        <f>CEILING(Dragon!$B$4/ IF(Dragon!$D$4&lt; 10.8, Table15[[#This Row],[STR]], Table15[[#This Row],[STR]] / (Dragon!$D$4 / 10.8)), 1)</f>
        <v>21</v>
      </c>
      <c r="Z50" s="8">
        <f>CEILING('Blue Slime'!$M$5/ IF('Blue Slime'!$O$5&lt; 10.8, Table15[[#This Row],[STR]], Table15[[#This Row],[STR]] / ('Blue Slime'!$O$5 / 10.8)), 1)</f>
        <v>1</v>
      </c>
      <c r="AA50" s="8">
        <f>CEILING('Green Slime'!$M$5/ IF('Green Slime'!$O$5&lt; 10.8, Table15[[#This Row],[STR]], Table15[[#This Row],[STR]] / ('Green Slime'!$O$5 / 10.8)), 1)</f>
        <v>1</v>
      </c>
      <c r="AB50" s="8">
        <f>CEILING(Wolf!$M$6/ IF(Wolf!$O$6&lt; 10.8, Table15[[#This Row],[STR]], Table15[[#This Row],[STR]] / (Wolf!$O$6 / 10.8)), 1)</f>
        <v>2</v>
      </c>
      <c r="AC50" s="8">
        <f>CEILING('Horned Wolf'!$M$5/ IF('Horned Wolf'!$O$5&lt; 10.8, Table15[[#This Row],[STR]], Table15[[#This Row],[STR]] / ('Horned Wolf'!$O$5 / 10.8)), 1)</f>
        <v>4</v>
      </c>
      <c r="AD50" s="8">
        <f>CEILING(Spider!$M$7/ IF(Spider!$O$7&lt; 10.8, Table15[[#This Row],[STR]], Table15[[#This Row],[STR]] / (Spider!$O$7 / 10.8)), 1)</f>
        <v>3</v>
      </c>
      <c r="AE50" s="8">
        <f>CEILING('Evolved Spider'!$M$8/ IF('Evolved Spider'!$O$8&lt; 10.8, Table15[[#This Row],[STR]], Table15[[#This Row],[STR]] / ('Evolved Spider'!$O$8 / 10.8)), 1)</f>
        <v>6</v>
      </c>
      <c r="AF50" s="8">
        <f>CEILING(Arachne!$M$4/ IF(Arachne!$O$4&lt; 10.8, Table15[[#This Row],[STR]], Table15[[#This Row],[STR]] / (Arachne!$O$4 / 10.8)), 1)</f>
        <v>8</v>
      </c>
      <c r="AG50" s="12">
        <f>CEILING('Earth Elemental'!$M$6/ IF('Earth Elemental'!$O$6&lt; 10.8, Table15[[#This Row],[STR]], Table15[[#This Row],[STR]] / ('Earth Elemental'!$O$6 / 10.8)), 1)</f>
        <v>7</v>
      </c>
      <c r="AH50" s="12">
        <f>CEILING('Wind Elemental'!$M$6/ IF('Wind Elemental'!$O$6&lt; 10.8, Table15[[#This Row],[STR]], Table15[[#This Row],[STR]] / ('Wind Elemental'!$O$6 / 10.8)), 1)</f>
        <v>6</v>
      </c>
      <c r="AI50" s="12">
        <f>CEILING('Water Elemental'!$M$6/ IF('Water Elemental'!$O$6&lt; 10.8, Table15[[#This Row],[STR]], Table15[[#This Row],[STR]] / ('Water Elemental'!$O$6 / 10.8)), 1)</f>
        <v>9</v>
      </c>
      <c r="AJ50" s="12">
        <f>CEILING('Fire Elemental'!$M$4/ IF('Fire Elemental'!$O$4&lt; 10.8, Table15[[#This Row],[STR]], Table15[[#This Row],[STR]] / ('Fire Elemental'!$O$4 / 10.8)), 1)</f>
        <v>12</v>
      </c>
      <c r="AK50" s="15">
        <f>CEILING(Wyvern!$M$4/ IF(Wyvern!$O$4&lt; 10.8, Table15[[#This Row],[STR]], Table15[[#This Row],[STR]] / (Wyvern!$O$4 / 10.8)), 1)</f>
        <v>15</v>
      </c>
      <c r="AL50" s="15">
        <f>CEILING('Evolved Wyvern'!$M$4/ IF('Evolved Wyvern'!$O$4&lt; 10.8, Table15[[#This Row],[STR]], Table15[[#This Row],[STR]] / ('Evolved Wyvern'!$O$4 / 10.8)), 1)</f>
        <v>20</v>
      </c>
      <c r="AM50" s="15">
        <f>CEILING(Dragon!$M$4/ IF(Dragon!$O$4&lt; 10.8, Table15[[#This Row],[STR]], Table15[[#This Row],[STR]] / (Dragon!$O$4 / 10.8)), 1)</f>
        <v>34</v>
      </c>
      <c r="AO50" s="8">
        <f>CEILING('Blue Slime'!$Z$5/ IF('Blue Slime'!$X$5&lt; 10.8, Table15[[#This Row],[STR]], Table15[[#This Row],[STR]] / ('Blue Slime'!$X$5 / 10.8)), 1)</f>
        <v>1</v>
      </c>
      <c r="AP50" s="8">
        <f>CEILING('Green Slime'!$Z$5/ IF('Green Slime'!$X$5&lt; 10.8, Table15[[#This Row],[STR]], Table15[[#This Row],[STR]] / ('Green Slime'!$X$5 / 10.8)), 1)</f>
        <v>1</v>
      </c>
      <c r="AQ50" s="8">
        <f>CEILING(Wolf!$Z$6/ IF(Wolf!$X$6&lt; 10.8, Table15[[#This Row],[STR]], Table15[[#This Row],[STR]] / (Wolf!$X$6 / 10.8)), 1)</f>
        <v>3</v>
      </c>
      <c r="AR50" s="8">
        <f>CEILING('Horned Wolf'!$Z$5/ IF('Horned Wolf'!$X$5&lt; 10.8, Table15[[#This Row],[STR]], Table15[[#This Row],[STR]] / ('Horned Wolf'!$X$5 / 10.8)), 1)</f>
        <v>6</v>
      </c>
      <c r="AS50" s="8">
        <f>CEILING(Spider!$Z$7/ IF(Spider!$X$7&lt; 10.8, Table15[[#This Row],[STR]], Table15[[#This Row],[STR]] / (Spider!$X$7 / 10.8)), 1)</f>
        <v>5</v>
      </c>
      <c r="AT50" s="8">
        <f>CEILING('Evolved Spider'!$Z$8/ IF('Evolved Spider'!$X$8&lt; 10.8, Table15[[#This Row],[STR]], Table15[[#This Row],[STR]] / ('Evolved Spider'!$X$8 / 10.8)), 1)</f>
        <v>10</v>
      </c>
      <c r="AU50" s="8">
        <f>CEILING(Arachne!$Z$4/ IF(Arachne!$X$4&lt; 10.8, Table15[[#This Row],[STR]], Table15[[#This Row],[STR]] / (Arachne!$X$4 / 10.8)), 1)</f>
        <v>13</v>
      </c>
      <c r="AV50" s="12">
        <f>CEILING('Earth Elemental'!$Z$6/ IF('Earth Elemental'!$X$6&lt; 10.8, Table15[[#This Row],[STR]], Table15[[#This Row],[STR]] / ('Earth Elemental'!$X$6 / 10.8)), 1)</f>
        <v>11</v>
      </c>
      <c r="AW50" s="12">
        <f>CEILING('Wind Elemental'!$Z$6/ IF('Wind Elemental'!$X$6&lt; 10.8, Table15[[#This Row],[STR]], Table15[[#This Row],[STR]] / ('Wind Elemental'!$X$6 / 10.8)), 1)</f>
        <v>8</v>
      </c>
      <c r="AX50" s="12">
        <f>CEILING('Water Elemental'!$Z$6/ IF('Water Elemental'!$X$6&lt; 10.8, Table15[[#This Row],[STR]], Table15[[#This Row],[STR]] / ('Water Elemental'!$X$6 / 10.8)), 1)</f>
        <v>11</v>
      </c>
      <c r="AY50" s="12">
        <f>CEILING('Fire Elemental'!$Z$4/ IF('Fire Elemental'!$X$4&lt; 10.8, Table15[[#This Row],[STR]], Table15[[#This Row],[STR]] / ('Fire Elemental'!$X$4 / 10.8)), 1)</f>
        <v>18</v>
      </c>
      <c r="AZ50" s="15">
        <f>CEILING(Wyvern!$Z$4/ IF(Wyvern!$X$4&lt; 10.8, Table15[[#This Row],[STR]], Table15[[#This Row],[STR]] / (Wyvern!$X$4 / 10.8)), 1)</f>
        <v>22</v>
      </c>
      <c r="BA50" s="15">
        <f>CEILING('Evolved Wyvern'!$Z$4/ IF('Evolved Wyvern'!$X$4&lt; 10.8, Table15[[#This Row],[STR]], Table15[[#This Row],[STR]] / ('Evolved Wyvern'!$X$4 / 10.8)), 1)</f>
        <v>28</v>
      </c>
      <c r="BB50" s="15">
        <f>CEILING(Dragon!$Z$4/ IF(Dragon!$X$4&lt; 10.8, Table15[[#This Row],[STR]], Table15[[#This Row],[STR]] / (Dragon!$X$4 / 10.8)), 1)</f>
        <v>47</v>
      </c>
    </row>
    <row r="51" spans="1:54" x14ac:dyDescent="0.3">
      <c r="A51" s="1">
        <v>49</v>
      </c>
      <c r="B51" s="1">
        <f>$B$3 + ((Table15[[#This Row],[Level]] / 10) + $B$3 / 8) * Table15[[#This Row],[Level]] + Equipment!$D$42</f>
        <v>421.35</v>
      </c>
      <c r="C51" s="1">
        <f xml:space="preserve"> 2*Table15[[#This Row],[INT]]</f>
        <v>300</v>
      </c>
      <c r="D51" s="1">
        <f>$D$3 + ($D$3 / 4) * Table15[[#This Row],[Level]] + Equipment!$E$42</f>
        <v>94.25</v>
      </c>
      <c r="E51" s="1">
        <f>$E$3 + ($E$3 / 4) * Table15[[#This Row],[Level]] + Equipment!$F$42</f>
        <v>112.5</v>
      </c>
      <c r="F51" s="1">
        <f>$F$3 + ($F$3 / 4) * Table15[[#This Row],[Level]] + Equipment!$G$42</f>
        <v>131.75</v>
      </c>
      <c r="G51" s="1">
        <f>$G$3 + ($G$3 / 4) * Table15[[#This Row],[Level]] + Equipment!$H$42</f>
        <v>150</v>
      </c>
      <c r="H51" s="1">
        <f>$H$3 + ($H$3 / 4) * Table15[[#This Row],[Level]] + Equipment!$I$42</f>
        <v>112.5</v>
      </c>
      <c r="I51" s="1">
        <f xml:space="preserve"> (4 * (Table15[[#This Row],[Level]] ^ 3))/7 + $I$3</f>
        <v>67328</v>
      </c>
      <c r="K51" s="8">
        <f>CEILING('Blue Slime'!$B$5/ IF('Blue Slime'!$D$5&lt; 10.8, Table15[[#This Row],[STR]], Table15[[#This Row],[STR]] / ('Blue Slime'!$D$5 / 10.8)), 1)</f>
        <v>1</v>
      </c>
      <c r="L51" s="8">
        <f>CEILING('Green Slime'!$B$5/ IF('Green Slime'!$D$5&lt; 10.8, Table15[[#This Row],[STR]], Table15[[#This Row],[STR]] / ('Green Slime'!$D$5 / 10.8)), 1)</f>
        <v>1</v>
      </c>
      <c r="M51" s="8">
        <f>CEILING(Wolf!$B$6/ IF(Wolf!$D$6&lt; 10.8, Table15[[#This Row],[STR]], Table15[[#This Row],[STR]] / (Wolf!$D$6 / 10.8)), 1)</f>
        <v>1</v>
      </c>
      <c r="N51" s="8">
        <f>CEILING('Horned Wolf'!$B$5/ IF('Horned Wolf'!$D$5&lt; 10.8, Table15[[#This Row],[STR]], Table15[[#This Row],[STR]] / ('Horned Wolf'!$D$5 / 10.8)), 1)</f>
        <v>2</v>
      </c>
      <c r="O51" s="8">
        <f>CEILING(Spider!$B$7/ IF(Spider!$D$7&lt; 10.8, Table15[[#This Row],[STR]], Table15[[#This Row],[STR]] / (Spider!$D$7 / 10.8)), 1)</f>
        <v>2</v>
      </c>
      <c r="P51" s="8">
        <f>CEILING('Evolved Spider'!$B$8/ IF('Evolved Spider'!$D$8&lt; 10.8, Table15[[#This Row],[STR]], Table15[[#This Row],[STR]] / ('Evolved Spider'!$D$8 / 10.8)), 1)</f>
        <v>3</v>
      </c>
      <c r="Q51" s="8">
        <f>CEILING(Arachne!$B$4/ IF(Arachne!$D$4&lt; 10.8, Table15[[#This Row],[STR]], Table15[[#This Row],[STR]] / (Arachne!$D$4 / 10.8)), 1)</f>
        <v>4</v>
      </c>
      <c r="R51" s="12">
        <f>CEILING('Earth Elemental'!$B$6/ IF('Earth Elemental'!$D$6&lt; 10.8, Table15[[#This Row],[STR]], Table15[[#This Row],[STR]] / ('Earth Elemental'!$D$6 / 10.8)), 1)</f>
        <v>4</v>
      </c>
      <c r="S51" s="12">
        <f>CEILING('Wind Elemental'!$B$6/ IF('Wind Elemental'!$D$6&lt; 10.8, Table15[[#This Row],[STR]], Table15[[#This Row],[STR]] / ('Wind Elemental'!$D$6 / 10.8)), 1)</f>
        <v>4</v>
      </c>
      <c r="T51" s="12">
        <f>CEILING('Water Elemental'!$B$6/ IF('Water Elemental'!$D$6&lt; 10.8, Table15[[#This Row],[STR]], Table15[[#This Row],[STR]] / ('Water Elemental'!$D$6 / 10.8)), 1)</f>
        <v>6</v>
      </c>
      <c r="U51" s="12">
        <f>CEILING('Fire Elemental'!$B$4/ IF('Fire Elemental'!$D$4&lt; 10.8, Table15[[#This Row],[STR]], Table15[[#This Row],[STR]] / ('Fire Elemental'!$D$4 / 10.8)), 1)</f>
        <v>7</v>
      </c>
      <c r="V51" s="15">
        <f>CEILING(Wyvern!$B$4/ IF(Wyvern!$D$4&lt; 10.8, Table15[[#This Row],[STR]], Table15[[#This Row],[STR]] / (Wyvern!$D$4 / 10.8)), 1)</f>
        <v>9</v>
      </c>
      <c r="W51" s="15">
        <f>CEILING('Evolved Wyvern'!$B$4/ IF('Evolved Wyvern'!$D$4&lt; 10.8, Table15[[#This Row],[STR]], Table15[[#This Row],[STR]] / ('Evolved Wyvern'!$D$4 / 10.8)), 1)</f>
        <v>13</v>
      </c>
      <c r="X51" s="15">
        <f>CEILING(Dragon!$B$4/ IF(Dragon!$D$4&lt; 10.8, Table15[[#This Row],[STR]], Table15[[#This Row],[STR]] / (Dragon!$D$4 / 10.8)), 1)</f>
        <v>21</v>
      </c>
      <c r="Z51" s="8">
        <f>CEILING('Blue Slime'!$M$5/ IF('Blue Slime'!$O$5&lt; 10.8, Table15[[#This Row],[STR]], Table15[[#This Row],[STR]] / ('Blue Slime'!$O$5 / 10.8)), 1)</f>
        <v>1</v>
      </c>
      <c r="AA51" s="8">
        <f>CEILING('Green Slime'!$M$5/ IF('Green Slime'!$O$5&lt; 10.8, Table15[[#This Row],[STR]], Table15[[#This Row],[STR]] / ('Green Slime'!$O$5 / 10.8)), 1)</f>
        <v>1</v>
      </c>
      <c r="AB51" s="8">
        <f>CEILING(Wolf!$M$6/ IF(Wolf!$O$6&lt; 10.8, Table15[[#This Row],[STR]], Table15[[#This Row],[STR]] / (Wolf!$O$6 / 10.8)), 1)</f>
        <v>2</v>
      </c>
      <c r="AC51" s="8">
        <f>CEILING('Horned Wolf'!$M$5/ IF('Horned Wolf'!$O$5&lt; 10.8, Table15[[#This Row],[STR]], Table15[[#This Row],[STR]] / ('Horned Wolf'!$O$5 / 10.8)), 1)</f>
        <v>4</v>
      </c>
      <c r="AD51" s="8">
        <f>CEILING(Spider!$M$7/ IF(Spider!$O$7&lt; 10.8, Table15[[#This Row],[STR]], Table15[[#This Row],[STR]] / (Spider!$O$7 / 10.8)), 1)</f>
        <v>3</v>
      </c>
      <c r="AE51" s="8">
        <f>CEILING('Evolved Spider'!$M$8/ IF('Evolved Spider'!$O$8&lt; 10.8, Table15[[#This Row],[STR]], Table15[[#This Row],[STR]] / ('Evolved Spider'!$O$8 / 10.8)), 1)</f>
        <v>6</v>
      </c>
      <c r="AF51" s="8">
        <f>CEILING(Arachne!$M$4/ IF(Arachne!$O$4&lt; 10.8, Table15[[#This Row],[STR]], Table15[[#This Row],[STR]] / (Arachne!$O$4 / 10.8)), 1)</f>
        <v>8</v>
      </c>
      <c r="AG51" s="12">
        <f>CEILING('Earth Elemental'!$M$6/ IF('Earth Elemental'!$O$6&lt; 10.8, Table15[[#This Row],[STR]], Table15[[#This Row],[STR]] / ('Earth Elemental'!$O$6 / 10.8)), 1)</f>
        <v>7</v>
      </c>
      <c r="AH51" s="12">
        <f>CEILING('Wind Elemental'!$M$6/ IF('Wind Elemental'!$O$6&lt; 10.8, Table15[[#This Row],[STR]], Table15[[#This Row],[STR]] / ('Wind Elemental'!$O$6 / 10.8)), 1)</f>
        <v>6</v>
      </c>
      <c r="AI51" s="12">
        <f>CEILING('Water Elemental'!$M$6/ IF('Water Elemental'!$O$6&lt; 10.8, Table15[[#This Row],[STR]], Table15[[#This Row],[STR]] / ('Water Elemental'!$O$6 / 10.8)), 1)</f>
        <v>8</v>
      </c>
      <c r="AJ51" s="12">
        <f>CEILING('Fire Elemental'!$M$4/ IF('Fire Elemental'!$O$4&lt; 10.8, Table15[[#This Row],[STR]], Table15[[#This Row],[STR]] / ('Fire Elemental'!$O$4 / 10.8)), 1)</f>
        <v>12</v>
      </c>
      <c r="AK51" s="15">
        <f>CEILING(Wyvern!$M$4/ IF(Wyvern!$O$4&lt; 10.8, Table15[[#This Row],[STR]], Table15[[#This Row],[STR]] / (Wyvern!$O$4 / 10.8)), 1)</f>
        <v>15</v>
      </c>
      <c r="AL51" s="15">
        <f>CEILING('Evolved Wyvern'!$M$4/ IF('Evolved Wyvern'!$O$4&lt; 10.8, Table15[[#This Row],[STR]], Table15[[#This Row],[STR]] / ('Evolved Wyvern'!$O$4 / 10.8)), 1)</f>
        <v>20</v>
      </c>
      <c r="AM51" s="15">
        <f>CEILING(Dragon!$M$4/ IF(Dragon!$O$4&lt; 10.8, Table15[[#This Row],[STR]], Table15[[#This Row],[STR]] / (Dragon!$O$4 / 10.8)), 1)</f>
        <v>33</v>
      </c>
      <c r="AO51" s="8">
        <f>CEILING('Blue Slime'!$Z$5/ IF('Blue Slime'!$X$5&lt; 10.8, Table15[[#This Row],[STR]], Table15[[#This Row],[STR]] / ('Blue Slime'!$X$5 / 10.8)), 1)</f>
        <v>1</v>
      </c>
      <c r="AP51" s="8">
        <f>CEILING('Green Slime'!$Z$5/ IF('Green Slime'!$X$5&lt; 10.8, Table15[[#This Row],[STR]], Table15[[#This Row],[STR]] / ('Green Slime'!$X$5 / 10.8)), 1)</f>
        <v>1</v>
      </c>
      <c r="AQ51" s="8">
        <f>CEILING(Wolf!$Z$6/ IF(Wolf!$X$6&lt; 10.8, Table15[[#This Row],[STR]], Table15[[#This Row],[STR]] / (Wolf!$X$6 / 10.8)), 1)</f>
        <v>2</v>
      </c>
      <c r="AR51" s="8">
        <f>CEILING('Horned Wolf'!$Z$5/ IF('Horned Wolf'!$X$5&lt; 10.8, Table15[[#This Row],[STR]], Table15[[#This Row],[STR]] / ('Horned Wolf'!$X$5 / 10.8)), 1)</f>
        <v>6</v>
      </c>
      <c r="AS51" s="8">
        <f>CEILING(Spider!$Z$7/ IF(Spider!$X$7&lt; 10.8, Table15[[#This Row],[STR]], Table15[[#This Row],[STR]] / (Spider!$X$7 / 10.8)), 1)</f>
        <v>5</v>
      </c>
      <c r="AT51" s="8">
        <f>CEILING('Evolved Spider'!$Z$8/ IF('Evolved Spider'!$X$8&lt; 10.8, Table15[[#This Row],[STR]], Table15[[#This Row],[STR]] / ('Evolved Spider'!$X$8 / 10.8)), 1)</f>
        <v>9</v>
      </c>
      <c r="AU51" s="8">
        <f>CEILING(Arachne!$Z$4/ IF(Arachne!$X$4&lt; 10.8, Table15[[#This Row],[STR]], Table15[[#This Row],[STR]] / (Arachne!$X$4 / 10.8)), 1)</f>
        <v>13</v>
      </c>
      <c r="AV51" s="12">
        <f>CEILING('Earth Elemental'!$Z$6/ IF('Earth Elemental'!$X$6&lt; 10.8, Table15[[#This Row],[STR]], Table15[[#This Row],[STR]] / ('Earth Elemental'!$X$6 / 10.8)), 1)</f>
        <v>11</v>
      </c>
      <c r="AW51" s="12">
        <f>CEILING('Wind Elemental'!$Z$6/ IF('Wind Elemental'!$X$6&lt; 10.8, Table15[[#This Row],[STR]], Table15[[#This Row],[STR]] / ('Wind Elemental'!$X$6 / 10.8)), 1)</f>
        <v>8</v>
      </c>
      <c r="AX51" s="12">
        <f>CEILING('Water Elemental'!$Z$6/ IF('Water Elemental'!$X$6&lt; 10.8, Table15[[#This Row],[STR]], Table15[[#This Row],[STR]] / ('Water Elemental'!$X$6 / 10.8)), 1)</f>
        <v>11</v>
      </c>
      <c r="AY51" s="12">
        <f>CEILING('Fire Elemental'!$Z$4/ IF('Fire Elemental'!$X$4&lt; 10.8, Table15[[#This Row],[STR]], Table15[[#This Row],[STR]] / ('Fire Elemental'!$X$4 / 10.8)), 1)</f>
        <v>18</v>
      </c>
      <c r="AZ51" s="15">
        <f>CEILING(Wyvern!$Z$4/ IF(Wyvern!$X$4&lt; 10.8, Table15[[#This Row],[STR]], Table15[[#This Row],[STR]] / (Wyvern!$X$4 / 10.8)), 1)</f>
        <v>22</v>
      </c>
      <c r="BA51" s="15">
        <f>CEILING('Evolved Wyvern'!$Z$4/ IF('Evolved Wyvern'!$X$4&lt; 10.8, Table15[[#This Row],[STR]], Table15[[#This Row],[STR]] / ('Evolved Wyvern'!$X$4 / 10.8)), 1)</f>
        <v>28</v>
      </c>
      <c r="BB51" s="15">
        <f>CEILING(Dragon!$Z$4/ IF(Dragon!$X$4&lt; 10.8, Table15[[#This Row],[STR]], Table15[[#This Row],[STR]] / (Dragon!$X$4 / 10.8)), 1)</f>
        <v>47</v>
      </c>
    </row>
    <row r="52" spans="1:54" x14ac:dyDescent="0.3">
      <c r="A52" s="1">
        <v>50</v>
      </c>
      <c r="B52" s="1">
        <f>$B$3 + ((Table15[[#This Row],[Level]] / 10) + $B$3 / 8) * Table15[[#This Row],[Level]] + Equipment!$D$42</f>
        <v>432.5</v>
      </c>
      <c r="C52" s="1">
        <f xml:space="preserve"> 2*Table15[[#This Row],[INT]]</f>
        <v>304</v>
      </c>
      <c r="D52" s="1">
        <f>$D$3 + ($D$3 / 4) * Table15[[#This Row],[Level]] + Equipment!$E$42</f>
        <v>95.5</v>
      </c>
      <c r="E52" s="1">
        <f>$E$3 + ($E$3 / 4) * Table15[[#This Row],[Level]] + Equipment!$F$42</f>
        <v>114</v>
      </c>
      <c r="F52" s="1">
        <f>$F$3 + ($F$3 / 4) * Table15[[#This Row],[Level]] + Equipment!$G$42</f>
        <v>133.5</v>
      </c>
      <c r="G52" s="1">
        <f>$G$3 + ($G$3 / 4) * Table15[[#This Row],[Level]] + Equipment!$H$42</f>
        <v>152</v>
      </c>
      <c r="H52" s="1">
        <f>$H$3 + ($H$3 / 4) * Table15[[#This Row],[Level]] + Equipment!$I$42</f>
        <v>114</v>
      </c>
      <c r="I52" s="1">
        <f xml:space="preserve"> (4 * (Table15[[#This Row],[Level]] ^ 3))/7 + $I$3</f>
        <v>71528.571428571435</v>
      </c>
      <c r="K52" s="8">
        <f>CEILING('Blue Slime'!$B$5/ IF('Blue Slime'!$D$5&lt; 10.8, Table15[[#This Row],[STR]], Table15[[#This Row],[STR]] / ('Blue Slime'!$D$5 / 10.8)), 1)</f>
        <v>1</v>
      </c>
      <c r="L52" s="8">
        <f>CEILING('Green Slime'!$B$5/ IF('Green Slime'!$D$5&lt; 10.8, Table15[[#This Row],[STR]], Table15[[#This Row],[STR]] / ('Green Slime'!$D$5 / 10.8)), 1)</f>
        <v>1</v>
      </c>
      <c r="M52" s="8">
        <f>CEILING(Wolf!$B$6/ IF(Wolf!$D$6&lt; 10.8, Table15[[#This Row],[STR]], Table15[[#This Row],[STR]] / (Wolf!$D$6 / 10.8)), 1)</f>
        <v>1</v>
      </c>
      <c r="N52" s="8">
        <f>CEILING('Horned Wolf'!$B$5/ IF('Horned Wolf'!$D$5&lt; 10.8, Table15[[#This Row],[STR]], Table15[[#This Row],[STR]] / ('Horned Wolf'!$D$5 / 10.8)), 1)</f>
        <v>2</v>
      </c>
      <c r="O52" s="8">
        <f>CEILING(Spider!$B$7/ IF(Spider!$D$7&lt; 10.8, Table15[[#This Row],[STR]], Table15[[#This Row],[STR]] / (Spider!$D$7 / 10.8)), 1)</f>
        <v>2</v>
      </c>
      <c r="P52" s="8">
        <f>CEILING('Evolved Spider'!$B$8/ IF('Evolved Spider'!$D$8&lt; 10.8, Table15[[#This Row],[STR]], Table15[[#This Row],[STR]] / ('Evolved Spider'!$D$8 / 10.8)), 1)</f>
        <v>3</v>
      </c>
      <c r="Q52" s="8">
        <f>CEILING(Arachne!$B$4/ IF(Arachne!$D$4&lt; 10.8, Table15[[#This Row],[STR]], Table15[[#This Row],[STR]] / (Arachne!$D$4 / 10.8)), 1)</f>
        <v>4</v>
      </c>
      <c r="R52" s="12">
        <f>CEILING('Earth Elemental'!$B$6/ IF('Earth Elemental'!$D$6&lt; 10.8, Table15[[#This Row],[STR]], Table15[[#This Row],[STR]] / ('Earth Elemental'!$D$6 / 10.8)), 1)</f>
        <v>4</v>
      </c>
      <c r="S52" s="12">
        <f>CEILING('Wind Elemental'!$B$6/ IF('Wind Elemental'!$D$6&lt; 10.8, Table15[[#This Row],[STR]], Table15[[#This Row],[STR]] / ('Wind Elemental'!$D$6 / 10.8)), 1)</f>
        <v>4</v>
      </c>
      <c r="T52" s="12">
        <f>CEILING('Water Elemental'!$B$6/ IF('Water Elemental'!$D$6&lt; 10.8, Table15[[#This Row],[STR]], Table15[[#This Row],[STR]] / ('Water Elemental'!$D$6 / 10.8)), 1)</f>
        <v>6</v>
      </c>
      <c r="U52" s="12">
        <f>CEILING('Fire Elemental'!$B$4/ IF('Fire Elemental'!$D$4&lt; 10.8, Table15[[#This Row],[STR]], Table15[[#This Row],[STR]] / ('Fire Elemental'!$D$4 / 10.8)), 1)</f>
        <v>7</v>
      </c>
      <c r="V52" s="15">
        <f>CEILING(Wyvern!$B$4/ IF(Wyvern!$D$4&lt; 10.8, Table15[[#This Row],[STR]], Table15[[#This Row],[STR]] / (Wyvern!$D$4 / 10.8)), 1)</f>
        <v>9</v>
      </c>
      <c r="W52" s="15">
        <f>CEILING('Evolved Wyvern'!$B$4/ IF('Evolved Wyvern'!$D$4&lt; 10.8, Table15[[#This Row],[STR]], Table15[[#This Row],[STR]] / ('Evolved Wyvern'!$D$4 / 10.8)), 1)</f>
        <v>13</v>
      </c>
      <c r="X52" s="15">
        <f>CEILING(Dragon!$B$4/ IF(Dragon!$D$4&lt; 10.8, Table15[[#This Row],[STR]], Table15[[#This Row],[STR]] / (Dragon!$D$4 / 10.8)), 1)</f>
        <v>21</v>
      </c>
      <c r="Z52" s="8">
        <f>CEILING('Blue Slime'!$M$5/ IF('Blue Slime'!$O$5&lt; 10.8, Table15[[#This Row],[STR]], Table15[[#This Row],[STR]] / ('Blue Slime'!$O$5 / 10.8)), 1)</f>
        <v>1</v>
      </c>
      <c r="AA52" s="8">
        <f>CEILING('Green Slime'!$M$5/ IF('Green Slime'!$O$5&lt; 10.8, Table15[[#This Row],[STR]], Table15[[#This Row],[STR]] / ('Green Slime'!$O$5 / 10.8)), 1)</f>
        <v>1</v>
      </c>
      <c r="AB52" s="8">
        <f>CEILING(Wolf!$M$6/ IF(Wolf!$O$6&lt; 10.8, Table15[[#This Row],[STR]], Table15[[#This Row],[STR]] / (Wolf!$O$6 / 10.8)), 1)</f>
        <v>2</v>
      </c>
      <c r="AC52" s="8">
        <f>CEILING('Horned Wolf'!$M$5/ IF('Horned Wolf'!$O$5&lt; 10.8, Table15[[#This Row],[STR]], Table15[[#This Row],[STR]] / ('Horned Wolf'!$O$5 / 10.8)), 1)</f>
        <v>4</v>
      </c>
      <c r="AD52" s="8">
        <f>CEILING(Spider!$M$7/ IF(Spider!$O$7&lt; 10.8, Table15[[#This Row],[STR]], Table15[[#This Row],[STR]] / (Spider!$O$7 / 10.8)), 1)</f>
        <v>3</v>
      </c>
      <c r="AE52" s="8">
        <f>CEILING('Evolved Spider'!$M$8/ IF('Evolved Spider'!$O$8&lt; 10.8, Table15[[#This Row],[STR]], Table15[[#This Row],[STR]] / ('Evolved Spider'!$O$8 / 10.8)), 1)</f>
        <v>6</v>
      </c>
      <c r="AF52" s="8">
        <f>CEILING(Arachne!$M$4/ IF(Arachne!$O$4&lt; 10.8, Table15[[#This Row],[STR]], Table15[[#This Row],[STR]] / (Arachne!$O$4 / 10.8)), 1)</f>
        <v>8</v>
      </c>
      <c r="AG52" s="12">
        <f>CEILING('Earth Elemental'!$M$6/ IF('Earth Elemental'!$O$6&lt; 10.8, Table15[[#This Row],[STR]], Table15[[#This Row],[STR]] / ('Earth Elemental'!$O$6 / 10.8)), 1)</f>
        <v>7</v>
      </c>
      <c r="AH52" s="12">
        <f>CEILING('Wind Elemental'!$M$6/ IF('Wind Elemental'!$O$6&lt; 10.8, Table15[[#This Row],[STR]], Table15[[#This Row],[STR]] / ('Wind Elemental'!$O$6 / 10.8)), 1)</f>
        <v>6</v>
      </c>
      <c r="AI52" s="12">
        <f>CEILING('Water Elemental'!$M$6/ IF('Water Elemental'!$O$6&lt; 10.8, Table15[[#This Row],[STR]], Table15[[#This Row],[STR]] / ('Water Elemental'!$O$6 / 10.8)), 1)</f>
        <v>8</v>
      </c>
      <c r="AJ52" s="12">
        <f>CEILING('Fire Elemental'!$M$4/ IF('Fire Elemental'!$O$4&lt; 10.8, Table15[[#This Row],[STR]], Table15[[#This Row],[STR]] / ('Fire Elemental'!$O$4 / 10.8)), 1)</f>
        <v>12</v>
      </c>
      <c r="AK52" s="15">
        <f>CEILING(Wyvern!$M$4/ IF(Wyvern!$O$4&lt; 10.8, Table15[[#This Row],[STR]], Table15[[#This Row],[STR]] / (Wyvern!$O$4 / 10.8)), 1)</f>
        <v>15</v>
      </c>
      <c r="AL52" s="15">
        <f>CEILING('Evolved Wyvern'!$M$4/ IF('Evolved Wyvern'!$O$4&lt; 10.8, Table15[[#This Row],[STR]], Table15[[#This Row],[STR]] / ('Evolved Wyvern'!$O$4 / 10.8)), 1)</f>
        <v>20</v>
      </c>
      <c r="AM52" s="15">
        <f>CEILING(Dragon!$M$4/ IF(Dragon!$O$4&lt; 10.8, Table15[[#This Row],[STR]], Table15[[#This Row],[STR]] / (Dragon!$O$4 / 10.8)), 1)</f>
        <v>33</v>
      </c>
      <c r="AO52" s="8">
        <f>CEILING('Blue Slime'!$Z$5/ IF('Blue Slime'!$X$5&lt; 10.8, Table15[[#This Row],[STR]], Table15[[#This Row],[STR]] / ('Blue Slime'!$X$5 / 10.8)), 1)</f>
        <v>1</v>
      </c>
      <c r="AP52" s="8">
        <f>CEILING('Green Slime'!$Z$5/ IF('Green Slime'!$X$5&lt; 10.8, Table15[[#This Row],[STR]], Table15[[#This Row],[STR]] / ('Green Slime'!$X$5 / 10.8)), 1)</f>
        <v>1</v>
      </c>
      <c r="AQ52" s="8">
        <f>CEILING(Wolf!$Z$6/ IF(Wolf!$X$6&lt; 10.8, Table15[[#This Row],[STR]], Table15[[#This Row],[STR]] / (Wolf!$X$6 / 10.8)), 1)</f>
        <v>2</v>
      </c>
      <c r="AR52" s="8">
        <f>CEILING('Horned Wolf'!$Z$5/ IF('Horned Wolf'!$X$5&lt; 10.8, Table15[[#This Row],[STR]], Table15[[#This Row],[STR]] / ('Horned Wolf'!$X$5 / 10.8)), 1)</f>
        <v>6</v>
      </c>
      <c r="AS52" s="8">
        <f>CEILING(Spider!$Z$7/ IF(Spider!$X$7&lt; 10.8, Table15[[#This Row],[STR]], Table15[[#This Row],[STR]] / (Spider!$X$7 / 10.8)), 1)</f>
        <v>5</v>
      </c>
      <c r="AT52" s="8">
        <f>CEILING('Evolved Spider'!$Z$8/ IF('Evolved Spider'!$X$8&lt; 10.8, Table15[[#This Row],[STR]], Table15[[#This Row],[STR]] / ('Evolved Spider'!$X$8 / 10.8)), 1)</f>
        <v>9</v>
      </c>
      <c r="AU52" s="8">
        <f>CEILING(Arachne!$Z$4/ IF(Arachne!$X$4&lt; 10.8, Table15[[#This Row],[STR]], Table15[[#This Row],[STR]] / (Arachne!$X$4 / 10.8)), 1)</f>
        <v>12</v>
      </c>
      <c r="AV52" s="12">
        <f>CEILING('Earth Elemental'!$Z$6/ IF('Earth Elemental'!$X$6&lt; 10.8, Table15[[#This Row],[STR]], Table15[[#This Row],[STR]] / ('Earth Elemental'!$X$6 / 10.8)), 1)</f>
        <v>11</v>
      </c>
      <c r="AW52" s="12">
        <f>CEILING('Wind Elemental'!$Z$6/ IF('Wind Elemental'!$X$6&lt; 10.8, Table15[[#This Row],[STR]], Table15[[#This Row],[STR]] / ('Wind Elemental'!$X$6 / 10.8)), 1)</f>
        <v>8</v>
      </c>
      <c r="AX52" s="12">
        <f>CEILING('Water Elemental'!$Z$6/ IF('Water Elemental'!$X$6&lt; 10.8, Table15[[#This Row],[STR]], Table15[[#This Row],[STR]] / ('Water Elemental'!$X$6 / 10.8)), 1)</f>
        <v>11</v>
      </c>
      <c r="AY52" s="12">
        <f>CEILING('Fire Elemental'!$Z$4/ IF('Fire Elemental'!$X$4&lt; 10.8, Table15[[#This Row],[STR]], Table15[[#This Row],[STR]] / ('Fire Elemental'!$X$4 / 10.8)), 1)</f>
        <v>18</v>
      </c>
      <c r="AZ52" s="15">
        <f>CEILING(Wyvern!$Z$4/ IF(Wyvern!$X$4&lt; 10.8, Table15[[#This Row],[STR]], Table15[[#This Row],[STR]] / (Wyvern!$X$4 / 10.8)), 1)</f>
        <v>22</v>
      </c>
      <c r="BA52" s="15">
        <f>CEILING('Evolved Wyvern'!$Z$4/ IF('Evolved Wyvern'!$X$4&lt; 10.8, Table15[[#This Row],[STR]], Table15[[#This Row],[STR]] / ('Evolved Wyvern'!$X$4 / 10.8)), 1)</f>
        <v>28</v>
      </c>
      <c r="BB52" s="15">
        <f>CEILING(Dragon!$Z$4/ IF(Dragon!$X$4&lt; 10.8, Table15[[#This Row],[STR]], Table15[[#This Row],[STR]] / (Dragon!$X$4 / 10.8)), 1)</f>
        <v>46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21DE-CCD1-4068-BBDB-B98FD799FC3A}">
  <dimension ref="A1:AG7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441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66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15</v>
      </c>
      <c r="C3" s="1"/>
      <c r="D3" s="1">
        <v>8</v>
      </c>
      <c r="E3" s="1">
        <v>6</v>
      </c>
      <c r="F3" s="1">
        <v>6</v>
      </c>
      <c r="G3" s="1">
        <v>4</v>
      </c>
      <c r="H3" s="1">
        <v>8</v>
      </c>
      <c r="I3" s="1">
        <v>9</v>
      </c>
      <c r="J3" s="1">
        <v>10</v>
      </c>
      <c r="K3" s="1"/>
      <c r="L3" s="4">
        <v>1</v>
      </c>
      <c r="M3" s="1">
        <f>Table596120147[[#This Row],[HP]] * 1.5</f>
        <v>22.5</v>
      </c>
      <c r="N3" s="1"/>
      <c r="O3" s="1">
        <f>Table596120147[[#This Row],[DEF]] * 1.5</f>
        <v>12</v>
      </c>
      <c r="P3" s="1">
        <f>Table596120147[[#This Row],[AGI]] * 1.5</f>
        <v>9</v>
      </c>
      <c r="Q3" s="1">
        <f>Table596120147[[#This Row],[STR]] * 1.5</f>
        <v>9</v>
      </c>
      <c r="R3" s="1">
        <f>Table596120147[[#This Row],[INT]] * 1.5</f>
        <v>6</v>
      </c>
      <c r="S3" s="1">
        <f xml:space="preserve"> Table596120147[[#This Row],[DEX]] * 1.5</f>
        <v>12</v>
      </c>
      <c r="T3" s="1">
        <f>Table596120147[[#This Row],[XP Given]] * 1.25</f>
        <v>11.25</v>
      </c>
      <c r="U3" s="1"/>
      <c r="V3" s="1"/>
      <c r="W3" s="4">
        <v>1</v>
      </c>
      <c r="X3" s="1">
        <f>Table596120147[[#This Row],[HP]] * 2</f>
        <v>30</v>
      </c>
      <c r="Y3" s="1"/>
      <c r="Z3" s="1">
        <f>Table596120147[[#This Row],[DEF]] * 2</f>
        <v>16</v>
      </c>
      <c r="AA3" s="1">
        <f>Table596120147[[#This Row],[AGI]] * 2</f>
        <v>12</v>
      </c>
      <c r="AB3" s="1">
        <f>Table596120147[[#This Row],[STR]] * 2</f>
        <v>12</v>
      </c>
      <c r="AC3" s="1">
        <f>Table596120147[[#This Row],[INT]] * 2</f>
        <v>8</v>
      </c>
      <c r="AD3" s="1">
        <f xml:space="preserve"> Table596120147[[#This Row],[DEX]] * 2</f>
        <v>16</v>
      </c>
      <c r="AE3" s="1">
        <f>Table596120147[[#This Row],[XP Given]] * 1.5</f>
        <v>13.5</v>
      </c>
      <c r="AF3" s="1"/>
    </row>
    <row r="4" spans="1:32" x14ac:dyDescent="0.3">
      <c r="A4" s="4">
        <v>15</v>
      </c>
      <c r="B4" s="1">
        <f>$B$3 + ((Table596120147[[#This Row],[LV]] / 10) + $B$3 / 8) * Table596120147[[#This Row],[LV]]</f>
        <v>65.625</v>
      </c>
      <c r="C4" s="1"/>
      <c r="D4" s="1">
        <f>$D$3 + ($D$3 / 4) * Table596120147[[#This Row],[LV]]</f>
        <v>38</v>
      </c>
      <c r="E4" s="1">
        <f>$E$3 + ($E$3 / 4) * Table596120147[[#This Row],[LV]]</f>
        <v>28.5</v>
      </c>
      <c r="F4" s="1">
        <f>$F$3 + ($F$3 / 4) * Table596120147[[#This Row],[LV]]</f>
        <v>28.5</v>
      </c>
      <c r="G4" s="1">
        <f>$G$3 + ($G$3 / 4) * Table596120147[[#This Row],[LV]]</f>
        <v>19</v>
      </c>
      <c r="H4" s="1">
        <f>$H$3 + ($H$3 / 4) * Table596120147[[#This Row],[LV]]</f>
        <v>38</v>
      </c>
      <c r="I4" s="1">
        <f>$I$3 + $I$3 * Table596120147[[#This Row],[LV]] *25 / 100</f>
        <v>42.75</v>
      </c>
      <c r="J4" s="1">
        <f>$J$3 + $J$3 * Table596120147[[#This Row],[LV]] * 25 / 100</f>
        <v>47.5</v>
      </c>
      <c r="K4" s="1"/>
      <c r="L4" s="4">
        <v>15</v>
      </c>
      <c r="M4" s="1">
        <f>$M$3 + ((Table5997121148[[#This Row],[LV]] / 10) + $M$3 / 8) * Table5997121148[[#This Row],[LV]]</f>
        <v>87.1875</v>
      </c>
      <c r="N4" s="1"/>
      <c r="O4" s="1">
        <f>$O$3 + ($O$3 / 4) * Table5997121148[[#This Row],[LV]]</f>
        <v>57</v>
      </c>
      <c r="P4" s="1">
        <f>$P$3 + ($P$3 / 4) * Table5997121148[[#This Row],[LV]]</f>
        <v>42.75</v>
      </c>
      <c r="Q4" s="1">
        <f>$Q$3 + ($Q$3 / 4) * Table5997121148[[#This Row],[LV]]</f>
        <v>42.75</v>
      </c>
      <c r="R4" s="1">
        <f>$R$3 + ($R$3 / 4) * Table5997121148[[#This Row],[LV]]</f>
        <v>28.5</v>
      </c>
      <c r="S4" s="1">
        <f>$S$3 + ($S$3 / 4) * Table5997121148[[#This Row],[LV]]</f>
        <v>57</v>
      </c>
      <c r="T4" s="1">
        <f>Table596120147[[#This Row],[XP Given]] * 1.25</f>
        <v>53.4375</v>
      </c>
      <c r="U4" s="1">
        <f>Table596120147[[#This Row],[Gold Given]] * 1.25</f>
        <v>59.375</v>
      </c>
      <c r="V4" s="1"/>
      <c r="W4" s="4">
        <v>15</v>
      </c>
      <c r="X4" s="1">
        <f>$X$3 + ((Table591098122149[[#This Row],[LV]] / 10) + $X$3 / 8) * Table591098122149[[#This Row],[LV]]</f>
        <v>108.75</v>
      </c>
      <c r="Y4" s="1"/>
      <c r="Z4" s="1">
        <f>$Z$3 + ($Z$3 / 4) * Table591098122149[[#This Row],[LV]]</f>
        <v>76</v>
      </c>
      <c r="AA4" s="1">
        <f>$AA$3 + ($AA$3 / 4) * Table591098122149[[#This Row],[LV]]</f>
        <v>57</v>
      </c>
      <c r="AB4" s="1">
        <f>$AB$3 + ($AB$3 / 4) * Table591098122149[[#This Row],[LV]]</f>
        <v>57</v>
      </c>
      <c r="AC4" s="1">
        <f>$AC$3 + ($AC$3 / 4) * Table591098122149[[#This Row],[LV]]</f>
        <v>38</v>
      </c>
      <c r="AD4" s="1">
        <f>$AD$3 + ($AD$3 / 4) * Table591098122149[[#This Row],[LV]]</f>
        <v>76</v>
      </c>
      <c r="AE4" s="1">
        <f>Table596120147[[#This Row],[XP Given]] * 1.5</f>
        <v>64.125</v>
      </c>
      <c r="AF4" s="1">
        <f>Table596120147[[#This Row],[Gold Given]] * 1.5</f>
        <v>71.25</v>
      </c>
    </row>
    <row r="5" spans="1:32" x14ac:dyDescent="0.3">
      <c r="A5" s="4">
        <v>16</v>
      </c>
      <c r="B5" s="1">
        <f>$B$3 + ((Table596120147[[#This Row],[LV]] / 10) + $B$3 / 8) * Table596120147[[#This Row],[LV]]</f>
        <v>70.599999999999994</v>
      </c>
      <c r="C5" s="1"/>
      <c r="D5" s="1">
        <f>$D$3 + ($D$3 / 4) * Table596120147[[#This Row],[LV]]</f>
        <v>40</v>
      </c>
      <c r="E5" s="1">
        <f>$E$3 + ($E$3 / 4) * Table596120147[[#This Row],[LV]]</f>
        <v>30</v>
      </c>
      <c r="F5" s="1">
        <f>$F$3 + ($F$3 / 4) * Table596120147[[#This Row],[LV]]</f>
        <v>30</v>
      </c>
      <c r="G5" s="1">
        <f>$G$3 + ($G$3 / 4) * Table596120147[[#This Row],[LV]]</f>
        <v>20</v>
      </c>
      <c r="H5" s="1">
        <f>$H$3 + ($H$3 / 4) * Table596120147[[#This Row],[LV]]</f>
        <v>40</v>
      </c>
      <c r="I5" s="1">
        <f>$I$3 + $I$3 * Table596120147[[#This Row],[LV]] *25 / 100</f>
        <v>45</v>
      </c>
      <c r="J5" s="1">
        <f>$J$3 + $J$3 * Table596120147[[#This Row],[LV]] * 25 / 100</f>
        <v>50</v>
      </c>
      <c r="K5" s="1"/>
      <c r="L5" s="4">
        <v>16</v>
      </c>
      <c r="M5" s="1">
        <f>$M$3 + ((Table5997121148[[#This Row],[LV]] / 10) + $M$3 / 8) * Table5997121148[[#This Row],[LV]]</f>
        <v>93.1</v>
      </c>
      <c r="N5" s="1"/>
      <c r="O5" s="1">
        <f>$O$3 + ($O$3 / 4) * Table5997121148[[#This Row],[LV]]</f>
        <v>60</v>
      </c>
      <c r="P5" s="1">
        <f>$P$3 + ($P$3 / 4) * Table5997121148[[#This Row],[LV]]</f>
        <v>45</v>
      </c>
      <c r="Q5" s="1">
        <f>$Q$3 + ($Q$3 / 4) * Table5997121148[[#This Row],[LV]]</f>
        <v>45</v>
      </c>
      <c r="R5" s="1">
        <f>$R$3 + ($R$3 / 4) * Table5997121148[[#This Row],[LV]]</f>
        <v>30</v>
      </c>
      <c r="S5" s="1">
        <f>$S$3 + ($S$3 / 4) * Table5997121148[[#This Row],[LV]]</f>
        <v>60</v>
      </c>
      <c r="T5" s="1">
        <f>Table596120147[[#This Row],[XP Given]] * 1.25</f>
        <v>56.25</v>
      </c>
      <c r="U5" s="1">
        <f>Table596120147[[#This Row],[Gold Given]] * 1.25</f>
        <v>62.5</v>
      </c>
      <c r="V5" s="1"/>
      <c r="W5" s="4">
        <v>16</v>
      </c>
      <c r="X5" s="1">
        <f>$X$3 + ((Table591098122149[[#This Row],[LV]] / 10) + $X$3 / 8) * Table591098122149[[#This Row],[LV]]</f>
        <v>115.6</v>
      </c>
      <c r="Y5" s="1"/>
      <c r="Z5" s="1">
        <f>$Z$3 + ($Z$3 / 4) * Table591098122149[[#This Row],[LV]]</f>
        <v>80</v>
      </c>
      <c r="AA5" s="1">
        <f>$AA$3 + ($AA$3 / 4) * Table591098122149[[#This Row],[LV]]</f>
        <v>60</v>
      </c>
      <c r="AB5" s="1">
        <f>$AB$3 + ($AB$3 / 4) * Table591098122149[[#This Row],[LV]]</f>
        <v>60</v>
      </c>
      <c r="AC5" s="1">
        <f>$AC$3 + ($AC$3 / 4) * Table591098122149[[#This Row],[LV]]</f>
        <v>40</v>
      </c>
      <c r="AD5" s="1">
        <f>$AD$3 + ($AD$3 / 4) * Table591098122149[[#This Row],[LV]]</f>
        <v>80</v>
      </c>
      <c r="AE5" s="1">
        <f>Table596120147[[#This Row],[XP Given]] * 1.5</f>
        <v>67.5</v>
      </c>
      <c r="AF5" s="1">
        <f>Table596120147[[#This Row],[Gold Given]] * 1.5</f>
        <v>75</v>
      </c>
    </row>
    <row r="6" spans="1:32" x14ac:dyDescent="0.3">
      <c r="A6" s="4">
        <v>17</v>
      </c>
      <c r="B6" s="1">
        <f>$B$3 + ((Table596120147[[#This Row],[LV]] / 10) + $B$3 / 8) * Table596120147[[#This Row],[LV]]</f>
        <v>75.775000000000006</v>
      </c>
      <c r="C6" s="1"/>
      <c r="D6" s="1">
        <f>$D$3 + ($D$3 / 4) * Table596120147[[#This Row],[LV]]</f>
        <v>42</v>
      </c>
      <c r="E6" s="1">
        <f>$E$3 + ($E$3 / 4) * Table596120147[[#This Row],[LV]]</f>
        <v>31.5</v>
      </c>
      <c r="F6" s="1">
        <f>$F$3 + ($F$3 / 4) * Table596120147[[#This Row],[LV]]</f>
        <v>31.5</v>
      </c>
      <c r="G6" s="1">
        <f>$G$3 + ($G$3 / 4) * Table596120147[[#This Row],[LV]]</f>
        <v>21</v>
      </c>
      <c r="H6" s="1">
        <f>$H$3 + ($H$3 / 4) * Table596120147[[#This Row],[LV]]</f>
        <v>42</v>
      </c>
      <c r="I6" s="1">
        <f>$I$3 + $I$3 * Table596120147[[#This Row],[LV]] *25 / 100</f>
        <v>47.25</v>
      </c>
      <c r="J6" s="1">
        <f>$J$3 + $J$3 * Table596120147[[#This Row],[LV]] * 25 / 100</f>
        <v>52.5</v>
      </c>
      <c r="K6" s="1"/>
      <c r="L6" s="4">
        <v>17</v>
      </c>
      <c r="M6" s="1">
        <f>$M$3 + ((Table5997121148[[#This Row],[LV]] / 10) + $M$3 / 8) * Table5997121148[[#This Row],[LV]]</f>
        <v>99.212500000000006</v>
      </c>
      <c r="N6" s="1"/>
      <c r="O6" s="1">
        <f>$O$3 + ($O$3 / 4) * Table5997121148[[#This Row],[LV]]</f>
        <v>63</v>
      </c>
      <c r="P6" s="1">
        <f>$P$3 + ($P$3 / 4) * Table5997121148[[#This Row],[LV]]</f>
        <v>47.25</v>
      </c>
      <c r="Q6" s="1">
        <f>$Q$3 + ($Q$3 / 4) * Table5997121148[[#This Row],[LV]]</f>
        <v>47.25</v>
      </c>
      <c r="R6" s="1">
        <f>$R$3 + ($R$3 / 4) * Table5997121148[[#This Row],[LV]]</f>
        <v>31.5</v>
      </c>
      <c r="S6" s="1">
        <f>$S$3 + ($S$3 / 4) * Table5997121148[[#This Row],[LV]]</f>
        <v>63</v>
      </c>
      <c r="T6" s="1">
        <f>Table596120147[[#This Row],[XP Given]] * 1.25</f>
        <v>59.0625</v>
      </c>
      <c r="U6" s="1">
        <f>Table596120147[[#This Row],[Gold Given]] * 1.25</f>
        <v>65.625</v>
      </c>
      <c r="V6" s="1"/>
      <c r="W6" s="4">
        <v>17</v>
      </c>
      <c r="X6" s="1">
        <f>$X$3 + ((Table591098122149[[#This Row],[LV]] / 10) + $X$3 / 8) * Table591098122149[[#This Row],[LV]]</f>
        <v>122.65</v>
      </c>
      <c r="Y6" s="1"/>
      <c r="Z6" s="1">
        <f>$Z$3 + ($Z$3 / 4) * Table591098122149[[#This Row],[LV]]</f>
        <v>84</v>
      </c>
      <c r="AA6" s="1">
        <f>$AA$3 + ($AA$3 / 4) * Table591098122149[[#This Row],[LV]]</f>
        <v>63</v>
      </c>
      <c r="AB6" s="1">
        <f>$AB$3 + ($AB$3 / 4) * Table591098122149[[#This Row],[LV]]</f>
        <v>63</v>
      </c>
      <c r="AC6" s="1">
        <f>$AC$3 + ($AC$3 / 4) * Table591098122149[[#This Row],[LV]]</f>
        <v>42</v>
      </c>
      <c r="AD6" s="1">
        <f>$AD$3 + ($AD$3 / 4) * Table591098122149[[#This Row],[LV]]</f>
        <v>84</v>
      </c>
      <c r="AE6" s="1">
        <f>Table596120147[[#This Row],[XP Given]] * 1.5</f>
        <v>70.875</v>
      </c>
      <c r="AF6" s="1">
        <f>Table596120147[[#This Row],[Gold Given]] * 1.5</f>
        <v>78.75</v>
      </c>
    </row>
    <row r="7" spans="1:32" x14ac:dyDescent="0.3">
      <c r="A7" s="4">
        <v>18</v>
      </c>
      <c r="B7" s="1">
        <f>$B$3 + ((Table596120147[[#This Row],[LV]] / 10) + $B$3 / 8) * Table596120147[[#This Row],[LV]]</f>
        <v>81.149999999999991</v>
      </c>
      <c r="C7" s="1"/>
      <c r="D7" s="1">
        <f>$D$3 + ($D$3 / 4) * Table596120147[[#This Row],[LV]]</f>
        <v>44</v>
      </c>
      <c r="E7" s="1">
        <f>$E$3 + ($E$3 / 4) * Table596120147[[#This Row],[LV]]</f>
        <v>33</v>
      </c>
      <c r="F7" s="1">
        <f>$F$3 + ($F$3 / 4) * Table596120147[[#This Row],[LV]]</f>
        <v>33</v>
      </c>
      <c r="G7" s="1">
        <f>$G$3 + ($G$3 / 4) * Table596120147[[#This Row],[LV]]</f>
        <v>22</v>
      </c>
      <c r="H7" s="1">
        <f>$H$3 + ($H$3 / 4) * Table596120147[[#This Row],[LV]]</f>
        <v>44</v>
      </c>
      <c r="I7" s="1">
        <f>$I$3 + $I$3 * Table596120147[[#This Row],[LV]] *25 / 100</f>
        <v>49.5</v>
      </c>
      <c r="J7" s="1">
        <f>$J$3 + $J$3 * Table596120147[[#This Row],[LV]] * 25 / 100</f>
        <v>55</v>
      </c>
      <c r="K7" s="1"/>
      <c r="L7" s="4">
        <v>18</v>
      </c>
      <c r="M7" s="1">
        <f>$M$3 + ((Table5997121148[[#This Row],[LV]] / 10) + $M$3 / 8) * Table5997121148[[#This Row],[LV]]</f>
        <v>105.52499999999999</v>
      </c>
      <c r="N7" s="1"/>
      <c r="O7" s="1">
        <f>$O$3 + ($O$3 / 4) * Table5997121148[[#This Row],[LV]]</f>
        <v>66</v>
      </c>
      <c r="P7" s="1">
        <f>$P$3 + ($P$3 / 4) * Table5997121148[[#This Row],[LV]]</f>
        <v>49.5</v>
      </c>
      <c r="Q7" s="1">
        <f>$Q$3 + ($Q$3 / 4) * Table5997121148[[#This Row],[LV]]</f>
        <v>49.5</v>
      </c>
      <c r="R7" s="1">
        <f>$R$3 + ($R$3 / 4) * Table5997121148[[#This Row],[LV]]</f>
        <v>33</v>
      </c>
      <c r="S7" s="1">
        <f>$S$3 + ($S$3 / 4) * Table5997121148[[#This Row],[LV]]</f>
        <v>66</v>
      </c>
      <c r="T7" s="1">
        <f>Table596120147[[#This Row],[XP Given]] * 1.25</f>
        <v>61.875</v>
      </c>
      <c r="U7" s="1">
        <f>Table596120147[[#This Row],[Gold Given]] * 1.25</f>
        <v>68.75</v>
      </c>
      <c r="V7" s="1"/>
      <c r="W7" s="4">
        <v>18</v>
      </c>
      <c r="X7" s="1">
        <f>$X$3 + ((Table591098122149[[#This Row],[LV]] / 10) + $X$3 / 8) * Table591098122149[[#This Row],[LV]]</f>
        <v>129.89999999999998</v>
      </c>
      <c r="Y7" s="1"/>
      <c r="Z7" s="1">
        <f>$Z$3 + ($Z$3 / 4) * Table591098122149[[#This Row],[LV]]</f>
        <v>88</v>
      </c>
      <c r="AA7" s="1">
        <f>$AA$3 + ($AA$3 / 4) * Table591098122149[[#This Row],[LV]]</f>
        <v>66</v>
      </c>
      <c r="AB7" s="1">
        <f>$AB$3 + ($AB$3 / 4) * Table591098122149[[#This Row],[LV]]</f>
        <v>66</v>
      </c>
      <c r="AC7" s="1">
        <f>$AC$3 + ($AC$3 / 4) * Table591098122149[[#This Row],[LV]]</f>
        <v>44</v>
      </c>
      <c r="AD7" s="1">
        <f>$AD$3 + ($AD$3 / 4) * Table591098122149[[#This Row],[LV]]</f>
        <v>88</v>
      </c>
      <c r="AE7" s="1">
        <f>Table596120147[[#This Row],[XP Given]] * 1.5</f>
        <v>74.25</v>
      </c>
      <c r="AF7" s="1">
        <f>Table596120147[[#This Row],[Gold Given]] * 1.5</f>
        <v>82.5</v>
      </c>
    </row>
    <row r="8" spans="1:32" x14ac:dyDescent="0.3">
      <c r="A8" s="4">
        <v>19</v>
      </c>
      <c r="B8" s="1">
        <f>$B$3 + ((Table596120147[[#This Row],[LV]] / 10) + $B$3 / 8) * Table596120147[[#This Row],[LV]]</f>
        <v>86.724999999999994</v>
      </c>
      <c r="C8" s="1"/>
      <c r="D8" s="1">
        <f>$D$3 + ($D$3 / 4) * Table596120147[[#This Row],[LV]]</f>
        <v>46</v>
      </c>
      <c r="E8" s="1">
        <f>$E$3 + ($E$3 / 4) * Table596120147[[#This Row],[LV]]</f>
        <v>34.5</v>
      </c>
      <c r="F8" s="1">
        <f>$F$3 + ($F$3 / 4) * Table596120147[[#This Row],[LV]]</f>
        <v>34.5</v>
      </c>
      <c r="G8" s="1">
        <f>$G$3 + ($G$3 / 4) * Table596120147[[#This Row],[LV]]</f>
        <v>23</v>
      </c>
      <c r="H8" s="1">
        <f>$H$3 + ($H$3 / 4) * Table596120147[[#This Row],[LV]]</f>
        <v>46</v>
      </c>
      <c r="I8" s="1">
        <f>$I$3 + $I$3 * Table596120147[[#This Row],[LV]] *25 / 100</f>
        <v>51.75</v>
      </c>
      <c r="J8" s="1">
        <f>$J$3 + $J$3 * Table596120147[[#This Row],[LV]] * 25 / 100</f>
        <v>57.5</v>
      </c>
      <c r="K8" s="1"/>
      <c r="L8" s="4">
        <v>19</v>
      </c>
      <c r="M8" s="1">
        <f>$M$3 + ((Table5997121148[[#This Row],[LV]] / 10) + $M$3 / 8) * Table5997121148[[#This Row],[LV]]</f>
        <v>112.03750000000001</v>
      </c>
      <c r="N8" s="1"/>
      <c r="O8" s="1">
        <f>$O$3 + ($O$3 / 4) * Table5997121148[[#This Row],[LV]]</f>
        <v>69</v>
      </c>
      <c r="P8" s="1">
        <f>$P$3 + ($P$3 / 4) * Table5997121148[[#This Row],[LV]]</f>
        <v>51.75</v>
      </c>
      <c r="Q8" s="1">
        <f>$Q$3 + ($Q$3 / 4) * Table5997121148[[#This Row],[LV]]</f>
        <v>51.75</v>
      </c>
      <c r="R8" s="1">
        <f>$R$3 + ($R$3 / 4) * Table5997121148[[#This Row],[LV]]</f>
        <v>34.5</v>
      </c>
      <c r="S8" s="1">
        <f>$S$3 + ($S$3 / 4) * Table5997121148[[#This Row],[LV]]</f>
        <v>69</v>
      </c>
      <c r="T8" s="1">
        <f>Table596120147[[#This Row],[XP Given]] * 1.25</f>
        <v>64.6875</v>
      </c>
      <c r="U8" s="1">
        <f>Table596120147[[#This Row],[Gold Given]] * 1.25</f>
        <v>71.875</v>
      </c>
      <c r="V8" s="1"/>
      <c r="W8" s="4">
        <v>19</v>
      </c>
      <c r="X8" s="1">
        <f>$X$3 + ((Table591098122149[[#This Row],[LV]] / 10) + $X$3 / 8) * Table591098122149[[#This Row],[LV]]</f>
        <v>137.35000000000002</v>
      </c>
      <c r="Y8" s="1"/>
      <c r="Z8" s="1">
        <f>$Z$3 + ($Z$3 / 4) * Table591098122149[[#This Row],[LV]]</f>
        <v>92</v>
      </c>
      <c r="AA8" s="1">
        <f>$AA$3 + ($AA$3 / 4) * Table591098122149[[#This Row],[LV]]</f>
        <v>69</v>
      </c>
      <c r="AB8" s="1">
        <f>$AB$3 + ($AB$3 / 4) * Table591098122149[[#This Row],[LV]]</f>
        <v>69</v>
      </c>
      <c r="AC8" s="1">
        <f>$AC$3 + ($AC$3 / 4) * Table591098122149[[#This Row],[LV]]</f>
        <v>46</v>
      </c>
      <c r="AD8" s="1">
        <f>$AD$3 + ($AD$3 / 4) * Table591098122149[[#This Row],[LV]]</f>
        <v>92</v>
      </c>
      <c r="AE8" s="1">
        <f>Table596120147[[#This Row],[XP Given]] * 1.5</f>
        <v>77.625</v>
      </c>
      <c r="AF8" s="1">
        <f>Table596120147[[#This Row],[Gold Given]] * 1.5</f>
        <v>86.25</v>
      </c>
    </row>
    <row r="10" spans="1:32" ht="25.8" x14ac:dyDescent="0.3">
      <c r="C10" s="53" t="s">
        <v>47</v>
      </c>
      <c r="D10" s="53"/>
      <c r="E10" s="53"/>
      <c r="F10" s="53"/>
      <c r="G10" s="53"/>
      <c r="H10" s="7"/>
      <c r="N10" s="53" t="s">
        <v>47</v>
      </c>
      <c r="O10" s="53"/>
      <c r="P10" s="53"/>
      <c r="Q10" s="53"/>
      <c r="R10" s="53"/>
      <c r="S10" s="7"/>
      <c r="T10" s="7"/>
      <c r="U10" s="7"/>
      <c r="V10" s="7"/>
      <c r="Y10" s="53" t="s">
        <v>47</v>
      </c>
      <c r="Z10" s="53"/>
      <c r="AA10" s="53"/>
      <c r="AB10" s="53"/>
      <c r="AC10" s="53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11</v>
      </c>
      <c r="D12" s="1">
        <f>CEILING(Demon!$B13 / IF(Demon!$D13&lt; 10.8, $F$4, $F$4 / (Demon!$D13 / 10.8)),1)</f>
        <v>3</v>
      </c>
      <c r="E12" s="1">
        <f>CEILING(Elf!$B13 / IF(Elf!$D13 &lt; 10.8, $F$4, $F$4 / (Elf!$D13 / 10.8)),1)</f>
        <v>3</v>
      </c>
      <c r="F12" s="1">
        <f>CEILING(Beastgirl!$B13/ IF(Beastgirl!$D13&lt; 10.8,$F$4, $F$4 / (Beastgirl!$D13/ 10.8)),1)</f>
        <v>6</v>
      </c>
      <c r="G12" s="1">
        <f>CEILING(Warrior!$B13/ IF(Warrior!$D13&lt; 10.8, $F$4, $F$4 / (Warrior!$D13 / 10.8)),1)</f>
        <v>4</v>
      </c>
      <c r="N12" s="1">
        <v>11</v>
      </c>
      <c r="O12" s="1">
        <f>CEILING(Demon!$B13 / IF(Demon!$D13&lt; 10.8, $Q$4, $Q$4 / (Demon!$D13 / 10.8)),1)</f>
        <v>2</v>
      </c>
      <c r="P12" s="1">
        <f>CEILING(Elf!$B13 / IF(Elf!$D13 &lt; 10.8, $Q$4, $Q$4 / (Elf!$D13 / 10.8)),1)</f>
        <v>2</v>
      </c>
      <c r="Q12" s="1">
        <f>CEILING(Beastgirl!$B13 / IF(Beastgirl!$D13&lt; 10.8, $Q$4, $Q$4 / (Beastgirl!$D13 / 10.8)),1)</f>
        <v>4</v>
      </c>
      <c r="R12" s="1">
        <f>CEILING(Warrior!$B13 / IF(Warrior!$D13&lt; 10.8, $Q$4, $Q$4 / (Warrior!$D13 / 10.8)),1)</f>
        <v>3</v>
      </c>
      <c r="Y12" s="1">
        <v>11</v>
      </c>
      <c r="Z12" s="1">
        <f>CEILING(Demon!$B13 / IF(Demon!$D13&lt; 10.8, $AB$4, $AB$4 / (Demon!$D13 / 10.8)),1)</f>
        <v>2</v>
      </c>
      <c r="AA12" s="1">
        <f>CEILING(Elf!$B13 / IF(Elf!$D13 &lt; 10.8, $AB$4, $AB$4 / (Elf!$D13 / 10.8)),1)</f>
        <v>2</v>
      </c>
      <c r="AB12" s="1">
        <f>CEILING(Beastgirl!$B13 / IF(Beastgirl!$D13&lt; 10.8, $AB$4, $AB$4 / (Beastgirl!$D13 / 10.8)),1)</f>
        <v>3</v>
      </c>
      <c r="AC12" s="1">
        <f>CEILING(Warrior!$B13 / IF(Warrior!$D13&lt; 10.8, $AB$4, $AB$4 / (Warrior!$D13 / 10.8)),1)</f>
        <v>2</v>
      </c>
    </row>
    <row r="13" spans="1:32" s="1" customFormat="1" x14ac:dyDescent="0.3">
      <c r="C13" s="1">
        <v>12</v>
      </c>
      <c r="D13" s="1">
        <f>CEILING(Demon!$B14 / IF(Demon!$D14&lt; 10.8, $F$4, $F$4 / (Demon!$D14 / 10.8)),1)</f>
        <v>4</v>
      </c>
      <c r="E13" s="1">
        <f>CEILING(Elf!$B14 / IF(Elf!$D14 &lt; 10.8, $F$4, $F$4 / (Elf!$D14 / 10.8)),1)</f>
        <v>4</v>
      </c>
      <c r="F13" s="1">
        <f>CEILING(Beastgirl!$B14/ IF(Beastgirl!$D14&lt; 10.8,$F$4, $F$4 / (Beastgirl!$D14/ 10.8)),1)</f>
        <v>7</v>
      </c>
      <c r="G13" s="1">
        <f>CEILING(Warrior!$B14/ IF(Warrior!$D14&lt; 10.8, $F$4, $F$4 / (Warrior!$D14 / 10.8)),1)</f>
        <v>5</v>
      </c>
      <c r="N13" s="1">
        <v>12</v>
      </c>
      <c r="O13" s="1">
        <f>CEILING(Demon!$B14 / IF(Demon!$D14&lt; 10.8, $Q$4, $Q$4 / (Demon!$D14 / 10.8)),1)</f>
        <v>3</v>
      </c>
      <c r="P13" s="1">
        <f>CEILING(Elf!$B14 / IF(Elf!$D14 &lt; 10.8, $Q$4, $Q$4 / (Elf!$D14 / 10.8)),1)</f>
        <v>3</v>
      </c>
      <c r="Q13" s="1">
        <f>CEILING(Beastgirl!$B14 / IF(Beastgirl!$D14&lt; 10.8, $Q$4, $Q$4 / (Beastgirl!$D14 / 10.8)),1)</f>
        <v>5</v>
      </c>
      <c r="R13" s="1">
        <f>CEILING(Warrior!$B14 / IF(Warrior!$D14&lt; 10.8, $Q$4, $Q$4 / (Warrior!$D14 / 10.8)),1)</f>
        <v>4</v>
      </c>
      <c r="Y13" s="1">
        <v>12</v>
      </c>
      <c r="Z13" s="1">
        <f>CEILING(Demon!$B14 / IF(Demon!$D14&lt; 10.8, $AB$4, $AB$4 / (Demon!$D14 / 10.8)),1)</f>
        <v>2</v>
      </c>
      <c r="AA13" s="1">
        <f>CEILING(Elf!$B14 / IF(Elf!$D14 &lt; 10.8, $AB$4, $AB$4 / (Elf!$D14 / 10.8)),1)</f>
        <v>2</v>
      </c>
      <c r="AB13" s="1">
        <f>CEILING(Beastgirl!$B14 / IF(Beastgirl!$D14&lt; 10.8, $AB$4, $AB$4 / (Beastgirl!$D14 / 10.8)),1)</f>
        <v>4</v>
      </c>
      <c r="AC13" s="1">
        <f>CEILING(Warrior!$B14 / IF(Warrior!$D14&lt; 10.8, $AB$4, $AB$4 / (Warrior!$D14 / 10.8)),1)</f>
        <v>3</v>
      </c>
    </row>
    <row r="14" spans="1:32" s="1" customFormat="1" x14ac:dyDescent="0.3">
      <c r="C14" s="1">
        <v>13</v>
      </c>
      <c r="D14" s="1">
        <f>CEILING(Demon!$B15 / IF(Demon!$D15&lt; 10.8, $F$4, $F$4 / (Demon!$D15 / 10.8)),1)</f>
        <v>4</v>
      </c>
      <c r="E14" s="1">
        <f>CEILING(Elf!$B15 / IF(Elf!$D15 &lt; 10.8, $F$4, $F$4 / (Elf!$D15 / 10.8)),1)</f>
        <v>4</v>
      </c>
      <c r="F14" s="1">
        <f>CEILING(Beastgirl!$B15/ IF(Beastgirl!$D15&lt; 10.8,$F$4, $F$4 / (Beastgirl!$D15/ 10.8)),1)</f>
        <v>8</v>
      </c>
      <c r="G14" s="1">
        <f>CEILING(Warrior!$B15/ IF(Warrior!$D15&lt; 10.8, $F$4, $F$4 / (Warrior!$D15 / 10.8)),1)</f>
        <v>6</v>
      </c>
      <c r="N14" s="1">
        <v>13</v>
      </c>
      <c r="O14" s="1">
        <f>CEILING(Demon!$B15 / IF(Demon!$D15&lt; 10.8, $Q$4, $Q$4 / (Demon!$D15 / 10.8)),1)</f>
        <v>3</v>
      </c>
      <c r="P14" s="1">
        <f>CEILING(Elf!$B15 / IF(Elf!$D15 &lt; 10.8, $Q$4, $Q$4 / (Elf!$D15 / 10.8)),1)</f>
        <v>3</v>
      </c>
      <c r="Q14" s="1">
        <f>CEILING(Beastgirl!$B15 / IF(Beastgirl!$D15&lt; 10.8, $Q$4, $Q$4 / (Beastgirl!$D15 / 10.8)),1)</f>
        <v>6</v>
      </c>
      <c r="R14" s="1">
        <f>CEILING(Warrior!$B15 / IF(Warrior!$D15&lt; 10.8, $Q$4, $Q$4 / (Warrior!$D15 / 10.8)),1)</f>
        <v>4</v>
      </c>
      <c r="Y14" s="1">
        <v>13</v>
      </c>
      <c r="Z14" s="1">
        <f>CEILING(Demon!$B15 / IF(Demon!$D15&lt; 10.8, $AB$4, $AB$4 / (Demon!$D15 / 10.8)),1)</f>
        <v>2</v>
      </c>
      <c r="AA14" s="1">
        <f>CEILING(Elf!$B15 / IF(Elf!$D15 &lt; 10.8, $AB$4, $AB$4 / (Elf!$D15 / 10.8)),1)</f>
        <v>2</v>
      </c>
      <c r="AB14" s="1">
        <f>CEILING(Beastgirl!$B15 / IF(Beastgirl!$D15&lt; 10.8, $AB$4, $AB$4 / (Beastgirl!$D15 / 10.8)),1)</f>
        <v>4</v>
      </c>
      <c r="AC14" s="1">
        <f>CEILING(Warrior!$B15 / IF(Warrior!$D15&lt; 10.8, $AB$4, $AB$4 / (Warrior!$D15 / 10.8)),1)</f>
        <v>3</v>
      </c>
    </row>
    <row r="15" spans="1:32" s="1" customFormat="1" x14ac:dyDescent="0.3">
      <c r="C15" s="1">
        <v>14</v>
      </c>
      <c r="D15" s="1">
        <f>CEILING(Demon!$B16 / IF(Demon!$D16&lt; 10.8, $F$4, $F$4 / (Demon!$D16 / 10.8)),1)</f>
        <v>5</v>
      </c>
      <c r="E15" s="1">
        <f>CEILING(Elf!$B16 / IF(Elf!$D16 &lt; 10.8, $F$4, $F$4 / (Elf!$D16 / 10.8)),1)</f>
        <v>5</v>
      </c>
      <c r="F15" s="1">
        <f>CEILING(Beastgirl!$B16/ IF(Beastgirl!$D16&lt; 10.8,$F$4, $F$4 / (Beastgirl!$D16/ 10.8)),1)</f>
        <v>9</v>
      </c>
      <c r="G15" s="1">
        <f>CEILING(Warrior!$B16/ IF(Warrior!$D16&lt; 10.8, $F$4, $F$4 / (Warrior!$D16 / 10.8)),1)</f>
        <v>6</v>
      </c>
      <c r="N15" s="1">
        <v>14</v>
      </c>
      <c r="O15" s="1">
        <f>CEILING(Demon!$B16 / IF(Demon!$D16&lt; 10.8, $Q$4, $Q$4 / (Demon!$D16 / 10.8)),1)</f>
        <v>3</v>
      </c>
      <c r="P15" s="1">
        <f>CEILING(Elf!$B16 / IF(Elf!$D16 &lt; 10.8, $Q$4, $Q$4 / (Elf!$D16 / 10.8)),1)</f>
        <v>4</v>
      </c>
      <c r="Q15" s="1">
        <f>CEILING(Beastgirl!$B16 / IF(Beastgirl!$D16&lt; 10.8, $Q$4, $Q$4 / (Beastgirl!$D16 / 10.8)),1)</f>
        <v>6</v>
      </c>
      <c r="R15" s="1">
        <f>CEILING(Warrior!$B16 / IF(Warrior!$D16&lt; 10.8, $Q$4, $Q$4 / (Warrior!$D16 / 10.8)),1)</f>
        <v>4</v>
      </c>
      <c r="Y15" s="1">
        <v>14</v>
      </c>
      <c r="Z15" s="1">
        <f>CEILING(Demon!$B16 / IF(Demon!$D16&lt; 10.8, $AB$4, $AB$4 / (Demon!$D16 / 10.8)),1)</f>
        <v>3</v>
      </c>
      <c r="AA15" s="1">
        <f>CEILING(Elf!$B16 / IF(Elf!$D16 &lt; 10.8, $AB$4, $AB$4 / (Elf!$D16 / 10.8)),1)</f>
        <v>3</v>
      </c>
      <c r="AB15" s="1">
        <f>CEILING(Beastgirl!$B16 / IF(Beastgirl!$D16&lt; 10.8, $AB$4, $AB$4 / (Beastgirl!$D16 / 10.8)),1)</f>
        <v>5</v>
      </c>
      <c r="AC15" s="1">
        <f>CEILING(Warrior!$B16 / IF(Warrior!$D16&lt; 10.8, $AB$4, $AB$4 / (Warrior!$D16 / 10.8)),1)</f>
        <v>3</v>
      </c>
    </row>
    <row r="16" spans="1:32" s="1" customFormat="1" x14ac:dyDescent="0.3">
      <c r="C16" s="1">
        <v>15</v>
      </c>
      <c r="D16" s="1">
        <f>CEILING(Demon!$B17 / IF(Demon!$D17&lt; 10.8, $F$4, $F$4 / (Demon!$D17 / 10.8)),1)</f>
        <v>8</v>
      </c>
      <c r="E16" s="1">
        <f>CEILING(Elf!$B17 / IF(Elf!$D17 &lt; 10.8, $F$4, $F$4 / (Elf!$D17 / 10.8)),1)</f>
        <v>8</v>
      </c>
      <c r="F16" s="1">
        <f>CEILING(Beastgirl!$B17/ IF(Beastgirl!$D17&lt; 10.8,$F$4, $F$4 / (Beastgirl!$D17/ 10.8)),1)</f>
        <v>15</v>
      </c>
      <c r="G16" s="1">
        <f>CEILING(Warrior!$B17/ IF(Warrior!$D17&lt; 10.8, $F$4, $F$4 / (Warrior!$D17 / 10.8)),1)</f>
        <v>10</v>
      </c>
      <c r="N16" s="1">
        <v>15</v>
      </c>
      <c r="O16" s="1">
        <f>CEILING(Demon!$B17 / IF(Demon!$D17&lt; 10.8, $Q$4, $Q$4 / (Demon!$D17 / 10.8)),1)</f>
        <v>5</v>
      </c>
      <c r="P16" s="1">
        <f>CEILING(Elf!$B17 / IF(Elf!$D17 &lt; 10.8, $Q$4, $Q$4 / (Elf!$D17 / 10.8)),1)</f>
        <v>6</v>
      </c>
      <c r="Q16" s="1">
        <f>CEILING(Beastgirl!$B17 / IF(Beastgirl!$D17&lt; 10.8, $Q$4, $Q$4 / (Beastgirl!$D17 / 10.8)),1)</f>
        <v>10</v>
      </c>
      <c r="R16" s="1">
        <f>CEILING(Warrior!$B17 / IF(Warrior!$D17&lt; 10.8, $Q$4, $Q$4 / (Warrior!$D17 / 10.8)),1)</f>
        <v>7</v>
      </c>
      <c r="Y16" s="1">
        <v>15</v>
      </c>
      <c r="Z16" s="1">
        <f>CEILING(Demon!$B17 / IF(Demon!$D17&lt; 10.8, $AB$4, $AB$4 / (Demon!$D17 / 10.8)),1)</f>
        <v>4</v>
      </c>
      <c r="AA16" s="1">
        <f>CEILING(Elf!$B17 / IF(Elf!$D17 &lt; 10.8, $AB$4, $AB$4 / (Elf!$D17 / 10.8)),1)</f>
        <v>4</v>
      </c>
      <c r="AB16" s="1">
        <f>CEILING(Beastgirl!$B17 / IF(Beastgirl!$D17&lt; 10.8, $AB$4, $AB$4 / (Beastgirl!$D17 / 10.8)),1)</f>
        <v>8</v>
      </c>
      <c r="AC16" s="1">
        <f>CEILING(Warrior!$B17 / IF(Warrior!$D17&lt; 10.8, $AB$4, $AB$4 / (Warrior!$D17 / 10.8)),1)</f>
        <v>5</v>
      </c>
    </row>
    <row r="17" spans="3:33" s="1" customFormat="1" x14ac:dyDescent="0.3">
      <c r="C17" s="1">
        <v>16</v>
      </c>
      <c r="D17" s="1">
        <f>CEILING(Demon!$B18 / IF(Demon!$D18&lt; 10.8, $F$4, $F$4 / (Demon!$D18 / 10.8)),1)</f>
        <v>8</v>
      </c>
      <c r="E17" s="1">
        <f>CEILING(Elf!$B18 / IF(Elf!$D18 &lt; 10.8, $F$4, $F$4 / (Elf!$D18 / 10.8)),1)</f>
        <v>9</v>
      </c>
      <c r="F17" s="1">
        <f>CEILING(Beastgirl!$B18/ IF(Beastgirl!$D18&lt; 10.8,$F$4, $F$4 / (Beastgirl!$D18/ 10.8)),1)</f>
        <v>16</v>
      </c>
      <c r="G17" s="1">
        <f>CEILING(Warrior!$B18/ IF(Warrior!$D18&lt; 10.8, $F$4, $F$4 / (Warrior!$D18 / 10.8)),1)</f>
        <v>11</v>
      </c>
      <c r="N17" s="1">
        <v>16</v>
      </c>
      <c r="O17" s="1">
        <f>CEILING(Demon!$B18 / IF(Demon!$D18&lt; 10.8, $Q$4, $Q$4 / (Demon!$D18 / 10.8)),1)</f>
        <v>6</v>
      </c>
      <c r="P17" s="1">
        <f>CEILING(Elf!$B18 / IF(Elf!$D18 &lt; 10.8, $Q$4, $Q$4 / (Elf!$D18 / 10.8)),1)</f>
        <v>6</v>
      </c>
      <c r="Q17" s="1">
        <f>CEILING(Beastgirl!$B18 / IF(Beastgirl!$D18&lt; 10.8, $Q$4, $Q$4 / (Beastgirl!$D18 / 10.8)),1)</f>
        <v>11</v>
      </c>
      <c r="R17" s="1">
        <f>CEILING(Warrior!$B18 / IF(Warrior!$D18&lt; 10.8, $Q$4, $Q$4 / (Warrior!$D18 / 10.8)),1)</f>
        <v>8</v>
      </c>
      <c r="Y17" s="1">
        <v>16</v>
      </c>
      <c r="Z17" s="1">
        <f>CEILING(Demon!$B18 / IF(Demon!$D18&lt; 10.8, $AB$4, $AB$4 / (Demon!$D18 / 10.8)),1)</f>
        <v>4</v>
      </c>
      <c r="AA17" s="1">
        <f>CEILING(Elf!$B18 / IF(Elf!$D18 &lt; 10.8, $AB$4, $AB$4 / (Elf!$D18 / 10.8)),1)</f>
        <v>5</v>
      </c>
      <c r="AB17" s="1">
        <f>CEILING(Beastgirl!$B18 / IF(Beastgirl!$D18&lt; 10.8, $AB$4, $AB$4 / (Beastgirl!$D18 / 10.8)),1)</f>
        <v>8</v>
      </c>
      <c r="AC17" s="1">
        <f>CEILING(Warrior!$B18 / IF(Warrior!$D18&lt; 10.8, $AB$4, $AB$4 / (Warrior!$D18 / 10.8)),1)</f>
        <v>6</v>
      </c>
    </row>
    <row r="18" spans="3:33" s="1" customFormat="1" x14ac:dyDescent="0.3">
      <c r="C18" s="1">
        <v>17</v>
      </c>
      <c r="D18" s="1">
        <f>CEILING(Demon!$B19 / IF(Demon!$D19&lt; 10.8, $F$4, $F$4 / (Demon!$D19 / 10.8)),1)</f>
        <v>9</v>
      </c>
      <c r="E18" s="1">
        <f>CEILING(Elf!$B19 / IF(Elf!$D19 &lt; 10.8, $F$4, $F$4 / (Elf!$D19 / 10.8)),1)</f>
        <v>10</v>
      </c>
      <c r="F18" s="1">
        <f>CEILING(Beastgirl!$B19/ IF(Beastgirl!$D19&lt; 10.8,$F$4, $F$4 / (Beastgirl!$D19/ 10.8)),1)</f>
        <v>18</v>
      </c>
      <c r="G18" s="1">
        <f>CEILING(Warrior!$B19/ IF(Warrior!$D19&lt; 10.8, $F$4, $F$4 / (Warrior!$D19 / 10.8)),1)</f>
        <v>12</v>
      </c>
      <c r="N18" s="1">
        <v>17</v>
      </c>
      <c r="O18" s="1">
        <f>CEILING(Demon!$B19 / IF(Demon!$D19&lt; 10.8, $Q$4, $Q$4 / (Demon!$D19 / 10.8)),1)</f>
        <v>6</v>
      </c>
      <c r="P18" s="1">
        <f>CEILING(Elf!$B19 / IF(Elf!$D19 &lt; 10.8, $Q$4, $Q$4 / (Elf!$D19 / 10.8)),1)</f>
        <v>7</v>
      </c>
      <c r="Q18" s="1">
        <f>CEILING(Beastgirl!$B19 / IF(Beastgirl!$D19&lt; 10.8, $Q$4, $Q$4 / (Beastgirl!$D19 / 10.8)),1)</f>
        <v>12</v>
      </c>
      <c r="R18" s="1">
        <f>CEILING(Warrior!$B19 / IF(Warrior!$D19&lt; 10.8, $Q$4, $Q$4 / (Warrior!$D19 / 10.8)),1)</f>
        <v>8</v>
      </c>
      <c r="Y18" s="1">
        <v>17</v>
      </c>
      <c r="Z18" s="1">
        <f>CEILING(Demon!$B19 / IF(Demon!$D19&lt; 10.8, $AB$4, $AB$4 / (Demon!$D19 / 10.8)),1)</f>
        <v>5</v>
      </c>
      <c r="AA18" s="1">
        <f>CEILING(Elf!$B19 / IF(Elf!$D19 &lt; 10.8, $AB$4, $AB$4 / (Elf!$D19 / 10.8)),1)</f>
        <v>5</v>
      </c>
      <c r="AB18" s="1">
        <f>CEILING(Beastgirl!$B19 / IF(Beastgirl!$D19&lt; 10.8, $AB$4, $AB$4 / (Beastgirl!$D19 / 10.8)),1)</f>
        <v>9</v>
      </c>
      <c r="AC18" s="1">
        <f>CEILING(Warrior!$B19 / IF(Warrior!$D19&lt; 10.8, $AB$4, $AB$4 / (Warrior!$D19 / 10.8)),1)</f>
        <v>6</v>
      </c>
    </row>
    <row r="19" spans="3:33" s="1" customFormat="1" x14ac:dyDescent="0.3">
      <c r="C19" s="1">
        <v>18</v>
      </c>
      <c r="D19" s="1">
        <f>CEILING(Demon!$B20 / IF(Demon!$D20&lt; 10.8, $F$4, $F$4 / (Demon!$D20 / 10.8)),1)</f>
        <v>10</v>
      </c>
      <c r="E19" s="1">
        <f>CEILING(Elf!$B20 / IF(Elf!$D20 &lt; 10.8, $F$4, $F$4 / (Elf!$D20 / 10.8)),1)</f>
        <v>11</v>
      </c>
      <c r="F19" s="1">
        <f>CEILING(Beastgirl!$B20/ IF(Beastgirl!$D20&lt; 10.8,$F$4, $F$4 / (Beastgirl!$D20/ 10.8)),1)</f>
        <v>19</v>
      </c>
      <c r="G19" s="1">
        <f>CEILING(Warrior!$B20/ IF(Warrior!$D20&lt; 10.8, $F$4, $F$4 / (Warrior!$D20 / 10.8)),1)</f>
        <v>13</v>
      </c>
      <c r="N19" s="1">
        <v>18</v>
      </c>
      <c r="O19" s="1">
        <f>CEILING(Demon!$B20 / IF(Demon!$D20&lt; 10.8, $Q$4, $Q$4 / (Demon!$D20 / 10.8)),1)</f>
        <v>7</v>
      </c>
      <c r="P19" s="1">
        <f>CEILING(Elf!$B20 / IF(Elf!$D20 &lt; 10.8, $Q$4, $Q$4 / (Elf!$D20 / 10.8)),1)</f>
        <v>7</v>
      </c>
      <c r="Q19" s="1">
        <f>CEILING(Beastgirl!$B20 / IF(Beastgirl!$D20&lt; 10.8, $Q$4, $Q$4 / (Beastgirl!$D20 / 10.8)),1)</f>
        <v>13</v>
      </c>
      <c r="R19" s="1">
        <f>CEILING(Warrior!$B20 / IF(Warrior!$D20&lt; 10.8, $Q$4, $Q$4 / (Warrior!$D20 / 10.8)),1)</f>
        <v>9</v>
      </c>
      <c r="Y19" s="1">
        <v>18</v>
      </c>
      <c r="Z19" s="1">
        <f>CEILING(Demon!$B20 / IF(Demon!$D20&lt; 10.8, $AB$4, $AB$4 / (Demon!$D20 / 10.8)),1)</f>
        <v>5</v>
      </c>
      <c r="AA19" s="1">
        <f>CEILING(Elf!$B20 / IF(Elf!$D20 &lt; 10.8, $AB$4, $AB$4 / (Elf!$D20 / 10.8)),1)</f>
        <v>6</v>
      </c>
      <c r="AB19" s="1">
        <f>CEILING(Beastgirl!$B20 / IF(Beastgirl!$D20&lt; 10.8, $AB$4, $AB$4 / (Beastgirl!$D20 / 10.8)),1)</f>
        <v>10</v>
      </c>
      <c r="AC19" s="1">
        <f>CEILING(Warrior!$B20 / IF(Warrior!$D20&lt; 10.8, $AB$4, $AB$4 / (Warrior!$D20 / 10.8)),1)</f>
        <v>7</v>
      </c>
    </row>
    <row r="20" spans="3:33" s="1" customFormat="1" x14ac:dyDescent="0.3">
      <c r="C20" s="1">
        <v>19</v>
      </c>
      <c r="D20" s="1">
        <f>CEILING(Demon!$B21 / IF(Demon!$D21&lt; 10.8, $F$4, $F$4 / (Demon!$D21 / 10.8)),1)</f>
        <v>11</v>
      </c>
      <c r="E20" s="1">
        <f>CEILING(Elf!$B21 / IF(Elf!$D21 &lt; 10.8, $F$4, $F$4 / (Elf!$D21 / 10.8)),1)</f>
        <v>12</v>
      </c>
      <c r="F20" s="1">
        <f>CEILING(Beastgirl!$B21/ IF(Beastgirl!$D21&lt; 10.8,$F$4, $F$4 / (Beastgirl!$D21/ 10.8)),1)</f>
        <v>21</v>
      </c>
      <c r="G20" s="1">
        <f>CEILING(Warrior!$B21/ IF(Warrior!$D21&lt; 10.8, $F$4, $F$4 / (Warrior!$D21 / 10.8)),1)</f>
        <v>15</v>
      </c>
      <c r="N20" s="1">
        <v>19</v>
      </c>
      <c r="O20" s="1">
        <f>CEILING(Demon!$B21 / IF(Demon!$D21&lt; 10.8, $Q$4, $Q$4 / (Demon!$D21 / 10.8)),1)</f>
        <v>8</v>
      </c>
      <c r="P20" s="1">
        <f>CEILING(Elf!$B21 / IF(Elf!$D21 &lt; 10.8, $Q$4, $Q$4 / (Elf!$D21 / 10.8)),1)</f>
        <v>8</v>
      </c>
      <c r="Q20" s="1">
        <f>CEILING(Beastgirl!$B21 / IF(Beastgirl!$D21&lt; 10.8, $Q$4, $Q$4 / (Beastgirl!$D21 / 10.8)),1)</f>
        <v>14</v>
      </c>
      <c r="R20" s="1">
        <f>CEILING(Warrior!$B21 / IF(Warrior!$D21&lt; 10.8, $Q$4, $Q$4 / (Warrior!$D21 / 10.8)),1)</f>
        <v>10</v>
      </c>
      <c r="Y20" s="1">
        <v>19</v>
      </c>
      <c r="Z20" s="1">
        <f>CEILING(Demon!$B21 / IF(Demon!$D21&lt; 10.8, $AB$4, $AB$4 / (Demon!$D21 / 10.8)),1)</f>
        <v>6</v>
      </c>
      <c r="AA20" s="1">
        <f>CEILING(Elf!$B21 / IF(Elf!$D21 &lt; 10.8, $AB$4, $AB$4 / (Elf!$D21 / 10.8)),1)</f>
        <v>6</v>
      </c>
      <c r="AB20" s="1">
        <f>CEILING(Beastgirl!$B21 / IF(Beastgirl!$D21&lt; 10.8, $AB$4, $AB$4 / (Beastgirl!$D21 / 10.8)),1)</f>
        <v>11</v>
      </c>
      <c r="AC20" s="1">
        <f>CEILING(Warrior!$B21 / IF(Warrior!$D21&lt; 10.8, $AB$4, $AB$4 / (Warrior!$D21 / 10.8)),1)</f>
        <v>8</v>
      </c>
    </row>
    <row r="21" spans="3:33" s="1" customFormat="1" x14ac:dyDescent="0.3">
      <c r="C21" s="1">
        <v>20</v>
      </c>
      <c r="D21" s="1">
        <f>CEILING(Demon!$B22 / IF(Demon!$D22&lt; 10.8, $F$4, $F$4 / (Demon!$D22 / 10.8)),1)</f>
        <v>12</v>
      </c>
      <c r="E21" s="1">
        <f>CEILING(Elf!$B22 / IF(Elf!$D22 &lt; 10.8, $F$4, $F$4 / (Elf!$D22 / 10.8)),1)</f>
        <v>13</v>
      </c>
      <c r="F21" s="1">
        <f>CEILING(Beastgirl!$B22/ IF(Beastgirl!$D22&lt; 10.8,$F$4, $F$4 / (Beastgirl!$D22/ 10.8)),1)</f>
        <v>23</v>
      </c>
      <c r="G21" s="1">
        <f>CEILING(Warrior!$B22/ IF(Warrior!$D22&lt; 10.8, $F$4, $F$4 / (Warrior!$D22 / 10.8)),1)</f>
        <v>16</v>
      </c>
      <c r="N21" s="1">
        <v>20</v>
      </c>
      <c r="O21" s="1">
        <f>CEILING(Demon!$B22 / IF(Demon!$D22&lt; 10.8, $Q$4, $Q$4 / (Demon!$D22 / 10.8)),1)</f>
        <v>8</v>
      </c>
      <c r="P21" s="1">
        <f>CEILING(Elf!$B22 / IF(Elf!$D22 &lt; 10.8, $Q$4, $Q$4 / (Elf!$D22 / 10.8)),1)</f>
        <v>9</v>
      </c>
      <c r="Q21" s="1">
        <f>CEILING(Beastgirl!$B22 / IF(Beastgirl!$D22&lt; 10.8, $Q$4, $Q$4 / (Beastgirl!$D22 / 10.8)),1)</f>
        <v>15</v>
      </c>
      <c r="R21" s="1">
        <f>CEILING(Warrior!$B22 / IF(Warrior!$D22&lt; 10.8, $Q$4, $Q$4 / (Warrior!$D22 / 10.8)),1)</f>
        <v>11</v>
      </c>
      <c r="Y21" s="1">
        <v>20</v>
      </c>
      <c r="Z21" s="1">
        <f>CEILING(Demon!$B22 / IF(Demon!$D22&lt; 10.8, $AB$4, $AB$4 / (Demon!$D22 / 10.8)),1)</f>
        <v>6</v>
      </c>
      <c r="AA21" s="1">
        <f>CEILING(Elf!$B22 / IF(Elf!$D22 &lt; 10.8, $AB$4, $AB$4 / (Elf!$D22 / 10.8)),1)</f>
        <v>7</v>
      </c>
      <c r="AB21" s="1">
        <f>CEILING(Beastgirl!$B22 / IF(Beastgirl!$D22&lt; 10.8, $AB$4, $AB$4 / (Beastgirl!$D22 / 10.8)),1)</f>
        <v>12</v>
      </c>
      <c r="AC21" s="1">
        <f>CEILING(Warrior!$B22 / IF(Warrior!$D22&lt; 10.8, $AB$4, $AB$4 / (Warrior!$D22 / 10.8)),1)</f>
        <v>8</v>
      </c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C22" s="4"/>
      <c r="AD22" s="4"/>
      <c r="AE22" s="4"/>
      <c r="AF22" s="4"/>
      <c r="AG22" s="4"/>
    </row>
    <row r="23" spans="3:33" s="1" customFormat="1" ht="25.8" x14ac:dyDescent="0.3">
      <c r="C23" s="53" t="s">
        <v>49</v>
      </c>
      <c r="D23" s="53"/>
      <c r="E23" s="53"/>
      <c r="F23" s="53"/>
      <c r="G23" s="53"/>
      <c r="I23" s="4"/>
      <c r="J23" s="4"/>
      <c r="K23" s="4"/>
      <c r="L23" s="4"/>
      <c r="M23" s="4"/>
      <c r="N23" s="53" t="s">
        <v>49</v>
      </c>
      <c r="O23" s="53"/>
      <c r="P23" s="53"/>
      <c r="Q23" s="53"/>
      <c r="R23" s="53"/>
      <c r="S23" s="4"/>
      <c r="T23" s="4"/>
      <c r="U23" s="4"/>
      <c r="W23" s="4"/>
      <c r="X23" s="4"/>
      <c r="Y23" s="53" t="s">
        <v>49</v>
      </c>
      <c r="Z23" s="53"/>
      <c r="AA23" s="53"/>
      <c r="AB23" s="53"/>
      <c r="AC23" s="53"/>
      <c r="AD23" s="4"/>
      <c r="AE23" s="4"/>
      <c r="AF23" s="4"/>
      <c r="AG23" s="4"/>
    </row>
    <row r="24" spans="3:33" s="1" customFormat="1" ht="21" x14ac:dyDescent="0.3">
      <c r="C24" s="6" t="s">
        <v>11</v>
      </c>
      <c r="D24" s="6" t="s">
        <v>12</v>
      </c>
      <c r="E24" s="6" t="s">
        <v>13</v>
      </c>
      <c r="F24" s="6" t="s">
        <v>14</v>
      </c>
      <c r="G24" s="6" t="s">
        <v>15</v>
      </c>
      <c r="I24" s="4"/>
      <c r="J24" s="4"/>
      <c r="K24" s="4"/>
      <c r="L24" s="4"/>
      <c r="M24" s="4"/>
      <c r="N24" s="6" t="s">
        <v>11</v>
      </c>
      <c r="O24" s="6" t="s">
        <v>12</v>
      </c>
      <c r="P24" s="6" t="s">
        <v>13</v>
      </c>
      <c r="Q24" s="6" t="s">
        <v>14</v>
      </c>
      <c r="R24" s="6" t="s">
        <v>15</v>
      </c>
      <c r="S24" s="4"/>
      <c r="T24" s="4"/>
      <c r="U24" s="4"/>
      <c r="W24" s="4"/>
      <c r="X24" s="4"/>
      <c r="Y24" s="6" t="s">
        <v>11</v>
      </c>
      <c r="Z24" s="6" t="s">
        <v>12</v>
      </c>
      <c r="AA24" s="6" t="s">
        <v>13</v>
      </c>
      <c r="AB24" s="6" t="s">
        <v>14</v>
      </c>
      <c r="AC24" s="6" t="s">
        <v>15</v>
      </c>
      <c r="AD24" s="4"/>
      <c r="AE24" s="4"/>
      <c r="AF24" s="4"/>
      <c r="AG24" s="4"/>
    </row>
    <row r="25" spans="3:33" s="1" customFormat="1" x14ac:dyDescent="0.3">
      <c r="C25" s="1">
        <v>11</v>
      </c>
      <c r="D25" s="1">
        <f>CEILING(Demon!$B13/ IF(Demon!$D13&lt; 10.8, $F$5, $F$5 / (Demon!$D13 / 10.8)),1)</f>
        <v>3</v>
      </c>
      <c r="E25" s="1">
        <f>CEILING(Elf!$B13 / IF(Elf!$D13 &lt; 10.8, $F$5,$F$5 / (Elf!$D13 / 10.8)),1)</f>
        <v>3</v>
      </c>
      <c r="F25" s="1">
        <f>CEILING(Beastgirl!$B13 / IF(Beastgirl!$D13&lt; 10.8, $F$5, $F$5 / (Beastgirl!$D13 / 10.8)),1)</f>
        <v>6</v>
      </c>
      <c r="G25" s="1">
        <f>CEILING(Warrior!$B13 / IF(Warrior!$D13&lt; 10.8, $F$5, $F$5 / (Warrior!$D13 / 10.8)),1)</f>
        <v>4</v>
      </c>
      <c r="I25" s="4"/>
      <c r="J25" s="4"/>
      <c r="K25" s="4"/>
      <c r="L25" s="4"/>
      <c r="M25" s="4"/>
      <c r="N25" s="1">
        <v>11</v>
      </c>
      <c r="O25" s="1">
        <f>CEILING(Demon!$B13 / IF(Demon!$D13&lt; 10.8, $Q$5, $Q$5 / (Demon!$D13/ 10.8)),1)</f>
        <v>2</v>
      </c>
      <c r="P25" s="1">
        <f>CEILING(Elf!$B13/ IF(Elf!$D13 &lt; 10.8, $Q$5, $Q$5 / (Elf!$D13 / 10.8)),1)</f>
        <v>2</v>
      </c>
      <c r="Q25" s="1">
        <f>CEILING(Beastgirl!$B13 / IF(Beastgirl!$D13&lt; 10.8, $Q$5, $Q$5 / (Beastgirl!$D13 / 10.8)),1)</f>
        <v>4</v>
      </c>
      <c r="R25" s="1">
        <f>CEILING(Warrior!$B13 / IF(Warrior!$D13&lt; 10.8, $Q$5, $Q$5 / (Warrior!$D13 / 10.8)),1)</f>
        <v>3</v>
      </c>
      <c r="S25" s="4"/>
      <c r="T25" s="4"/>
      <c r="U25" s="4"/>
      <c r="W25" s="4"/>
      <c r="X25" s="4"/>
      <c r="Y25" s="1">
        <v>11</v>
      </c>
      <c r="Z25" s="1">
        <f>CEILING(Demon!$B13 / IF(Demon!$D13&lt; 10.8, $AB$5, $AB$5 / (Demon!$D13 / 10.8)),1)</f>
        <v>2</v>
      </c>
      <c r="AA25" s="1">
        <f>CEILING(Elf!$B13 / IF(Elf!$D13 &lt; 10.8, $AB$5, $AB$5 / (Elf!$D13 / 10.8)),1)</f>
        <v>2</v>
      </c>
      <c r="AB25" s="1">
        <f>CEILING(Beastgirl!$B13 / IF(Beastgirl!$D13&lt; 10.8, $AB$5, $AB$5 / (Beastgirl!$D13 / 10.8)),1)</f>
        <v>3</v>
      </c>
      <c r="AC25" s="1">
        <f>CEILING(Warrior!$B13 / IF(Warrior!$D13&lt; 10.8, $AB$5, $AB$5 / (Warrior!$D13 / 10.8)),1)</f>
        <v>2</v>
      </c>
      <c r="AD25" s="4"/>
      <c r="AE25" s="4"/>
      <c r="AF25" s="4"/>
      <c r="AG25" s="4"/>
    </row>
    <row r="26" spans="3:33" s="1" customFormat="1" x14ac:dyDescent="0.3">
      <c r="C26" s="1">
        <v>12</v>
      </c>
      <c r="D26" s="1">
        <f>CEILING(Demon!$B14/ IF(Demon!$D14&lt; 10.8, $F$5, $F$5 / (Demon!$D14 / 10.8)),1)</f>
        <v>4</v>
      </c>
      <c r="E26" s="1">
        <f>CEILING(Elf!$B14 / IF(Elf!$D14 &lt; 10.8, $F$5,$F$5 / (Elf!$D14 / 10.8)),1)</f>
        <v>4</v>
      </c>
      <c r="F26" s="1">
        <f>CEILING(Beastgirl!$B14 / IF(Beastgirl!$D14&lt; 10.8, $F$5, $F$5 / (Beastgirl!$D14 / 10.8)),1)</f>
        <v>7</v>
      </c>
      <c r="G26" s="1">
        <f>CEILING(Warrior!$B14 / IF(Warrior!$D14&lt; 10.8, $F$5, $F$5 / (Warrior!$D14 / 10.8)),1)</f>
        <v>5</v>
      </c>
      <c r="I26" s="4"/>
      <c r="J26" s="4"/>
      <c r="K26" s="4"/>
      <c r="L26" s="4"/>
      <c r="M26" s="4"/>
      <c r="N26" s="1">
        <v>12</v>
      </c>
      <c r="O26" s="1">
        <f>CEILING(Demon!$B14 / IF(Demon!$D14&lt; 10.8, $Q$5, $Q$5 / (Demon!$D14/ 10.8)),1)</f>
        <v>3</v>
      </c>
      <c r="P26" s="1">
        <f>CEILING(Elf!$B14/ IF(Elf!$D14 &lt; 10.8, $Q$5, $Q$5 / (Elf!$D14 / 10.8)),1)</f>
        <v>3</v>
      </c>
      <c r="Q26" s="1">
        <f>CEILING(Beastgirl!$B14 / IF(Beastgirl!$D14&lt; 10.8, $Q$5, $Q$5 / (Beastgirl!$D14 / 10.8)),1)</f>
        <v>5</v>
      </c>
      <c r="R26" s="1">
        <f>CEILING(Warrior!$B14 / IF(Warrior!$D14&lt; 10.8, $Q$5, $Q$5 / (Warrior!$D14 / 10.8)),1)</f>
        <v>3</v>
      </c>
      <c r="S26" s="4"/>
      <c r="T26" s="4"/>
      <c r="U26" s="4"/>
      <c r="W26" s="4"/>
      <c r="X26" s="4"/>
      <c r="Y26" s="1">
        <v>12</v>
      </c>
      <c r="Z26" s="1">
        <f>CEILING(Demon!$B14 / IF(Demon!$D14&lt; 10.8, $AB$5, $AB$5 / (Demon!$D14 / 10.8)),1)</f>
        <v>2</v>
      </c>
      <c r="AA26" s="1">
        <f>CEILING(Elf!$B14 / IF(Elf!$D14 &lt; 10.8, $AB$5, $AB$5 / (Elf!$D14 / 10.8)),1)</f>
        <v>2</v>
      </c>
      <c r="AB26" s="1">
        <f>CEILING(Beastgirl!$B14 / IF(Beastgirl!$D14&lt; 10.8, $AB$5, $AB$5 / (Beastgirl!$D14 / 10.8)),1)</f>
        <v>4</v>
      </c>
      <c r="AC26" s="1">
        <f>CEILING(Warrior!$B14 / IF(Warrior!$D14&lt; 10.8, $AB$5, $AB$5 / (Warrior!$D14 / 10.8)),1)</f>
        <v>3</v>
      </c>
      <c r="AD26" s="4"/>
      <c r="AE26" s="4"/>
      <c r="AF26" s="4"/>
      <c r="AG26" s="4"/>
    </row>
    <row r="27" spans="3:33" s="1" customFormat="1" x14ac:dyDescent="0.3">
      <c r="C27" s="1">
        <v>13</v>
      </c>
      <c r="D27" s="1">
        <f>CEILING(Demon!$B15/ IF(Demon!$D15&lt; 10.8, $F$5, $F$5 / (Demon!$D15 / 10.8)),1)</f>
        <v>4</v>
      </c>
      <c r="E27" s="1">
        <f>CEILING(Elf!$B15 / IF(Elf!$D15 &lt; 10.8, $F$5,$F$5 / (Elf!$D15 / 10.8)),1)</f>
        <v>4</v>
      </c>
      <c r="F27" s="1">
        <f>CEILING(Beastgirl!$B15 / IF(Beastgirl!$D15&lt; 10.8, $F$5, $F$5 / (Beastgirl!$D15 / 10.8)),1)</f>
        <v>8</v>
      </c>
      <c r="G27" s="1">
        <f>CEILING(Warrior!$B15 / IF(Warrior!$D15&lt; 10.8, $F$5, $F$5 / (Warrior!$D15 / 10.8)),1)</f>
        <v>5</v>
      </c>
      <c r="I27" s="4"/>
      <c r="J27" s="4"/>
      <c r="K27" s="4"/>
      <c r="L27" s="4"/>
      <c r="M27" s="4"/>
      <c r="N27" s="1">
        <v>13</v>
      </c>
      <c r="O27" s="1">
        <f>CEILING(Demon!$B15 / IF(Demon!$D15&lt; 10.8, $Q$5, $Q$5 / (Demon!$D15/ 10.8)),1)</f>
        <v>3</v>
      </c>
      <c r="P27" s="1">
        <f>CEILING(Elf!$B15/ IF(Elf!$D15 &lt; 10.8, $Q$5, $Q$5 / (Elf!$D15 / 10.8)),1)</f>
        <v>3</v>
      </c>
      <c r="Q27" s="1">
        <f>CEILING(Beastgirl!$B15 / IF(Beastgirl!$D15&lt; 10.8, $Q$5, $Q$5 / (Beastgirl!$D15 / 10.8)),1)</f>
        <v>5</v>
      </c>
      <c r="R27" s="1">
        <f>CEILING(Warrior!$B15 / IF(Warrior!$D15&lt; 10.8, $Q$5, $Q$5 / (Warrior!$D15 / 10.8)),1)</f>
        <v>4</v>
      </c>
      <c r="S27" s="4"/>
      <c r="T27" s="4"/>
      <c r="U27" s="4"/>
      <c r="W27" s="4"/>
      <c r="X27" s="4"/>
      <c r="Y27" s="1">
        <v>13</v>
      </c>
      <c r="Z27" s="1">
        <f>CEILING(Demon!$B15 / IF(Demon!$D15&lt; 10.8, $AB$5, $AB$5 / (Demon!$D15 / 10.8)),1)</f>
        <v>2</v>
      </c>
      <c r="AA27" s="1">
        <f>CEILING(Elf!$B15 / IF(Elf!$D15 &lt; 10.8, $AB$5, $AB$5 / (Elf!$D15 / 10.8)),1)</f>
        <v>2</v>
      </c>
      <c r="AB27" s="1">
        <f>CEILING(Beastgirl!$B15 / IF(Beastgirl!$D15&lt; 10.8, $AB$5, $AB$5 / (Beastgirl!$D15 / 10.8)),1)</f>
        <v>4</v>
      </c>
      <c r="AC27" s="1">
        <f>CEILING(Warrior!$B15 / IF(Warrior!$D15&lt; 10.8, $AB$5, $AB$5 / (Warrior!$D15 / 10.8)),1)</f>
        <v>3</v>
      </c>
      <c r="AD27" s="4"/>
      <c r="AE27" s="4"/>
      <c r="AF27" s="4"/>
      <c r="AG27" s="4"/>
    </row>
    <row r="28" spans="3:33" s="1" customFormat="1" x14ac:dyDescent="0.3">
      <c r="C28" s="1">
        <v>14</v>
      </c>
      <c r="D28" s="1">
        <f>CEILING(Demon!$B16/ IF(Demon!$D16&lt; 10.8, $F$5, $F$5 / (Demon!$D16 / 10.8)),1)</f>
        <v>5</v>
      </c>
      <c r="E28" s="1">
        <f>CEILING(Elf!$B16 / IF(Elf!$D16 &lt; 10.8, $F$5,$F$5 / (Elf!$D16 / 10.8)),1)</f>
        <v>5</v>
      </c>
      <c r="F28" s="1">
        <f>CEILING(Beastgirl!$B16 / IF(Beastgirl!$D16&lt; 10.8, $F$5, $F$5 / (Beastgirl!$D16 / 10.8)),1)</f>
        <v>9</v>
      </c>
      <c r="G28" s="1">
        <f>CEILING(Warrior!$B16 / IF(Warrior!$D16&lt; 10.8, $F$5, $F$5 / (Warrior!$D16 / 10.8)),1)</f>
        <v>6</v>
      </c>
      <c r="I28" s="4"/>
      <c r="J28" s="4"/>
      <c r="K28" s="4"/>
      <c r="L28" s="4"/>
      <c r="M28" s="4"/>
      <c r="N28" s="1">
        <v>14</v>
      </c>
      <c r="O28" s="1">
        <f>CEILING(Demon!$B16 / IF(Demon!$D16&lt; 10.8, $Q$5, $Q$5 / (Demon!$D16/ 10.8)),1)</f>
        <v>3</v>
      </c>
      <c r="P28" s="1">
        <f>CEILING(Elf!$B16/ IF(Elf!$D16 &lt; 10.8, $Q$5, $Q$5 / (Elf!$D16 / 10.8)),1)</f>
        <v>3</v>
      </c>
      <c r="Q28" s="1">
        <f>CEILING(Beastgirl!$B16 / IF(Beastgirl!$D16&lt; 10.8, $Q$5, $Q$5 / (Beastgirl!$D16 / 10.8)),1)</f>
        <v>6</v>
      </c>
      <c r="R28" s="1">
        <f>CEILING(Warrior!$B16 / IF(Warrior!$D16&lt; 10.8, $Q$5, $Q$5 / (Warrior!$D16 / 10.8)),1)</f>
        <v>4</v>
      </c>
      <c r="S28" s="4"/>
      <c r="T28" s="4"/>
      <c r="U28" s="4"/>
      <c r="W28" s="4"/>
      <c r="X28" s="4"/>
      <c r="Y28" s="1">
        <v>14</v>
      </c>
      <c r="Z28" s="1">
        <f>CEILING(Demon!$B16 / IF(Demon!$D16&lt; 10.8, $AB$5, $AB$5 / (Demon!$D16 / 10.8)),1)</f>
        <v>3</v>
      </c>
      <c r="AA28" s="1">
        <f>CEILING(Elf!$B16 / IF(Elf!$D16 &lt; 10.8, $AB$5, $AB$5 / (Elf!$D16 / 10.8)),1)</f>
        <v>3</v>
      </c>
      <c r="AB28" s="1">
        <f>CEILING(Beastgirl!$B16 / IF(Beastgirl!$D16&lt; 10.8, $AB$5, $AB$5 / (Beastgirl!$D16 / 10.8)),1)</f>
        <v>5</v>
      </c>
      <c r="AC28" s="1">
        <f>CEILING(Warrior!$B16 / IF(Warrior!$D16&lt; 10.8, $AB$5, $AB$5 / (Warrior!$D16 / 10.8)),1)</f>
        <v>3</v>
      </c>
      <c r="AD28" s="4"/>
      <c r="AE28" s="4"/>
      <c r="AF28" s="4"/>
      <c r="AG28" s="4"/>
    </row>
    <row r="29" spans="3:33" s="1" customFormat="1" x14ac:dyDescent="0.3">
      <c r="C29" s="1">
        <v>15</v>
      </c>
      <c r="D29" s="1">
        <f>CEILING(Demon!$B17/ IF(Demon!$D17&lt; 10.8, $F$5, $F$5 / (Demon!$D17 / 10.8)),1)</f>
        <v>7</v>
      </c>
      <c r="E29" s="1">
        <f>CEILING(Elf!$B17 / IF(Elf!$D17 &lt; 10.8, $F$5,$F$5 / (Elf!$D17 / 10.8)),1)</f>
        <v>8</v>
      </c>
      <c r="F29" s="1">
        <f>CEILING(Beastgirl!$B17 / IF(Beastgirl!$D17&lt; 10.8, $F$5, $F$5 / (Beastgirl!$D17 / 10.8)),1)</f>
        <v>14</v>
      </c>
      <c r="G29" s="1">
        <f>CEILING(Warrior!$B17 / IF(Warrior!$D17&lt; 10.8, $F$5, $F$5 / (Warrior!$D17 / 10.8)),1)</f>
        <v>10</v>
      </c>
      <c r="I29" s="4"/>
      <c r="J29" s="4"/>
      <c r="K29" s="4"/>
      <c r="L29" s="4"/>
      <c r="M29" s="4"/>
      <c r="N29" s="1">
        <v>15</v>
      </c>
      <c r="O29" s="1">
        <f>CEILING(Demon!$B17 / IF(Demon!$D17&lt; 10.8, $Q$5, $Q$5 / (Demon!$D17/ 10.8)),1)</f>
        <v>5</v>
      </c>
      <c r="P29" s="1">
        <f>CEILING(Elf!$B17/ IF(Elf!$D17 &lt; 10.8, $Q$5, $Q$5 / (Elf!$D17 / 10.8)),1)</f>
        <v>5</v>
      </c>
      <c r="Q29" s="1">
        <f>CEILING(Beastgirl!$B17 / IF(Beastgirl!$D17&lt; 10.8, $Q$5, $Q$5 / (Beastgirl!$D17 / 10.8)),1)</f>
        <v>9</v>
      </c>
      <c r="R29" s="1">
        <f>CEILING(Warrior!$B17 / IF(Warrior!$D17&lt; 10.8, $Q$5, $Q$5 / (Warrior!$D17 / 10.8)),1)</f>
        <v>7</v>
      </c>
      <c r="S29" s="4"/>
      <c r="T29" s="4"/>
      <c r="U29" s="4"/>
      <c r="W29" s="4"/>
      <c r="X29" s="4"/>
      <c r="Y29" s="1">
        <v>15</v>
      </c>
      <c r="Z29" s="1">
        <f>CEILING(Demon!$B17 / IF(Demon!$D17&lt; 10.8, $AB$5, $AB$5 / (Demon!$D17 / 10.8)),1)</f>
        <v>4</v>
      </c>
      <c r="AA29" s="1">
        <f>CEILING(Elf!$B17 / IF(Elf!$D17 &lt; 10.8, $AB$5, $AB$5 / (Elf!$D17 / 10.8)),1)</f>
        <v>4</v>
      </c>
      <c r="AB29" s="1">
        <f>CEILING(Beastgirl!$B17 / IF(Beastgirl!$D17&lt; 10.8, $AB$5, $AB$5 / (Beastgirl!$D17 / 10.8)),1)</f>
        <v>7</v>
      </c>
      <c r="AC29" s="1">
        <f>CEILING(Warrior!$B17 / IF(Warrior!$D17&lt; 10.8, $AB$5, $AB$5 / (Warrior!$D17 / 10.8)),1)</f>
        <v>5</v>
      </c>
      <c r="AD29" s="4"/>
      <c r="AE29" s="4"/>
      <c r="AF29" s="4"/>
      <c r="AG29" s="4"/>
    </row>
    <row r="30" spans="3:33" s="1" customFormat="1" x14ac:dyDescent="0.3">
      <c r="C30" s="1">
        <v>16</v>
      </c>
      <c r="D30" s="1">
        <f>CEILING(Demon!$B18/ IF(Demon!$D18&lt; 10.8, $F$5, $F$5 / (Demon!$D18 / 10.8)),1)</f>
        <v>8</v>
      </c>
      <c r="E30" s="1">
        <f>CEILING(Elf!$B18 / IF(Elf!$D18 &lt; 10.8, $F$5,$F$5 / (Elf!$D18 / 10.8)),1)</f>
        <v>9</v>
      </c>
      <c r="F30" s="1">
        <f>CEILING(Beastgirl!$B18 / IF(Beastgirl!$D18&lt; 10.8, $F$5, $F$5 / (Beastgirl!$D18 / 10.8)),1)</f>
        <v>15</v>
      </c>
      <c r="G30" s="1">
        <f>CEILING(Warrior!$B18 / IF(Warrior!$D18&lt; 10.8, $F$5, $F$5 / (Warrior!$D18 / 10.8)),1)</f>
        <v>11</v>
      </c>
      <c r="I30" s="4"/>
      <c r="J30" s="4"/>
      <c r="K30" s="4"/>
      <c r="L30" s="4"/>
      <c r="M30" s="4"/>
      <c r="N30" s="1">
        <v>16</v>
      </c>
      <c r="O30" s="1">
        <f>CEILING(Demon!$B18 / IF(Demon!$D18&lt; 10.8, $Q$5, $Q$5 / (Demon!$D18/ 10.8)),1)</f>
        <v>6</v>
      </c>
      <c r="P30" s="1">
        <f>CEILING(Elf!$B18/ IF(Elf!$D18 &lt; 10.8, $Q$5, $Q$5 / (Elf!$D18 / 10.8)),1)</f>
        <v>6</v>
      </c>
      <c r="Q30" s="1">
        <f>CEILING(Beastgirl!$B18 / IF(Beastgirl!$D18&lt; 10.8, $Q$5, $Q$5 / (Beastgirl!$D18 / 10.8)),1)</f>
        <v>10</v>
      </c>
      <c r="R30" s="1">
        <f>CEILING(Warrior!$B18 / IF(Warrior!$D18&lt; 10.8, $Q$5, $Q$5 / (Warrior!$D18 / 10.8)),1)</f>
        <v>7</v>
      </c>
      <c r="S30" s="4"/>
      <c r="T30" s="4"/>
      <c r="U30" s="4"/>
      <c r="W30" s="4"/>
      <c r="X30" s="4"/>
      <c r="Y30" s="1">
        <v>16</v>
      </c>
      <c r="Z30" s="1">
        <f>CEILING(Demon!$B18 / IF(Demon!$D18&lt; 10.8, $AB$5, $AB$5 / (Demon!$D18 / 10.8)),1)</f>
        <v>4</v>
      </c>
      <c r="AA30" s="1">
        <f>CEILING(Elf!$B18 / IF(Elf!$D18 &lt; 10.8, $AB$5, $AB$5 / (Elf!$D18 / 10.8)),1)</f>
        <v>5</v>
      </c>
      <c r="AB30" s="1">
        <f>CEILING(Beastgirl!$B18 / IF(Beastgirl!$D18&lt; 10.8, $AB$5, $AB$5 / (Beastgirl!$D18 / 10.8)),1)</f>
        <v>8</v>
      </c>
      <c r="AC30" s="1">
        <f>CEILING(Warrior!$B18 / IF(Warrior!$D18&lt; 10.8, $AB$5, $AB$5 / (Warrior!$D18 / 10.8)),1)</f>
        <v>6</v>
      </c>
      <c r="AD30" s="4"/>
      <c r="AE30" s="4"/>
      <c r="AF30" s="4"/>
      <c r="AG30" s="4"/>
    </row>
    <row r="31" spans="3:33" s="1" customFormat="1" x14ac:dyDescent="0.3">
      <c r="C31" s="1">
        <v>17</v>
      </c>
      <c r="D31" s="1">
        <f>CEILING(Demon!$B19/ IF(Demon!$D19&lt; 10.8, $F$5, $F$5 / (Demon!$D19 / 10.8)),1)</f>
        <v>9</v>
      </c>
      <c r="E31" s="1">
        <f>CEILING(Elf!$B19 / IF(Elf!$D19 &lt; 10.8, $F$5,$F$5 / (Elf!$D19 / 10.8)),1)</f>
        <v>9</v>
      </c>
      <c r="F31" s="1">
        <f>CEILING(Beastgirl!$B19 / IF(Beastgirl!$D19&lt; 10.8, $F$5, $F$5 / (Beastgirl!$D19 / 10.8)),1)</f>
        <v>17</v>
      </c>
      <c r="G31" s="1">
        <f>CEILING(Warrior!$B19 / IF(Warrior!$D19&lt; 10.8, $F$5, $F$5 / (Warrior!$D19 / 10.8)),1)</f>
        <v>12</v>
      </c>
      <c r="I31" s="4"/>
      <c r="J31" s="4"/>
      <c r="K31" s="4"/>
      <c r="L31" s="4"/>
      <c r="M31" s="4"/>
      <c r="N31" s="1">
        <v>17</v>
      </c>
      <c r="O31" s="1">
        <f>CEILING(Demon!$B19 / IF(Demon!$D19&lt; 10.8, $Q$5, $Q$5 / (Demon!$D19/ 10.8)),1)</f>
        <v>6</v>
      </c>
      <c r="P31" s="1">
        <f>CEILING(Elf!$B19/ IF(Elf!$D19 &lt; 10.8, $Q$5, $Q$5 / (Elf!$D19 / 10.8)),1)</f>
        <v>6</v>
      </c>
      <c r="Q31" s="1">
        <f>CEILING(Beastgirl!$B19 / IF(Beastgirl!$D19&lt; 10.8, $Q$5, $Q$5 / (Beastgirl!$D19 / 10.8)),1)</f>
        <v>11</v>
      </c>
      <c r="R31" s="1">
        <f>CEILING(Warrior!$B19 / IF(Warrior!$D19&lt; 10.8, $Q$5, $Q$5 / (Warrior!$D19 / 10.8)),1)</f>
        <v>8</v>
      </c>
      <c r="S31" s="4"/>
      <c r="T31" s="4"/>
      <c r="U31" s="4"/>
      <c r="W31" s="4"/>
      <c r="X31" s="4"/>
      <c r="Y31" s="1">
        <v>17</v>
      </c>
      <c r="Z31" s="1">
        <f>CEILING(Demon!$B19 / IF(Demon!$D19&lt; 10.8, $AB$5, $AB$5 / (Demon!$D19 / 10.8)),1)</f>
        <v>5</v>
      </c>
      <c r="AA31" s="1">
        <f>CEILING(Elf!$B19 / IF(Elf!$D19 &lt; 10.8, $AB$5, $AB$5 / (Elf!$D19 / 10.8)),1)</f>
        <v>5</v>
      </c>
      <c r="AB31" s="1">
        <f>CEILING(Beastgirl!$B19 / IF(Beastgirl!$D19&lt; 10.8, $AB$5, $AB$5 / (Beastgirl!$D19 / 10.8)),1)</f>
        <v>9</v>
      </c>
      <c r="AC31" s="1">
        <f>CEILING(Warrior!$B19 / IF(Warrior!$D19&lt; 10.8, $AB$5, $AB$5 / (Warrior!$D19 / 10.8)),1)</f>
        <v>6</v>
      </c>
      <c r="AD31" s="4"/>
      <c r="AE31" s="4"/>
      <c r="AF31" s="4"/>
      <c r="AG31" s="4"/>
    </row>
    <row r="32" spans="3:33" s="1" customFormat="1" x14ac:dyDescent="0.3">
      <c r="C32" s="1">
        <v>18</v>
      </c>
      <c r="D32" s="1">
        <f>CEILING(Demon!$B20/ IF(Demon!$D20&lt; 10.8, $F$5, $F$5 / (Demon!$D20 / 10.8)),1)</f>
        <v>10</v>
      </c>
      <c r="E32" s="1">
        <f>CEILING(Elf!$B20 / IF(Elf!$D20 &lt; 10.8, $F$5,$F$5 / (Elf!$D20 / 10.8)),1)</f>
        <v>10</v>
      </c>
      <c r="F32" s="1">
        <f>CEILING(Beastgirl!$B20 / IF(Beastgirl!$D20&lt; 10.8, $F$5, $F$5 / (Beastgirl!$D20 / 10.8)),1)</f>
        <v>18</v>
      </c>
      <c r="G32" s="1">
        <f>CEILING(Warrior!$B20 / IF(Warrior!$D20&lt; 10.8, $F$5, $F$5 / (Warrior!$D20 / 10.8)),1)</f>
        <v>13</v>
      </c>
      <c r="I32" s="4"/>
      <c r="J32" s="4"/>
      <c r="K32" s="4"/>
      <c r="L32" s="4"/>
      <c r="M32" s="4"/>
      <c r="N32" s="1">
        <v>18</v>
      </c>
      <c r="O32" s="1">
        <f>CEILING(Demon!$B20 / IF(Demon!$D20&lt; 10.8, $Q$5, $Q$5 / (Demon!$D20/ 10.8)),1)</f>
        <v>7</v>
      </c>
      <c r="P32" s="1">
        <f>CEILING(Elf!$B20/ IF(Elf!$D20 &lt; 10.8, $Q$5, $Q$5 / (Elf!$D20 / 10.8)),1)</f>
        <v>7</v>
      </c>
      <c r="Q32" s="1">
        <f>CEILING(Beastgirl!$B20 / IF(Beastgirl!$D20&lt; 10.8, $Q$5, $Q$5 / (Beastgirl!$D20 / 10.8)),1)</f>
        <v>12</v>
      </c>
      <c r="R32" s="1">
        <f>CEILING(Warrior!$B20 / IF(Warrior!$D20&lt; 10.8, $Q$5, $Q$5 / (Warrior!$D20 / 10.8)),1)</f>
        <v>9</v>
      </c>
      <c r="S32" s="4"/>
      <c r="T32" s="4"/>
      <c r="U32" s="4"/>
      <c r="W32" s="4"/>
      <c r="X32" s="4"/>
      <c r="Y32" s="1">
        <v>18</v>
      </c>
      <c r="Z32" s="1">
        <f>CEILING(Demon!$B20 / IF(Demon!$D20&lt; 10.8, $AB$5, $AB$5 / (Demon!$D20 / 10.8)),1)</f>
        <v>5</v>
      </c>
      <c r="AA32" s="1">
        <f>CEILING(Elf!$B20 / IF(Elf!$D20 &lt; 10.8, $AB$5, $AB$5 / (Elf!$D20 / 10.8)),1)</f>
        <v>5</v>
      </c>
      <c r="AB32" s="1">
        <f>CEILING(Beastgirl!$B20 / IF(Beastgirl!$D20&lt; 10.8, $AB$5, $AB$5 / (Beastgirl!$D20 / 10.8)),1)</f>
        <v>9</v>
      </c>
      <c r="AC32" s="1">
        <f>CEILING(Warrior!$B20 / IF(Warrior!$D20&lt; 10.8, $AB$5, $AB$5 / (Warrior!$D20 / 10.8)),1)</f>
        <v>7</v>
      </c>
      <c r="AD32" s="4"/>
      <c r="AE32" s="4"/>
      <c r="AF32" s="4"/>
      <c r="AG32" s="4"/>
    </row>
    <row r="33" spans="1:33" s="1" customFormat="1" x14ac:dyDescent="0.3">
      <c r="C33" s="1">
        <v>19</v>
      </c>
      <c r="D33" s="1">
        <f>CEILING(Demon!$B21/ IF(Demon!$D21&lt; 10.8, $F$5, $F$5 / (Demon!$D21 / 10.8)),1)</f>
        <v>11</v>
      </c>
      <c r="E33" s="1">
        <f>CEILING(Elf!$B21 / IF(Elf!$D21 &lt; 10.8, $F$5,$F$5 / (Elf!$D21 / 10.8)),1)</f>
        <v>11</v>
      </c>
      <c r="F33" s="1">
        <f>CEILING(Beastgirl!$B21 / IF(Beastgirl!$D21&lt; 10.8, $F$5, $F$5 / (Beastgirl!$D21 / 10.8)),1)</f>
        <v>20</v>
      </c>
      <c r="G33" s="1">
        <f>CEILING(Warrior!$B21 / IF(Warrior!$D21&lt; 10.8, $F$5, $F$5 / (Warrior!$D21 / 10.8)),1)</f>
        <v>14</v>
      </c>
      <c r="I33" s="4"/>
      <c r="J33" s="4"/>
      <c r="K33" s="4"/>
      <c r="L33" s="4"/>
      <c r="M33" s="4"/>
      <c r="N33" s="1">
        <v>19</v>
      </c>
      <c r="O33" s="1">
        <f>CEILING(Demon!$B21 / IF(Demon!$D21&lt; 10.8, $Q$5, $Q$5 / (Demon!$D21/ 10.8)),1)</f>
        <v>7</v>
      </c>
      <c r="P33" s="1">
        <f>CEILING(Elf!$B21/ IF(Elf!$D21 &lt; 10.8, $Q$5, $Q$5 / (Elf!$D21 / 10.8)),1)</f>
        <v>8</v>
      </c>
      <c r="Q33" s="1">
        <f>CEILING(Beastgirl!$B21 / IF(Beastgirl!$D21&lt; 10.8, $Q$5, $Q$5 / (Beastgirl!$D21 / 10.8)),1)</f>
        <v>13</v>
      </c>
      <c r="R33" s="1">
        <f>CEILING(Warrior!$B21 / IF(Warrior!$D21&lt; 10.8, $Q$5, $Q$5 / (Warrior!$D21 / 10.8)),1)</f>
        <v>9</v>
      </c>
      <c r="S33" s="4"/>
      <c r="T33" s="4"/>
      <c r="U33" s="4"/>
      <c r="W33" s="4"/>
      <c r="X33" s="4"/>
      <c r="Y33" s="1">
        <v>19</v>
      </c>
      <c r="Z33" s="1">
        <f>CEILING(Demon!$B21 / IF(Demon!$D21&lt; 10.8, $AB$5, $AB$5 / (Demon!$D21 / 10.8)),1)</f>
        <v>6</v>
      </c>
      <c r="AA33" s="1">
        <f>CEILING(Elf!$B21 / IF(Elf!$D21 &lt; 10.8, $AB$5, $AB$5 / (Elf!$D21 / 10.8)),1)</f>
        <v>6</v>
      </c>
      <c r="AB33" s="1">
        <f>CEILING(Beastgirl!$B21 / IF(Beastgirl!$D21&lt; 10.8, $AB$5, $AB$5 / (Beastgirl!$D21 / 10.8)),1)</f>
        <v>10</v>
      </c>
      <c r="AC33" s="1">
        <f>CEILING(Warrior!$B21 / IF(Warrior!$D21&lt; 10.8, $AB$5, $AB$5 / (Warrior!$D21 / 10.8)),1)</f>
        <v>7</v>
      </c>
      <c r="AD33" s="4"/>
      <c r="AE33" s="4"/>
      <c r="AF33" s="4"/>
      <c r="AG33" s="4"/>
    </row>
    <row r="34" spans="1:33" s="1" customFormat="1" x14ac:dyDescent="0.3">
      <c r="C34" s="1">
        <v>20</v>
      </c>
      <c r="D34" s="1">
        <f>CEILING(Demon!$B22/ IF(Demon!$D22&lt; 10.8, $F$5, $F$5 / (Demon!$D22 / 10.8)),1)</f>
        <v>11</v>
      </c>
      <c r="E34" s="1">
        <f>CEILING(Elf!$B22 / IF(Elf!$D22 &lt; 10.8, $F$5,$F$5 / (Elf!$D22 / 10.8)),1)</f>
        <v>12</v>
      </c>
      <c r="F34" s="1">
        <f>CEILING(Beastgirl!$B22 / IF(Beastgirl!$D22&lt; 10.8, $F$5, $F$5 / (Beastgirl!$D22 / 10.8)),1)</f>
        <v>22</v>
      </c>
      <c r="G34" s="1">
        <f>CEILING(Warrior!$B22 / IF(Warrior!$D22&lt; 10.8, $F$5, $F$5 / (Warrior!$D22 / 10.8)),1)</f>
        <v>15</v>
      </c>
      <c r="I34" s="4"/>
      <c r="J34" s="4"/>
      <c r="K34" s="4"/>
      <c r="L34" s="4"/>
      <c r="M34" s="4"/>
      <c r="N34" s="1">
        <v>20</v>
      </c>
      <c r="O34" s="1">
        <f>CEILING(Demon!$B22 / IF(Demon!$D22&lt; 10.8, $Q$5, $Q$5 / (Demon!$D22/ 10.8)),1)</f>
        <v>8</v>
      </c>
      <c r="P34" s="1">
        <f>CEILING(Elf!$B22/ IF(Elf!$D22 &lt; 10.8, $Q$5, $Q$5 / (Elf!$D22 / 10.8)),1)</f>
        <v>8</v>
      </c>
      <c r="Q34" s="1">
        <f>CEILING(Beastgirl!$B22 / IF(Beastgirl!$D22&lt; 10.8, $Q$5, $Q$5 / (Beastgirl!$D22 / 10.8)),1)</f>
        <v>15</v>
      </c>
      <c r="R34" s="1">
        <f>CEILING(Warrior!$B22 / IF(Warrior!$D22&lt; 10.8, $Q$5, $Q$5 / (Warrior!$D22 / 10.8)),1)</f>
        <v>10</v>
      </c>
      <c r="S34" s="4"/>
      <c r="T34" s="4"/>
      <c r="U34" s="4"/>
      <c r="W34" s="4"/>
      <c r="X34" s="4"/>
      <c r="Y34" s="1">
        <v>20</v>
      </c>
      <c r="Z34" s="1">
        <f>CEILING(Demon!$B22 / IF(Demon!$D22&lt; 10.8, $AB$5, $AB$5 / (Demon!$D22 / 10.8)),1)</f>
        <v>6</v>
      </c>
      <c r="AA34" s="1">
        <f>CEILING(Elf!$B22 / IF(Elf!$D22 &lt; 10.8, $AB$5, $AB$5 / (Elf!$D22 / 10.8)),1)</f>
        <v>6</v>
      </c>
      <c r="AB34" s="1">
        <f>CEILING(Beastgirl!$B22 / IF(Beastgirl!$D22&lt; 10.8, $AB$5, $AB$5 / (Beastgirl!$D22 / 10.8)),1)</f>
        <v>11</v>
      </c>
      <c r="AC34" s="1">
        <f>CEILING(Warrior!$B22 / IF(Warrior!$D22&lt; 10.8, $AB$5, $AB$5 / (Warrior!$D22 / 10.8)),1)</f>
        <v>8</v>
      </c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ht="25.8" x14ac:dyDescent="0.3">
      <c r="C36" s="53" t="s">
        <v>50</v>
      </c>
      <c r="D36" s="53"/>
      <c r="E36" s="53"/>
      <c r="F36" s="53"/>
      <c r="G36" s="53"/>
      <c r="I36" s="4"/>
      <c r="J36" s="4"/>
      <c r="K36" s="4"/>
      <c r="L36" s="4"/>
      <c r="M36" s="4"/>
      <c r="N36" s="53" t="s">
        <v>50</v>
      </c>
      <c r="O36" s="53"/>
      <c r="P36" s="53"/>
      <c r="Q36" s="53"/>
      <c r="R36" s="53"/>
      <c r="S36" s="4"/>
      <c r="T36" s="4"/>
      <c r="U36" s="4"/>
      <c r="W36" s="4"/>
      <c r="X36" s="4"/>
      <c r="Y36" s="53" t="s">
        <v>50</v>
      </c>
      <c r="Z36" s="53"/>
      <c r="AA36" s="53"/>
      <c r="AB36" s="53"/>
      <c r="AC36" s="53"/>
      <c r="AD36" s="4"/>
      <c r="AE36" s="4"/>
      <c r="AF36" s="4"/>
      <c r="AG36" s="4"/>
    </row>
    <row r="37" spans="1:33" s="1" customFormat="1" ht="21" x14ac:dyDescent="0.3">
      <c r="C37" s="6" t="s">
        <v>11</v>
      </c>
      <c r="D37" s="6" t="s">
        <v>12</v>
      </c>
      <c r="E37" s="6" t="s">
        <v>13</v>
      </c>
      <c r="F37" s="6" t="s">
        <v>14</v>
      </c>
      <c r="G37" s="6" t="s">
        <v>15</v>
      </c>
      <c r="I37" s="4"/>
      <c r="J37" s="4"/>
      <c r="K37" s="4"/>
      <c r="L37" s="4"/>
      <c r="M37" s="4"/>
      <c r="N37" s="6" t="s">
        <v>11</v>
      </c>
      <c r="O37" s="6" t="s">
        <v>12</v>
      </c>
      <c r="P37" s="6" t="s">
        <v>13</v>
      </c>
      <c r="Q37" s="6" t="s">
        <v>14</v>
      </c>
      <c r="R37" s="6" t="s">
        <v>15</v>
      </c>
      <c r="S37" s="4"/>
      <c r="T37" s="4"/>
      <c r="U37" s="4"/>
      <c r="W37" s="4"/>
      <c r="X37" s="4"/>
      <c r="Y37" s="6" t="s">
        <v>11</v>
      </c>
      <c r="Z37" s="6" t="s">
        <v>12</v>
      </c>
      <c r="AA37" s="6" t="s">
        <v>13</v>
      </c>
      <c r="AB37" s="6" t="s">
        <v>14</v>
      </c>
      <c r="AC37" s="6" t="s">
        <v>15</v>
      </c>
      <c r="AD37" s="4"/>
      <c r="AE37" s="4"/>
      <c r="AF37" s="4"/>
      <c r="AG37" s="4"/>
    </row>
    <row r="38" spans="1:33" s="1" customFormat="1" x14ac:dyDescent="0.3">
      <c r="C38" s="1">
        <v>11</v>
      </c>
      <c r="D38" s="1">
        <f>CEILING(Demon!$B13/ IF(Demon!$D13&lt; 10.8, $F$6, $F$6 / (Demon!$D13 / 10.8)),1)</f>
        <v>3</v>
      </c>
      <c r="E38" s="1">
        <f>CEILING(Elf!$B13 / IF(Elf!$D13&lt; 10.8, $F$6,$F$6 / (Elf!$D13 / 10.8)),1)</f>
        <v>3</v>
      </c>
      <c r="F38" s="1">
        <f>CEILING(Beastgirl!$B13 / IF(Beastgirl!$D13&lt; 10.8, $F$6, $F$6 / (Beastgirl!$D13/ 10.8)),1)</f>
        <v>6</v>
      </c>
      <c r="G38" s="1">
        <f>CEILING(Warrior!$B13/ IF(Warrior!$D13&lt; 10.8, $F$6, $F$6 / (Warrior!$D13 / 10.8)),1)</f>
        <v>4</v>
      </c>
      <c r="I38" s="4"/>
      <c r="J38" s="4"/>
      <c r="K38" s="4"/>
      <c r="L38" s="4"/>
      <c r="M38" s="4"/>
      <c r="N38" s="1">
        <v>11</v>
      </c>
      <c r="O38" s="1">
        <f>CEILING(Demon!$B13 / IF(Demon!$D13&lt; 10.8, $Q$6, $Q$6 / (Demon!$D13/ 10.8)),1)</f>
        <v>2</v>
      </c>
      <c r="P38" s="1">
        <f>CEILING(Elf!$B13/ IF(Elf!$D13 &lt; 10.8, $Q$6, $Q$6 / (Elf!$D13 / 10.8)),1)</f>
        <v>2</v>
      </c>
      <c r="Q38" s="1">
        <f>CEILING(Beastgirl!$B13/ IF(Beastgirl!$D13&lt; 10.8, $Q$6, $Q$6 / (Beastgirl!$D13 / 10.8)),1)</f>
        <v>4</v>
      </c>
      <c r="R38" s="1">
        <f>CEILING(Warrior!$B13 / IF(Warrior!$D13&lt; 10.8, $Q$6, $Q$6 / (Warrior!$D13 / 10.8)),1)</f>
        <v>3</v>
      </c>
      <c r="S38" s="4"/>
      <c r="T38" s="4"/>
      <c r="U38" s="4"/>
      <c r="W38" s="4"/>
      <c r="X38" s="4"/>
      <c r="Y38" s="1">
        <v>11</v>
      </c>
      <c r="Z38" s="1">
        <f>CEILING(Demon!$B13 / IF(Demon!$D13&lt; 10.8, $AB$6, $AB$6 / (Demon!$D13 / 10.8)),1)</f>
        <v>2</v>
      </c>
      <c r="AA38" s="1">
        <f>CEILING(Elf!$B13 / IF(Elf!$D13 &lt; 10.8, $AB$6, $AB$6 / (Elf!$D13 / 10.8)),1)</f>
        <v>2</v>
      </c>
      <c r="AB38" s="1">
        <f>CEILING(Beastgirl!$B13 / IF(Beastgirl!$D13&lt; 10.8, $AB$6, $AB$6 / (Beastgirl!$D13 / 10.8)),1)</f>
        <v>3</v>
      </c>
      <c r="AC38" s="1">
        <f>CEILING(Warrior!$B13 / IF(Warrior!$D13&lt; 10.8, $AB$6, $AB$6 / (Warrior!$D13 / 10.8)),1)</f>
        <v>2</v>
      </c>
      <c r="AD38" s="4"/>
      <c r="AE38" s="4"/>
      <c r="AF38" s="4"/>
      <c r="AG38" s="4"/>
    </row>
    <row r="39" spans="1:33" s="1" customFormat="1" x14ac:dyDescent="0.3">
      <c r="C39" s="1">
        <v>12</v>
      </c>
      <c r="D39" s="1">
        <f>CEILING(Demon!$B14/ IF(Demon!$D14&lt; 10.8, $F$6, $F$6 / (Demon!$D14 / 10.8)),1)</f>
        <v>4</v>
      </c>
      <c r="E39" s="1">
        <f>CEILING(Elf!$B14 / IF(Elf!$D14&lt; 10.8, $F$6,$F$6 / (Elf!$D14 / 10.8)),1)</f>
        <v>4</v>
      </c>
      <c r="F39" s="1">
        <f>CEILING(Beastgirl!$B14 / IF(Beastgirl!$D14&lt; 10.8, $F$6, $F$6 / (Beastgirl!$D14/ 10.8)),1)</f>
        <v>7</v>
      </c>
      <c r="G39" s="1">
        <f>CEILING(Warrior!$B14/ IF(Warrior!$D14&lt; 10.8, $F$6, $F$6 / (Warrior!$D14 / 10.8)),1)</f>
        <v>5</v>
      </c>
      <c r="I39" s="4"/>
      <c r="J39" s="4"/>
      <c r="K39" s="4"/>
      <c r="L39" s="4"/>
      <c r="M39" s="4"/>
      <c r="N39" s="1">
        <v>12</v>
      </c>
      <c r="O39" s="1">
        <f>CEILING(Demon!$B14 / IF(Demon!$D14&lt; 10.8, $Q$6, $Q$6 / (Demon!$D14/ 10.8)),1)</f>
        <v>3</v>
      </c>
      <c r="P39" s="1">
        <f>CEILING(Elf!$B14/ IF(Elf!$D14 &lt; 10.8, $Q$6, $Q$6 / (Elf!$D14 / 10.8)),1)</f>
        <v>3</v>
      </c>
      <c r="Q39" s="1">
        <f>CEILING(Beastgirl!$B14/ IF(Beastgirl!$D14&lt; 10.8, $Q$6, $Q$6 / (Beastgirl!$D14 / 10.8)),1)</f>
        <v>5</v>
      </c>
      <c r="R39" s="1">
        <f>CEILING(Warrior!$B14 / IF(Warrior!$D14&lt; 10.8, $Q$6, $Q$6 / (Warrior!$D14 / 10.8)),1)</f>
        <v>3</v>
      </c>
      <c r="S39" s="4"/>
      <c r="T39" s="4"/>
      <c r="U39" s="4"/>
      <c r="W39" s="4"/>
      <c r="X39" s="4"/>
      <c r="Y39" s="1">
        <v>12</v>
      </c>
      <c r="Z39" s="1">
        <f>CEILING(Demon!$B14 / IF(Demon!$D14&lt; 10.8, $AB$6, $AB$6 / (Demon!$D14 / 10.8)),1)</f>
        <v>2</v>
      </c>
      <c r="AA39" s="1">
        <f>CEILING(Elf!$B14 / IF(Elf!$D14 &lt; 10.8, $AB$6, $AB$6 / (Elf!$D14 / 10.8)),1)</f>
        <v>2</v>
      </c>
      <c r="AB39" s="1">
        <f>CEILING(Beastgirl!$B14 / IF(Beastgirl!$D14&lt; 10.8, $AB$6, $AB$6 / (Beastgirl!$D14 / 10.8)),1)</f>
        <v>4</v>
      </c>
      <c r="AC39" s="1">
        <f>CEILING(Warrior!$B14 / IF(Warrior!$D14&lt; 10.8, $AB$6, $AB$6 / (Warrior!$D14 / 10.8)),1)</f>
        <v>3</v>
      </c>
      <c r="AD39" s="4"/>
      <c r="AE39" s="4"/>
      <c r="AF39" s="4"/>
      <c r="AG39" s="4"/>
    </row>
    <row r="40" spans="1:33" s="1" customFormat="1" x14ac:dyDescent="0.3">
      <c r="C40" s="1">
        <v>13</v>
      </c>
      <c r="D40" s="1">
        <f>CEILING(Demon!$B15/ IF(Demon!$D15&lt; 10.8, $F$6, $F$6 / (Demon!$D15 / 10.8)),1)</f>
        <v>4</v>
      </c>
      <c r="E40" s="1">
        <f>CEILING(Elf!$B15 / IF(Elf!$D15&lt; 10.8, $F$6,$F$6 / (Elf!$D15 / 10.8)),1)</f>
        <v>4</v>
      </c>
      <c r="F40" s="1">
        <f>CEILING(Beastgirl!$B15 / IF(Beastgirl!$D15&lt; 10.8, $F$6, $F$6 / (Beastgirl!$D15/ 10.8)),1)</f>
        <v>7</v>
      </c>
      <c r="G40" s="1">
        <f>CEILING(Warrior!$B15/ IF(Warrior!$D15&lt; 10.8, $F$6, $F$6 / (Warrior!$D15 / 10.8)),1)</f>
        <v>5</v>
      </c>
      <c r="I40" s="4"/>
      <c r="J40" s="4"/>
      <c r="K40" s="4"/>
      <c r="L40" s="4"/>
      <c r="M40" s="4"/>
      <c r="N40" s="1">
        <v>13</v>
      </c>
      <c r="O40" s="1">
        <f>CEILING(Demon!$B15 / IF(Demon!$D15&lt; 10.8, $Q$6, $Q$6 / (Demon!$D15/ 10.8)),1)</f>
        <v>3</v>
      </c>
      <c r="P40" s="1">
        <f>CEILING(Elf!$B15/ IF(Elf!$D15 &lt; 10.8, $Q$6, $Q$6 / (Elf!$D15 / 10.8)),1)</f>
        <v>3</v>
      </c>
      <c r="Q40" s="1">
        <f>CEILING(Beastgirl!$B15/ IF(Beastgirl!$D15&lt; 10.8, $Q$6, $Q$6 / (Beastgirl!$D15 / 10.8)),1)</f>
        <v>5</v>
      </c>
      <c r="R40" s="1">
        <f>CEILING(Warrior!$B15 / IF(Warrior!$D15&lt; 10.8, $Q$6, $Q$6 / (Warrior!$D15 / 10.8)),1)</f>
        <v>4</v>
      </c>
      <c r="S40" s="4"/>
      <c r="T40" s="4"/>
      <c r="U40" s="4"/>
      <c r="W40" s="4"/>
      <c r="X40" s="4"/>
      <c r="Y40" s="1">
        <v>13</v>
      </c>
      <c r="Z40" s="1">
        <f>CEILING(Demon!$B15 / IF(Demon!$D15&lt; 10.8, $AB$6, $AB$6 / (Demon!$D15 / 10.8)),1)</f>
        <v>2</v>
      </c>
      <c r="AA40" s="1">
        <f>CEILING(Elf!$B15 / IF(Elf!$D15 &lt; 10.8, $AB$6, $AB$6 / (Elf!$D15 / 10.8)),1)</f>
        <v>2</v>
      </c>
      <c r="AB40" s="1">
        <f>CEILING(Beastgirl!$B15 / IF(Beastgirl!$D15&lt; 10.8, $AB$6, $AB$6 / (Beastgirl!$D15 / 10.8)),1)</f>
        <v>4</v>
      </c>
      <c r="AC40" s="1">
        <f>CEILING(Warrior!$B15 / IF(Warrior!$D15&lt; 10.8, $AB$6, $AB$6 / (Warrior!$D15 / 10.8)),1)</f>
        <v>3</v>
      </c>
      <c r="AD40" s="4"/>
      <c r="AE40" s="4"/>
      <c r="AF40" s="4"/>
      <c r="AG40" s="4"/>
    </row>
    <row r="41" spans="1:33" s="1" customFormat="1" x14ac:dyDescent="0.3">
      <c r="C41" s="1">
        <v>14</v>
      </c>
      <c r="D41" s="1">
        <f>CEILING(Demon!$B16/ IF(Demon!$D16&lt; 10.8, $F$6, $F$6 / (Demon!$D16 / 10.8)),1)</f>
        <v>4</v>
      </c>
      <c r="E41" s="1">
        <f>CEILING(Elf!$B16 / IF(Elf!$D16&lt; 10.8, $F$6,$F$6 / (Elf!$D16 / 10.8)),1)</f>
        <v>5</v>
      </c>
      <c r="F41" s="1">
        <f>CEILING(Beastgirl!$B16 / IF(Beastgirl!$D16&lt; 10.8, $F$6, $F$6 / (Beastgirl!$D16/ 10.8)),1)</f>
        <v>8</v>
      </c>
      <c r="G41" s="1">
        <f>CEILING(Warrior!$B16/ IF(Warrior!$D16&lt; 10.8, $F$6, $F$6 / (Warrior!$D16 / 10.8)),1)</f>
        <v>6</v>
      </c>
      <c r="I41" s="4"/>
      <c r="J41" s="4"/>
      <c r="K41" s="4"/>
      <c r="L41" s="4"/>
      <c r="M41" s="4"/>
      <c r="N41" s="1">
        <v>14</v>
      </c>
      <c r="O41" s="1">
        <f>CEILING(Demon!$B16 / IF(Demon!$D16&lt; 10.8, $Q$6, $Q$6 / (Demon!$D16/ 10.8)),1)</f>
        <v>3</v>
      </c>
      <c r="P41" s="1">
        <f>CEILING(Elf!$B16/ IF(Elf!$D16 &lt; 10.8, $Q$6, $Q$6 / (Elf!$D16 / 10.8)),1)</f>
        <v>3</v>
      </c>
      <c r="Q41" s="1">
        <f>CEILING(Beastgirl!$B16/ IF(Beastgirl!$D16&lt; 10.8, $Q$6, $Q$6 / (Beastgirl!$D16 / 10.8)),1)</f>
        <v>6</v>
      </c>
      <c r="R41" s="1">
        <f>CEILING(Warrior!$B16 / IF(Warrior!$D16&lt; 10.8, $Q$6, $Q$6 / (Warrior!$D16 / 10.8)),1)</f>
        <v>4</v>
      </c>
      <c r="S41" s="4"/>
      <c r="T41" s="4"/>
      <c r="U41" s="4"/>
      <c r="W41" s="4"/>
      <c r="X41" s="4"/>
      <c r="Y41" s="1">
        <v>14</v>
      </c>
      <c r="Z41" s="1">
        <f>CEILING(Demon!$B16 / IF(Demon!$D16&lt; 10.8, $AB$6, $AB$6 / (Demon!$D16 / 10.8)),1)</f>
        <v>2</v>
      </c>
      <c r="AA41" s="1">
        <f>CEILING(Elf!$B16 / IF(Elf!$D16 &lt; 10.8, $AB$6, $AB$6 / (Elf!$D16 / 10.8)),1)</f>
        <v>3</v>
      </c>
      <c r="AB41" s="1">
        <f>CEILING(Beastgirl!$B16 / IF(Beastgirl!$D16&lt; 10.8, $AB$6, $AB$6 / (Beastgirl!$D16 / 10.8)),1)</f>
        <v>4</v>
      </c>
      <c r="AC41" s="1">
        <f>CEILING(Warrior!$B16 / IF(Warrior!$D16&lt; 10.8, $AB$6, $AB$6 / (Warrior!$D16 / 10.8)),1)</f>
        <v>3</v>
      </c>
      <c r="AD41" s="4"/>
      <c r="AE41" s="4"/>
      <c r="AF41" s="4"/>
      <c r="AG41" s="4"/>
    </row>
    <row r="42" spans="1:33" s="1" customFormat="1" x14ac:dyDescent="0.3">
      <c r="C42" s="1">
        <v>15</v>
      </c>
      <c r="D42" s="1">
        <f>CEILING(Demon!$B17/ IF(Demon!$D17&lt; 10.8, $F$6, $F$6 / (Demon!$D17 / 10.8)),1)</f>
        <v>7</v>
      </c>
      <c r="E42" s="1">
        <f>CEILING(Elf!$B17 / IF(Elf!$D17&lt; 10.8, $F$6,$F$6 / (Elf!$D17 / 10.8)),1)</f>
        <v>7</v>
      </c>
      <c r="F42" s="1">
        <f>CEILING(Beastgirl!$B17 / IF(Beastgirl!$D17&lt; 10.8, $F$6, $F$6 / (Beastgirl!$D17/ 10.8)),1)</f>
        <v>13</v>
      </c>
      <c r="G42" s="1">
        <f>CEILING(Warrior!$B17/ IF(Warrior!$D17&lt; 10.8, $F$6, $F$6 / (Warrior!$D17 / 10.8)),1)</f>
        <v>9</v>
      </c>
      <c r="I42" s="4"/>
      <c r="J42" s="4"/>
      <c r="K42" s="4"/>
      <c r="L42" s="4"/>
      <c r="M42" s="4"/>
      <c r="N42" s="1">
        <v>15</v>
      </c>
      <c r="O42" s="1">
        <f>CEILING(Demon!$B17 / IF(Demon!$D17&lt; 10.8, $Q$6, $Q$6 / (Demon!$D17/ 10.8)),1)</f>
        <v>5</v>
      </c>
      <c r="P42" s="1">
        <f>CEILING(Elf!$B17/ IF(Elf!$D17 &lt; 10.8, $Q$6, $Q$6 / (Elf!$D17 / 10.8)),1)</f>
        <v>5</v>
      </c>
      <c r="Q42" s="1">
        <f>CEILING(Beastgirl!$B17/ IF(Beastgirl!$D17&lt; 10.8, $Q$6, $Q$6 / (Beastgirl!$D17 / 10.8)),1)</f>
        <v>9</v>
      </c>
      <c r="R42" s="1">
        <f>CEILING(Warrior!$B17 / IF(Warrior!$D17&lt; 10.8, $Q$6, $Q$6 / (Warrior!$D17 / 10.8)),1)</f>
        <v>6</v>
      </c>
      <c r="S42" s="4"/>
      <c r="T42" s="4"/>
      <c r="U42" s="4"/>
      <c r="W42" s="4"/>
      <c r="X42" s="4"/>
      <c r="Y42" s="1">
        <v>15</v>
      </c>
      <c r="Z42" s="1">
        <f>CEILING(Demon!$B17 / IF(Demon!$D17&lt; 10.8, $AB$6, $AB$6 / (Demon!$D17 / 10.8)),1)</f>
        <v>4</v>
      </c>
      <c r="AA42" s="1">
        <f>CEILING(Elf!$B17 / IF(Elf!$D17 &lt; 10.8, $AB$6, $AB$6 / (Elf!$D17 / 10.8)),1)</f>
        <v>4</v>
      </c>
      <c r="AB42" s="1">
        <f>CEILING(Beastgirl!$B17 / IF(Beastgirl!$D17&lt; 10.8, $AB$6, $AB$6 / (Beastgirl!$D17 / 10.8)),1)</f>
        <v>7</v>
      </c>
      <c r="AC42" s="1">
        <f>CEILING(Warrior!$B17 / IF(Warrior!$D17&lt; 10.8, $AB$6, $AB$6 / (Warrior!$D17 / 10.8)),1)</f>
        <v>5</v>
      </c>
      <c r="AD42" s="4"/>
      <c r="AE42" s="4"/>
      <c r="AF42" s="4"/>
      <c r="AG42" s="4"/>
    </row>
    <row r="43" spans="1:33" s="1" customFormat="1" x14ac:dyDescent="0.3">
      <c r="C43" s="1">
        <v>16</v>
      </c>
      <c r="D43" s="1">
        <f>CEILING(Demon!$B18/ IF(Demon!$D18&lt; 10.8, $F$6, $F$6 / (Demon!$D18 / 10.8)),1)</f>
        <v>8</v>
      </c>
      <c r="E43" s="1">
        <f>CEILING(Elf!$B18 / IF(Elf!$D18&lt; 10.8, $F$6,$F$6 / (Elf!$D18 / 10.8)),1)</f>
        <v>8</v>
      </c>
      <c r="F43" s="1">
        <f>CEILING(Beastgirl!$B18 / IF(Beastgirl!$D18&lt; 10.8, $F$6, $F$6 / (Beastgirl!$D18/ 10.8)),1)</f>
        <v>15</v>
      </c>
      <c r="G43" s="1">
        <f>CEILING(Warrior!$B18/ IF(Warrior!$D18&lt; 10.8, $F$6, $F$6 / (Warrior!$D18 / 10.8)),1)</f>
        <v>10</v>
      </c>
      <c r="I43" s="4"/>
      <c r="J43" s="4"/>
      <c r="K43" s="4"/>
      <c r="L43" s="4"/>
      <c r="M43" s="4"/>
      <c r="N43" s="1">
        <v>16</v>
      </c>
      <c r="O43" s="1">
        <f>CEILING(Demon!$B18 / IF(Demon!$D18&lt; 10.8, $Q$6, $Q$6 / (Demon!$D18/ 10.8)),1)</f>
        <v>5</v>
      </c>
      <c r="P43" s="1">
        <f>CEILING(Elf!$B18/ IF(Elf!$D18 &lt; 10.8, $Q$6, $Q$6 / (Elf!$D18 / 10.8)),1)</f>
        <v>6</v>
      </c>
      <c r="Q43" s="1">
        <f>CEILING(Beastgirl!$B18/ IF(Beastgirl!$D18&lt; 10.8, $Q$6, $Q$6 / (Beastgirl!$D18 / 10.8)),1)</f>
        <v>10</v>
      </c>
      <c r="R43" s="1">
        <f>CEILING(Warrior!$B18 / IF(Warrior!$D18&lt; 10.8, $Q$6, $Q$6 / (Warrior!$D18 / 10.8)),1)</f>
        <v>7</v>
      </c>
      <c r="S43" s="4"/>
      <c r="T43" s="4"/>
      <c r="U43" s="4"/>
      <c r="W43" s="4"/>
      <c r="X43" s="4"/>
      <c r="Y43" s="1">
        <v>16</v>
      </c>
      <c r="Z43" s="1">
        <f>CEILING(Demon!$B18 / IF(Demon!$D18&lt; 10.8, $AB$6, $AB$6 / (Demon!$D18 / 10.8)),1)</f>
        <v>4</v>
      </c>
      <c r="AA43" s="1">
        <f>CEILING(Elf!$B18 / IF(Elf!$D18 &lt; 10.8, $AB$6, $AB$6 / (Elf!$D18 / 10.8)),1)</f>
        <v>4</v>
      </c>
      <c r="AB43" s="1">
        <f>CEILING(Beastgirl!$B18 / IF(Beastgirl!$D18&lt; 10.8, $AB$6, $AB$6 / (Beastgirl!$D18 / 10.8)),1)</f>
        <v>8</v>
      </c>
      <c r="AC43" s="1">
        <f>CEILING(Warrior!$B18 / IF(Warrior!$D18&lt; 10.8, $AB$6, $AB$6 / (Warrior!$D18 / 10.8)),1)</f>
        <v>5</v>
      </c>
      <c r="AD43" s="4"/>
      <c r="AE43" s="4"/>
      <c r="AF43" s="4"/>
      <c r="AG43" s="4"/>
    </row>
    <row r="44" spans="1:33" s="1" customFormat="1" x14ac:dyDescent="0.3">
      <c r="C44" s="1">
        <v>17</v>
      </c>
      <c r="D44" s="1">
        <f>CEILING(Demon!$B19/ IF(Demon!$D19&lt; 10.8, $F$6, $F$6 / (Demon!$D19 / 10.8)),1)</f>
        <v>8</v>
      </c>
      <c r="E44" s="1">
        <f>CEILING(Elf!$B19 / IF(Elf!$D19&lt; 10.8, $F$6,$F$6 / (Elf!$D19 / 10.8)),1)</f>
        <v>9</v>
      </c>
      <c r="F44" s="1">
        <f>CEILING(Beastgirl!$B19 / IF(Beastgirl!$D19&lt; 10.8, $F$6, $F$6 / (Beastgirl!$D19/ 10.8)),1)</f>
        <v>16</v>
      </c>
      <c r="G44" s="1">
        <f>CEILING(Warrior!$B19/ IF(Warrior!$D19&lt; 10.8, $F$6, $F$6 / (Warrior!$D19 / 10.8)),1)</f>
        <v>11</v>
      </c>
      <c r="I44" s="4"/>
      <c r="J44" s="4"/>
      <c r="K44" s="4"/>
      <c r="L44" s="4"/>
      <c r="M44" s="4"/>
      <c r="N44" s="1">
        <v>17</v>
      </c>
      <c r="O44" s="1">
        <f>CEILING(Demon!$B19 / IF(Demon!$D19&lt; 10.8, $Q$6, $Q$6 / (Demon!$D19/ 10.8)),1)</f>
        <v>6</v>
      </c>
      <c r="P44" s="1">
        <f>CEILING(Elf!$B19/ IF(Elf!$D19 &lt; 10.8, $Q$6, $Q$6 / (Elf!$D19 / 10.8)),1)</f>
        <v>6</v>
      </c>
      <c r="Q44" s="1">
        <f>CEILING(Beastgirl!$B19/ IF(Beastgirl!$D19&lt; 10.8, $Q$6, $Q$6 / (Beastgirl!$D19 / 10.8)),1)</f>
        <v>11</v>
      </c>
      <c r="R44" s="1">
        <f>CEILING(Warrior!$B19 / IF(Warrior!$D19&lt; 10.8, $Q$6, $Q$6 / (Warrior!$D19 / 10.8)),1)</f>
        <v>8</v>
      </c>
      <c r="S44" s="4"/>
      <c r="T44" s="4"/>
      <c r="U44" s="4"/>
      <c r="W44" s="4"/>
      <c r="X44" s="4"/>
      <c r="Y44" s="1">
        <v>17</v>
      </c>
      <c r="Z44" s="1">
        <f>CEILING(Demon!$B19 / IF(Demon!$D19&lt; 10.8, $AB$6, $AB$6 / (Demon!$D19 / 10.8)),1)</f>
        <v>4</v>
      </c>
      <c r="AA44" s="1">
        <f>CEILING(Elf!$B19 / IF(Elf!$D19 &lt; 10.8, $AB$6, $AB$6 / (Elf!$D19 / 10.8)),1)</f>
        <v>5</v>
      </c>
      <c r="AB44" s="1">
        <f>CEILING(Beastgirl!$B19 / IF(Beastgirl!$D19&lt; 10.8, $AB$6, $AB$6 / (Beastgirl!$D19 / 10.8)),1)</f>
        <v>8</v>
      </c>
      <c r="AC44" s="1">
        <f>CEILING(Warrior!$B19 / IF(Warrior!$D19&lt; 10.8, $AB$6, $AB$6 / (Warrior!$D19 / 10.8)),1)</f>
        <v>6</v>
      </c>
      <c r="AD44" s="4"/>
      <c r="AE44" s="4"/>
      <c r="AF44" s="4"/>
      <c r="AG44" s="4"/>
    </row>
    <row r="45" spans="1:33" s="1" customFormat="1" x14ac:dyDescent="0.3">
      <c r="C45" s="1">
        <v>18</v>
      </c>
      <c r="D45" s="1">
        <f>CEILING(Demon!$B20/ IF(Demon!$D20&lt; 10.8, $F$6, $F$6 / (Demon!$D20 / 10.8)),1)</f>
        <v>9</v>
      </c>
      <c r="E45" s="1">
        <f>CEILING(Elf!$B20 / IF(Elf!$D20&lt; 10.8, $F$6,$F$6 / (Elf!$D20 / 10.8)),1)</f>
        <v>10</v>
      </c>
      <c r="F45" s="1">
        <f>CEILING(Beastgirl!$B20 / IF(Beastgirl!$D20&lt; 10.8, $F$6, $F$6 / (Beastgirl!$D20/ 10.8)),1)</f>
        <v>17</v>
      </c>
      <c r="G45" s="1">
        <f>CEILING(Warrior!$B20/ IF(Warrior!$D20&lt; 10.8, $F$6, $F$6 / (Warrior!$D20 / 10.8)),1)</f>
        <v>12</v>
      </c>
      <c r="I45" s="4"/>
      <c r="J45" s="4"/>
      <c r="K45" s="4"/>
      <c r="L45" s="4"/>
      <c r="M45" s="4"/>
      <c r="N45" s="1">
        <v>18</v>
      </c>
      <c r="O45" s="1">
        <f>CEILING(Demon!$B20 / IF(Demon!$D20&lt; 10.8, $Q$6, $Q$6 / (Demon!$D20/ 10.8)),1)</f>
        <v>6</v>
      </c>
      <c r="P45" s="1">
        <f>CEILING(Elf!$B20/ IF(Elf!$D20 &lt; 10.8, $Q$6, $Q$6 / (Elf!$D20 / 10.8)),1)</f>
        <v>7</v>
      </c>
      <c r="Q45" s="1">
        <f>CEILING(Beastgirl!$B20/ IF(Beastgirl!$D20&lt; 10.8, $Q$6, $Q$6 / (Beastgirl!$D20 / 10.8)),1)</f>
        <v>12</v>
      </c>
      <c r="R45" s="1">
        <f>CEILING(Warrior!$B20 / IF(Warrior!$D20&lt; 10.8, $Q$6, $Q$6 / (Warrior!$D20 / 10.8)),1)</f>
        <v>8</v>
      </c>
      <c r="S45" s="4"/>
      <c r="T45" s="4"/>
      <c r="U45" s="4"/>
      <c r="W45" s="4"/>
      <c r="X45" s="4"/>
      <c r="Y45" s="1">
        <v>18</v>
      </c>
      <c r="Z45" s="1">
        <f>CEILING(Demon!$B20 / IF(Demon!$D20&lt; 10.8, $AB$6, $AB$6 / (Demon!$D20 / 10.8)),1)</f>
        <v>5</v>
      </c>
      <c r="AA45" s="1">
        <f>CEILING(Elf!$B20 / IF(Elf!$D20 &lt; 10.8, $AB$6, $AB$6 / (Elf!$D20 / 10.8)),1)</f>
        <v>5</v>
      </c>
      <c r="AB45" s="1">
        <f>CEILING(Beastgirl!$B20 / IF(Beastgirl!$D20&lt; 10.8, $AB$6, $AB$6 / (Beastgirl!$D20 / 10.8)),1)</f>
        <v>9</v>
      </c>
      <c r="AC45" s="1">
        <f>CEILING(Warrior!$B20 / IF(Warrior!$D20&lt; 10.8, $AB$6, $AB$6 / (Warrior!$D20 / 10.8)),1)</f>
        <v>6</v>
      </c>
      <c r="AD45" s="4"/>
      <c r="AE45" s="4"/>
      <c r="AF45" s="4"/>
      <c r="AG45" s="4"/>
    </row>
    <row r="46" spans="1:33" s="1" customFormat="1" x14ac:dyDescent="0.3">
      <c r="C46" s="1">
        <v>19</v>
      </c>
      <c r="D46" s="1">
        <f>CEILING(Demon!$B21/ IF(Demon!$D21&lt; 10.8, $F$6, $F$6 / (Demon!$D21 / 10.8)),1)</f>
        <v>10</v>
      </c>
      <c r="E46" s="1">
        <f>CEILING(Elf!$B21 / IF(Elf!$D21&lt; 10.8, $F$6,$F$6 / (Elf!$D21 / 10.8)),1)</f>
        <v>11</v>
      </c>
      <c r="F46" s="1">
        <f>CEILING(Beastgirl!$B21 / IF(Beastgirl!$D21&lt; 10.8, $F$6, $F$6 / (Beastgirl!$D21/ 10.8)),1)</f>
        <v>19</v>
      </c>
      <c r="G46" s="1">
        <f>CEILING(Warrior!$B21/ IF(Warrior!$D21&lt; 10.8, $F$6, $F$6 / (Warrior!$D21 / 10.8)),1)</f>
        <v>13</v>
      </c>
      <c r="I46" s="4"/>
      <c r="J46" s="4"/>
      <c r="K46" s="4"/>
      <c r="L46" s="4"/>
      <c r="M46" s="4"/>
      <c r="N46" s="1">
        <v>19</v>
      </c>
      <c r="O46" s="1">
        <f>CEILING(Demon!$B21 / IF(Demon!$D21&lt; 10.8, $Q$6, $Q$6 / (Demon!$D21/ 10.8)),1)</f>
        <v>7</v>
      </c>
      <c r="P46" s="1">
        <f>CEILING(Elf!$B21/ IF(Elf!$D21 &lt; 10.8, $Q$6, $Q$6 / (Elf!$D21 / 10.8)),1)</f>
        <v>7</v>
      </c>
      <c r="Q46" s="1">
        <f>CEILING(Beastgirl!$B21/ IF(Beastgirl!$D21&lt; 10.8, $Q$6, $Q$6 / (Beastgirl!$D21 / 10.8)),1)</f>
        <v>13</v>
      </c>
      <c r="R46" s="1">
        <f>CEILING(Warrior!$B21 / IF(Warrior!$D21&lt; 10.8, $Q$6, $Q$6 / (Warrior!$D21 / 10.8)),1)</f>
        <v>9</v>
      </c>
      <c r="S46" s="4"/>
      <c r="T46" s="4"/>
      <c r="U46" s="4"/>
      <c r="W46" s="4"/>
      <c r="X46" s="4"/>
      <c r="Y46" s="1">
        <v>19</v>
      </c>
      <c r="Z46" s="1">
        <f>CEILING(Demon!$B21 / IF(Demon!$D21&lt; 10.8, $AB$6, $AB$6 / (Demon!$D21 / 10.8)),1)</f>
        <v>5</v>
      </c>
      <c r="AA46" s="1">
        <f>CEILING(Elf!$B21 / IF(Elf!$D21 &lt; 10.8, $AB$6, $AB$6 / (Elf!$D21 / 10.8)),1)</f>
        <v>6</v>
      </c>
      <c r="AB46" s="1">
        <f>CEILING(Beastgirl!$B21 / IF(Beastgirl!$D21&lt; 10.8, $AB$6, $AB$6 / (Beastgirl!$D21 / 10.8)),1)</f>
        <v>10</v>
      </c>
      <c r="AC46" s="1">
        <f>CEILING(Warrior!$B21 / IF(Warrior!$D21&lt; 10.8, $AB$6, $AB$6 / (Warrior!$D21 / 10.8)),1)</f>
        <v>7</v>
      </c>
      <c r="AD46" s="4"/>
      <c r="AE46" s="4"/>
      <c r="AF46" s="4"/>
      <c r="AG46" s="4"/>
    </row>
    <row r="47" spans="1:33" s="1" customFormat="1" x14ac:dyDescent="0.3">
      <c r="C47" s="1">
        <v>20</v>
      </c>
      <c r="D47" s="1">
        <f>CEILING(Demon!$B22/ IF(Demon!$D22&lt; 10.8, $F$6, $F$6 / (Demon!$D22 / 10.8)),1)</f>
        <v>11</v>
      </c>
      <c r="E47" s="1">
        <f>CEILING(Elf!$B22 / IF(Elf!$D22&lt; 10.8, $F$6,$F$6 / (Elf!$D22 / 10.8)),1)</f>
        <v>12</v>
      </c>
      <c r="F47" s="1">
        <f>CEILING(Beastgirl!$B22 / IF(Beastgirl!$D22&lt; 10.8, $F$6, $F$6 / (Beastgirl!$D22/ 10.8)),1)</f>
        <v>21</v>
      </c>
      <c r="G47" s="1">
        <f>CEILING(Warrior!$B22/ IF(Warrior!$D22&lt; 10.8, $F$6, $F$6 / (Warrior!$D22 / 10.8)),1)</f>
        <v>14</v>
      </c>
      <c r="I47" s="4"/>
      <c r="J47" s="4"/>
      <c r="K47" s="4"/>
      <c r="L47" s="4"/>
      <c r="M47" s="4"/>
      <c r="N47" s="1">
        <v>20</v>
      </c>
      <c r="O47" s="1">
        <f>CEILING(Demon!$B22 / IF(Demon!$D22&lt; 10.8, $Q$6, $Q$6 / (Demon!$D22/ 10.8)),1)</f>
        <v>7</v>
      </c>
      <c r="P47" s="1">
        <f>CEILING(Elf!$B22/ IF(Elf!$D22 &lt; 10.8, $Q$6, $Q$6 / (Elf!$D22 / 10.8)),1)</f>
        <v>8</v>
      </c>
      <c r="Q47" s="1">
        <f>CEILING(Beastgirl!$B22/ IF(Beastgirl!$D22&lt; 10.8, $Q$6, $Q$6 / (Beastgirl!$D22 / 10.8)),1)</f>
        <v>14</v>
      </c>
      <c r="R47" s="1">
        <f>CEILING(Warrior!$B22 / IF(Warrior!$D22&lt; 10.8, $Q$6, $Q$6 / (Warrior!$D22 / 10.8)),1)</f>
        <v>10</v>
      </c>
      <c r="S47" s="4"/>
      <c r="T47" s="4"/>
      <c r="U47" s="4"/>
      <c r="W47" s="4"/>
      <c r="X47" s="4"/>
      <c r="Y47" s="1">
        <v>20</v>
      </c>
      <c r="Z47" s="1">
        <f>CEILING(Demon!$B22 / IF(Demon!$D22&lt; 10.8, $AB$6, $AB$6 / (Demon!$D22 / 10.8)),1)</f>
        <v>6</v>
      </c>
      <c r="AA47" s="1">
        <f>CEILING(Elf!$B22 / IF(Elf!$D22 &lt; 10.8, $AB$6, $AB$6 / (Elf!$D22 / 10.8)),1)</f>
        <v>6</v>
      </c>
      <c r="AB47" s="1">
        <f>CEILING(Beastgirl!$B22 / IF(Beastgirl!$D22&lt; 10.8, $AB$6, $AB$6 / (Beastgirl!$D22 / 10.8)),1)</f>
        <v>11</v>
      </c>
      <c r="AC47" s="1">
        <f>CEILING(Warrior!$B22 / IF(Warrior!$D22&lt; 10.8, $AB$6, $AB$6 / (Warrior!$D22 / 10.8)),1)</f>
        <v>7</v>
      </c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ht="25.8" x14ac:dyDescent="0.3">
      <c r="A49" s="4"/>
      <c r="B49" s="4"/>
      <c r="C49" s="53" t="s">
        <v>51</v>
      </c>
      <c r="D49" s="53"/>
      <c r="E49" s="53"/>
      <c r="F49" s="53"/>
      <c r="G49" s="53"/>
      <c r="H49" s="4"/>
      <c r="I49" s="4"/>
      <c r="J49" s="4"/>
      <c r="K49" s="4"/>
      <c r="L49" s="4"/>
      <c r="N49" s="53" t="s">
        <v>51</v>
      </c>
      <c r="O49" s="53"/>
      <c r="P49" s="53"/>
      <c r="Q49" s="53"/>
      <c r="R49" s="53"/>
      <c r="T49" s="4"/>
      <c r="U49" s="4"/>
      <c r="V49" s="4"/>
      <c r="W49" s="4"/>
      <c r="X49" s="4"/>
      <c r="Y49" s="53" t="s">
        <v>51</v>
      </c>
      <c r="Z49" s="53"/>
      <c r="AA49" s="53"/>
      <c r="AB49" s="53"/>
      <c r="AC49" s="53"/>
      <c r="AD49" s="4"/>
      <c r="AE49" s="4"/>
    </row>
    <row r="50" spans="1:31" s="1" customFormat="1" ht="21" x14ac:dyDescent="0.3">
      <c r="A50" s="4"/>
      <c r="B50" s="4"/>
      <c r="C50" s="6" t="s">
        <v>11</v>
      </c>
      <c r="D50" s="6" t="s">
        <v>12</v>
      </c>
      <c r="E50" s="6" t="s">
        <v>13</v>
      </c>
      <c r="F50" s="6" t="s">
        <v>14</v>
      </c>
      <c r="G50" s="6" t="s">
        <v>15</v>
      </c>
      <c r="H50" s="4"/>
      <c r="I50" s="4"/>
      <c r="J50" s="4"/>
      <c r="K50" s="4"/>
      <c r="L50" s="4"/>
      <c r="N50" s="6" t="s">
        <v>11</v>
      </c>
      <c r="O50" s="6" t="s">
        <v>12</v>
      </c>
      <c r="P50" s="6" t="s">
        <v>13</v>
      </c>
      <c r="Q50" s="6" t="s">
        <v>14</v>
      </c>
      <c r="R50" s="6" t="s">
        <v>15</v>
      </c>
      <c r="T50" s="4"/>
      <c r="U50" s="4"/>
      <c r="V50" s="4"/>
      <c r="W50" s="4"/>
      <c r="X50" s="4"/>
      <c r="Y50" s="6" t="s">
        <v>11</v>
      </c>
      <c r="Z50" s="6" t="s">
        <v>12</v>
      </c>
      <c r="AA50" s="6" t="s">
        <v>13</v>
      </c>
      <c r="AB50" s="6" t="s">
        <v>14</v>
      </c>
      <c r="AC50" s="6" t="s">
        <v>15</v>
      </c>
      <c r="AD50" s="4"/>
      <c r="AE50" s="4"/>
    </row>
    <row r="51" spans="1:31" s="1" customFormat="1" x14ac:dyDescent="0.3">
      <c r="A51" s="4"/>
      <c r="B51" s="4"/>
      <c r="C51" s="1">
        <v>11</v>
      </c>
      <c r="D51" s="1">
        <f>CEILING(Demon!$B13/ IF(Demon!$D13&lt; 10.8, $F$7, $F$7 / (Demon!$D13 / 10.8)),1)</f>
        <v>3</v>
      </c>
      <c r="E51" s="1">
        <f>CEILING(Elf!B13 / IF(Elf!$D13&lt; 10.8, $F$7,$F$7 / (Elf!$D13 / 10.8)),1)</f>
        <v>3</v>
      </c>
      <c r="F51" s="1">
        <f>CEILING(Beastgirl!$B13 / IF(Beastgirl!$D13&lt; 10.8, $F$7, $F$7 / (Beastgirl!$D13 / 10.8)),1)</f>
        <v>6</v>
      </c>
      <c r="G51" s="1">
        <f>CEILING(Warrior!$B13/ IF(Warrior!$D13&lt; 10.8, $F$7, $F$7 / (Warrior!$D13 / 10.8)),1)</f>
        <v>4</v>
      </c>
      <c r="H51" s="4"/>
      <c r="I51" s="4"/>
      <c r="J51" s="4"/>
      <c r="K51" s="4"/>
      <c r="L51" s="4"/>
      <c r="N51" s="1">
        <v>11</v>
      </c>
      <c r="O51" s="1">
        <f>CEILING(Demon!$B13 / IF(Demon!$D13&lt; 10.8, $Q$7, $Q$7 / (Demon!$D13/ 10.8)),1)</f>
        <v>2</v>
      </c>
      <c r="P51" s="1">
        <f>CEILING(Elf!$B13/ IF(Elf!$D13 &lt; 10.8, $Q$7, $Q$7 / (Elf!$D13 / 10.8)),1)</f>
        <v>2</v>
      </c>
      <c r="Q51" s="1">
        <f>CEILING(Beastgirl!$B13/ IF(Beastgirl!$D13&lt; 10.8, $Q$7, $Q$7 / (Beastgirl!$D13 / 10.8)),1)</f>
        <v>4</v>
      </c>
      <c r="R51" s="1">
        <f>CEILING(Warrior!$B13 / IF(Warrior!$D13&lt; 10.8, $Q$7, $Q$7 / (Warrior!$D13 / 10.8)),1)</f>
        <v>3</v>
      </c>
      <c r="T51" s="4"/>
      <c r="U51" s="4"/>
      <c r="V51" s="4"/>
      <c r="W51" s="4"/>
      <c r="X51" s="4"/>
      <c r="Y51" s="1">
        <v>11</v>
      </c>
      <c r="Z51" s="1">
        <f>CEILING(Demon!$B13 / IF(Demon!$D13&lt; 10.8, $AB$7, $AB$7 / (Demon!$D13 / 10.8)),1)</f>
        <v>2</v>
      </c>
      <c r="AA51" s="1">
        <f>CEILING(Elf!$B13 / IF(Elf!$D13 &lt; 10.8, $AB$7, $AB$7 / (Elf!$D13 / 10.8)),1)</f>
        <v>2</v>
      </c>
      <c r="AB51" s="1">
        <f>CEILING(Beastgirl!$B13 / IF(Beastgirl!$D13&lt; 10.8, $AB$7, $AB$7 / (Beastgirl!$D13 / 10.8)),1)</f>
        <v>3</v>
      </c>
      <c r="AC51" s="1">
        <f>CEILING(Warrior!$B13 / IF(Warrior!$D13&lt; 10.8, $AB$7, $AB$7 / (Warrior!$D13 / 10.8)),1)</f>
        <v>2</v>
      </c>
      <c r="AD51" s="4"/>
      <c r="AE51" s="4"/>
    </row>
    <row r="52" spans="1:31" s="1" customFormat="1" x14ac:dyDescent="0.3">
      <c r="A52" s="4"/>
      <c r="B52" s="4"/>
      <c r="C52" s="1">
        <v>12</v>
      </c>
      <c r="D52" s="1">
        <f>CEILING(Demon!$B14/ IF(Demon!$D14&lt; 10.8, $F$7, $F$7 / (Demon!$D14 / 10.8)),1)</f>
        <v>3</v>
      </c>
      <c r="E52" s="1">
        <f>CEILING(Elf!B14 / IF(Elf!$D14&lt; 10.8, $F$7,$F$7 / (Elf!$D14 / 10.8)),1)</f>
        <v>3</v>
      </c>
      <c r="F52" s="1">
        <f>CEILING(Beastgirl!$B14 / IF(Beastgirl!$D14&lt; 10.8, $F$7, $F$7 / (Beastgirl!$D14 / 10.8)),1)</f>
        <v>6</v>
      </c>
      <c r="G52" s="1">
        <f>CEILING(Warrior!$B14/ IF(Warrior!$D14&lt; 10.8, $F$7, $F$7 / (Warrior!$D14 / 10.8)),1)</f>
        <v>4</v>
      </c>
      <c r="H52" s="4"/>
      <c r="I52" s="4"/>
      <c r="J52" s="4"/>
      <c r="K52" s="4"/>
      <c r="L52" s="4"/>
      <c r="N52" s="1">
        <v>12</v>
      </c>
      <c r="O52" s="1">
        <f>CEILING(Demon!$B14 / IF(Demon!$D14&lt; 10.8, $Q$7, $Q$7 / (Demon!$D14/ 10.8)),1)</f>
        <v>2</v>
      </c>
      <c r="P52" s="1">
        <f>CEILING(Elf!$B14/ IF(Elf!$D14 &lt; 10.8, $Q$7, $Q$7 / (Elf!$D14 / 10.8)),1)</f>
        <v>2</v>
      </c>
      <c r="Q52" s="1">
        <f>CEILING(Beastgirl!$B14/ IF(Beastgirl!$D14&lt; 10.8, $Q$7, $Q$7 / (Beastgirl!$D14 / 10.8)),1)</f>
        <v>4</v>
      </c>
      <c r="R52" s="1">
        <f>CEILING(Warrior!$B14 / IF(Warrior!$D14&lt; 10.8, $Q$7, $Q$7 / (Warrior!$D14 / 10.8)),1)</f>
        <v>3</v>
      </c>
      <c r="T52" s="4"/>
      <c r="U52" s="4"/>
      <c r="V52" s="4"/>
      <c r="W52" s="4"/>
      <c r="X52" s="4"/>
      <c r="Y52" s="1">
        <v>12</v>
      </c>
      <c r="Z52" s="1">
        <f>CEILING(Demon!$B14 / IF(Demon!$D14&lt; 10.8, $AB$7, $AB$7 / (Demon!$D14 / 10.8)),1)</f>
        <v>2</v>
      </c>
      <c r="AA52" s="1">
        <f>CEILING(Elf!$B14 / IF(Elf!$D14 &lt; 10.8, $AB$7, $AB$7 / (Elf!$D14 / 10.8)),1)</f>
        <v>2</v>
      </c>
      <c r="AB52" s="1">
        <f>CEILING(Beastgirl!$B14 / IF(Beastgirl!$D14&lt; 10.8, $AB$7, $AB$7 / (Beastgirl!$D14 / 10.8)),1)</f>
        <v>3</v>
      </c>
      <c r="AC52" s="1">
        <f>CEILING(Warrior!$B14 / IF(Warrior!$D14&lt; 10.8, $AB$7, $AB$7 / (Warrior!$D14 / 10.8)),1)</f>
        <v>2</v>
      </c>
      <c r="AD52" s="4"/>
      <c r="AE52" s="4"/>
    </row>
    <row r="53" spans="1:31" s="1" customFormat="1" x14ac:dyDescent="0.3">
      <c r="A53" s="4"/>
      <c r="B53" s="4"/>
      <c r="C53" s="1">
        <v>13</v>
      </c>
      <c r="D53" s="1">
        <f>CEILING(Demon!$B15/ IF(Demon!$D15&lt; 10.8, $F$7, $F$7 / (Demon!$D15 / 10.8)),1)</f>
        <v>4</v>
      </c>
      <c r="E53" s="1">
        <f>CEILING(Elf!B15 / IF(Elf!$D15&lt; 10.8, $F$7,$F$7 / (Elf!$D15 / 10.8)),1)</f>
        <v>4</v>
      </c>
      <c r="F53" s="1">
        <f>CEILING(Beastgirl!$B15 / IF(Beastgirl!$D15&lt; 10.8, $F$7, $F$7 / (Beastgirl!$D15 / 10.8)),1)</f>
        <v>7</v>
      </c>
      <c r="G53" s="1">
        <f>CEILING(Warrior!$B15/ IF(Warrior!$D15&lt; 10.8, $F$7, $F$7 / (Warrior!$D15 / 10.8)),1)</f>
        <v>5</v>
      </c>
      <c r="H53" s="4"/>
      <c r="I53" s="4"/>
      <c r="J53" s="4"/>
      <c r="K53" s="4"/>
      <c r="L53" s="4"/>
      <c r="N53" s="1">
        <v>13</v>
      </c>
      <c r="O53" s="1">
        <f>CEILING(Demon!$B15 / IF(Demon!$D15&lt; 10.8, $Q$7, $Q$7 / (Demon!$D15/ 10.8)),1)</f>
        <v>3</v>
      </c>
      <c r="P53" s="1">
        <f>CEILING(Elf!$B15/ IF(Elf!$D15 &lt; 10.8, $Q$7, $Q$7 / (Elf!$D15 / 10.8)),1)</f>
        <v>3</v>
      </c>
      <c r="Q53" s="1">
        <f>CEILING(Beastgirl!$B15/ IF(Beastgirl!$D15&lt; 10.8, $Q$7, $Q$7 / (Beastgirl!$D15 / 10.8)),1)</f>
        <v>5</v>
      </c>
      <c r="R53" s="1">
        <f>CEILING(Warrior!$B15 / IF(Warrior!$D15&lt; 10.8, $Q$7, $Q$7 / (Warrior!$D15 / 10.8)),1)</f>
        <v>3</v>
      </c>
      <c r="T53" s="4"/>
      <c r="U53" s="4"/>
      <c r="V53" s="4"/>
      <c r="W53" s="4"/>
      <c r="X53" s="4"/>
      <c r="Y53" s="1">
        <v>13</v>
      </c>
      <c r="Z53" s="1">
        <f>CEILING(Demon!$B15 / IF(Demon!$D15&lt; 10.8, $AB$7, $AB$7 / (Demon!$D15 / 10.8)),1)</f>
        <v>2</v>
      </c>
      <c r="AA53" s="1">
        <f>CEILING(Elf!$B15 / IF(Elf!$D15 &lt; 10.8, $AB$7, $AB$7 / (Elf!$D15 / 10.8)),1)</f>
        <v>2</v>
      </c>
      <c r="AB53" s="1">
        <f>CEILING(Beastgirl!$B15 / IF(Beastgirl!$D15&lt; 10.8, $AB$7, $AB$7 / (Beastgirl!$D15 / 10.8)),1)</f>
        <v>4</v>
      </c>
      <c r="AC53" s="1">
        <f>CEILING(Warrior!$B15 / IF(Warrior!$D15&lt; 10.8, $AB$7, $AB$7 / (Warrior!$D15 / 10.8)),1)</f>
        <v>3</v>
      </c>
      <c r="AD53" s="4"/>
      <c r="AE53" s="4"/>
    </row>
    <row r="54" spans="1:31" s="1" customFormat="1" x14ac:dyDescent="0.3">
      <c r="A54" s="4"/>
      <c r="B54" s="4"/>
      <c r="C54" s="1">
        <v>14</v>
      </c>
      <c r="D54" s="1">
        <f>CEILING(Demon!$B16/ IF(Demon!$D16&lt; 10.8, $F$7, $F$7 / (Demon!$D16 / 10.8)),1)</f>
        <v>4</v>
      </c>
      <c r="E54" s="1">
        <f>CEILING(Elf!B16 / IF(Elf!$D16&lt; 10.8, $F$7,$F$7 / (Elf!$D16 / 10.8)),1)</f>
        <v>4</v>
      </c>
      <c r="F54" s="1">
        <f>CEILING(Beastgirl!$B16 / IF(Beastgirl!$D16&lt; 10.8, $F$7, $F$7 / (Beastgirl!$D16 / 10.8)),1)</f>
        <v>8</v>
      </c>
      <c r="G54" s="1">
        <f>CEILING(Warrior!$B16/ IF(Warrior!$D16&lt; 10.8, $F$7, $F$7 / (Warrior!$D16 / 10.8)),1)</f>
        <v>6</v>
      </c>
      <c r="H54" s="4"/>
      <c r="I54" s="4"/>
      <c r="J54" s="4"/>
      <c r="K54" s="4"/>
      <c r="L54" s="4"/>
      <c r="N54" s="1">
        <v>14</v>
      </c>
      <c r="O54" s="1">
        <f>CEILING(Demon!$B16 / IF(Demon!$D16&lt; 10.8, $Q$7, $Q$7 / (Demon!$D16/ 10.8)),1)</f>
        <v>3</v>
      </c>
      <c r="P54" s="1">
        <f>CEILING(Elf!$B16/ IF(Elf!$D16 &lt; 10.8, $Q$7, $Q$7 / (Elf!$D16 / 10.8)),1)</f>
        <v>3</v>
      </c>
      <c r="Q54" s="1">
        <f>CEILING(Beastgirl!$B16/ IF(Beastgirl!$D16&lt; 10.8, $Q$7, $Q$7 / (Beastgirl!$D16 / 10.8)),1)</f>
        <v>5</v>
      </c>
      <c r="R54" s="1">
        <f>CEILING(Warrior!$B16 / IF(Warrior!$D16&lt; 10.8, $Q$7, $Q$7 / (Warrior!$D16 / 10.8)),1)</f>
        <v>4</v>
      </c>
      <c r="T54" s="4"/>
      <c r="U54" s="4"/>
      <c r="V54" s="4"/>
      <c r="W54" s="4"/>
      <c r="X54" s="4"/>
      <c r="Y54" s="1">
        <v>14</v>
      </c>
      <c r="Z54" s="1">
        <f>CEILING(Demon!$B16 / IF(Demon!$D16&lt; 10.8, $AB$7, $AB$7 / (Demon!$D16 / 10.8)),1)</f>
        <v>2</v>
      </c>
      <c r="AA54" s="1">
        <f>CEILING(Elf!$B16 / IF(Elf!$D16 &lt; 10.8, $AB$7, $AB$7 / (Elf!$D16 / 10.8)),1)</f>
        <v>2</v>
      </c>
      <c r="AB54" s="1">
        <f>CEILING(Beastgirl!$B16 / IF(Beastgirl!$D16&lt; 10.8, $AB$7, $AB$7 / (Beastgirl!$D16 / 10.8)),1)</f>
        <v>4</v>
      </c>
      <c r="AC54" s="1">
        <f>CEILING(Warrior!$B16 / IF(Warrior!$D16&lt; 10.8, $AB$7, $AB$7 / (Warrior!$D16 / 10.8)),1)</f>
        <v>3</v>
      </c>
      <c r="AD54" s="4"/>
      <c r="AE54" s="4"/>
    </row>
    <row r="55" spans="1:31" s="1" customFormat="1" x14ac:dyDescent="0.3">
      <c r="A55" s="4"/>
      <c r="B55" s="4"/>
      <c r="C55" s="1">
        <v>15</v>
      </c>
      <c r="D55" s="1">
        <f>CEILING(Demon!$B17/ IF(Demon!$D17&lt; 10.8, $F$7, $F$7 / (Demon!$D17 / 10.8)),1)</f>
        <v>7</v>
      </c>
      <c r="E55" s="1">
        <f>CEILING(Elf!B17 / IF(Elf!$D17&lt; 10.8, $F$7,$F$7 / (Elf!$D17 / 10.8)),1)</f>
        <v>7</v>
      </c>
      <c r="F55" s="1">
        <f>CEILING(Beastgirl!$B17 / IF(Beastgirl!$D17&lt; 10.8, $F$7, $F$7 / (Beastgirl!$D17 / 10.8)),1)</f>
        <v>13</v>
      </c>
      <c r="G55" s="1">
        <f>CEILING(Warrior!$B17/ IF(Warrior!$D17&lt; 10.8, $F$7, $F$7 / (Warrior!$D17 / 10.8)),1)</f>
        <v>9</v>
      </c>
      <c r="H55" s="4"/>
      <c r="I55" s="4"/>
      <c r="J55" s="4"/>
      <c r="K55" s="4"/>
      <c r="L55" s="4"/>
      <c r="N55" s="1">
        <v>15</v>
      </c>
      <c r="O55" s="1">
        <f>CEILING(Demon!$B17 / IF(Demon!$D17&lt; 10.8, $Q$7, $Q$7 / (Demon!$D17/ 10.8)),1)</f>
        <v>5</v>
      </c>
      <c r="P55" s="1">
        <f>CEILING(Elf!$B17/ IF(Elf!$D17 &lt; 10.8, $Q$7, $Q$7 / (Elf!$D17 / 10.8)),1)</f>
        <v>5</v>
      </c>
      <c r="Q55" s="1">
        <f>CEILING(Beastgirl!$B17/ IF(Beastgirl!$D17&lt; 10.8, $Q$7, $Q$7 / (Beastgirl!$D17 / 10.8)),1)</f>
        <v>9</v>
      </c>
      <c r="R55" s="1">
        <f>CEILING(Warrior!$B17 / IF(Warrior!$D17&lt; 10.8, $Q$7, $Q$7 / (Warrior!$D17 / 10.8)),1)</f>
        <v>6</v>
      </c>
      <c r="T55" s="4"/>
      <c r="U55" s="4"/>
      <c r="V55" s="4"/>
      <c r="W55" s="4"/>
      <c r="X55" s="4"/>
      <c r="Y55" s="1">
        <v>15</v>
      </c>
      <c r="Z55" s="1">
        <f>CEILING(Demon!$B17 / IF(Demon!$D17&lt; 10.8, $AB$7, $AB$7 / (Demon!$D17 / 10.8)),1)</f>
        <v>4</v>
      </c>
      <c r="AA55" s="1">
        <f>CEILING(Elf!$B17 / IF(Elf!$D17 &lt; 10.8, $AB$7, $AB$7 / (Elf!$D17 / 10.8)),1)</f>
        <v>4</v>
      </c>
      <c r="AB55" s="1">
        <f>CEILING(Beastgirl!$B17 / IF(Beastgirl!$D17&lt; 10.8, $AB$7, $AB$7 / (Beastgirl!$D17 / 10.8)),1)</f>
        <v>7</v>
      </c>
      <c r="AC55" s="1">
        <f>CEILING(Warrior!$B17 / IF(Warrior!$D17&lt; 10.8, $AB$7, $AB$7 / (Warrior!$D17 / 10.8)),1)</f>
        <v>5</v>
      </c>
      <c r="AD55" s="4"/>
      <c r="AE55" s="4"/>
    </row>
    <row r="56" spans="1:31" s="1" customFormat="1" x14ac:dyDescent="0.3">
      <c r="A56" s="4"/>
      <c r="B56" s="4"/>
      <c r="C56" s="1">
        <v>16</v>
      </c>
      <c r="D56" s="1">
        <f>CEILING(Demon!$B18/ IF(Demon!$D18&lt; 10.8, $F$7, $F$7 / (Demon!$D18 / 10.8)),1)</f>
        <v>7</v>
      </c>
      <c r="E56" s="1">
        <f>CEILING(Elf!B18 / IF(Elf!$D18&lt; 10.8, $F$7,$F$7 / (Elf!$D18 / 10.8)),1)</f>
        <v>8</v>
      </c>
      <c r="F56" s="1">
        <f>CEILING(Beastgirl!$B18 / IF(Beastgirl!$D18&lt; 10.8, $F$7, $F$7 / (Beastgirl!$D18 / 10.8)),1)</f>
        <v>14</v>
      </c>
      <c r="G56" s="1">
        <f>CEILING(Warrior!$B18/ IF(Warrior!$D18&lt; 10.8, $F$7, $F$7 / (Warrior!$D18 / 10.8)),1)</f>
        <v>10</v>
      </c>
      <c r="H56" s="4"/>
      <c r="I56" s="4"/>
      <c r="J56" s="4"/>
      <c r="K56" s="4"/>
      <c r="L56" s="4"/>
      <c r="N56" s="1">
        <v>16</v>
      </c>
      <c r="O56" s="1">
        <f>CEILING(Demon!$B18 / IF(Demon!$D18&lt; 10.8, $Q$7, $Q$7 / (Demon!$D18/ 10.8)),1)</f>
        <v>5</v>
      </c>
      <c r="P56" s="1">
        <f>CEILING(Elf!$B18/ IF(Elf!$D18 &lt; 10.8, $Q$7, $Q$7 / (Elf!$D18 / 10.8)),1)</f>
        <v>5</v>
      </c>
      <c r="Q56" s="1">
        <f>CEILING(Beastgirl!$B18/ IF(Beastgirl!$D18&lt; 10.8, $Q$7, $Q$7 / (Beastgirl!$D18 / 10.8)),1)</f>
        <v>9</v>
      </c>
      <c r="R56" s="1">
        <f>CEILING(Warrior!$B18 / IF(Warrior!$D18&lt; 10.8, $Q$7, $Q$7 / (Warrior!$D18 / 10.8)),1)</f>
        <v>7</v>
      </c>
      <c r="T56" s="4"/>
      <c r="U56" s="4"/>
      <c r="V56" s="4"/>
      <c r="W56" s="4"/>
      <c r="X56" s="4"/>
      <c r="Y56" s="1">
        <v>16</v>
      </c>
      <c r="Z56" s="1">
        <f>CEILING(Demon!$B18 / IF(Demon!$D18&lt; 10.8, $AB$7, $AB$7 / (Demon!$D18 / 10.8)),1)</f>
        <v>4</v>
      </c>
      <c r="AA56" s="1">
        <f>CEILING(Elf!$B18 / IF(Elf!$D18 &lt; 10.8, $AB$7, $AB$7 / (Elf!$D18 / 10.8)),1)</f>
        <v>4</v>
      </c>
      <c r="AB56" s="1">
        <f>CEILING(Beastgirl!$B18 / IF(Beastgirl!$D18&lt; 10.8, $AB$7, $AB$7 / (Beastgirl!$D18 / 10.8)),1)</f>
        <v>7</v>
      </c>
      <c r="AC56" s="1">
        <f>CEILING(Warrior!$B18 / IF(Warrior!$D18&lt; 10.8, $AB$7, $AB$7 / (Warrior!$D18 / 10.8)),1)</f>
        <v>5</v>
      </c>
      <c r="AD56" s="4"/>
      <c r="AE56" s="4"/>
    </row>
    <row r="57" spans="1:31" s="1" customFormat="1" x14ac:dyDescent="0.3">
      <c r="A57" s="4"/>
      <c r="B57" s="4"/>
      <c r="C57" s="1">
        <v>17</v>
      </c>
      <c r="D57" s="1">
        <f>CEILING(Demon!$B19/ IF(Demon!$D19&lt; 10.8, $F$7, $F$7 / (Demon!$D19 / 10.8)),1)</f>
        <v>8</v>
      </c>
      <c r="E57" s="1">
        <f>CEILING(Elf!B19 / IF(Elf!$D19&lt; 10.8, $F$7,$F$7 / (Elf!$D19 / 10.8)),1)</f>
        <v>9</v>
      </c>
      <c r="F57" s="1">
        <f>CEILING(Beastgirl!$B19 / IF(Beastgirl!$D19&lt; 10.8, $F$7, $F$7 / (Beastgirl!$D19 / 10.8)),1)</f>
        <v>15</v>
      </c>
      <c r="G57" s="1">
        <f>CEILING(Warrior!$B19/ IF(Warrior!$D19&lt; 10.8, $F$7, $F$7 / (Warrior!$D19 / 10.8)),1)</f>
        <v>11</v>
      </c>
      <c r="H57" s="4"/>
      <c r="I57" s="4"/>
      <c r="J57" s="4"/>
      <c r="K57" s="4"/>
      <c r="L57" s="4"/>
      <c r="N57" s="1">
        <v>17</v>
      </c>
      <c r="O57" s="1">
        <f>CEILING(Demon!$B19 / IF(Demon!$D19&lt; 10.8, $Q$7, $Q$7 / (Demon!$D19/ 10.8)),1)</f>
        <v>6</v>
      </c>
      <c r="P57" s="1">
        <f>CEILING(Elf!$B19/ IF(Elf!$D19 &lt; 10.8, $Q$7, $Q$7 / (Elf!$D19 / 10.8)),1)</f>
        <v>6</v>
      </c>
      <c r="Q57" s="1">
        <f>CEILING(Beastgirl!$B19/ IF(Beastgirl!$D19&lt; 10.8, $Q$7, $Q$7 / (Beastgirl!$D19 / 10.8)),1)</f>
        <v>10</v>
      </c>
      <c r="R57" s="1">
        <f>CEILING(Warrior!$B19 / IF(Warrior!$D19&lt; 10.8, $Q$7, $Q$7 / (Warrior!$D19 / 10.8)),1)</f>
        <v>7</v>
      </c>
      <c r="T57" s="4"/>
      <c r="U57" s="4"/>
      <c r="V57" s="4"/>
      <c r="W57" s="4"/>
      <c r="X57" s="4"/>
      <c r="Y57" s="1">
        <v>17</v>
      </c>
      <c r="Z57" s="1">
        <f>CEILING(Demon!$B19 / IF(Demon!$D19&lt; 10.8, $AB$7, $AB$7 / (Demon!$D19 / 10.8)),1)</f>
        <v>4</v>
      </c>
      <c r="AA57" s="1">
        <f>CEILING(Elf!$B19 / IF(Elf!$D19 &lt; 10.8, $AB$7, $AB$7 / (Elf!$D19 / 10.8)),1)</f>
        <v>5</v>
      </c>
      <c r="AB57" s="1">
        <f>CEILING(Beastgirl!$B19 / IF(Beastgirl!$D19&lt; 10.8, $AB$7, $AB$7 / (Beastgirl!$D19 / 10.8)),1)</f>
        <v>8</v>
      </c>
      <c r="AC57" s="1">
        <f>CEILING(Warrior!$B19 / IF(Warrior!$D19&lt; 10.8, $AB$7, $AB$7 / (Warrior!$D19 / 10.8)),1)</f>
        <v>6</v>
      </c>
      <c r="AD57" s="4"/>
      <c r="AE57" s="4"/>
    </row>
    <row r="58" spans="1:31" s="1" customFormat="1" x14ac:dyDescent="0.3">
      <c r="A58" s="4"/>
      <c r="B58" s="4"/>
      <c r="C58" s="1">
        <v>18</v>
      </c>
      <c r="D58" s="1">
        <f>CEILING(Demon!$B20/ IF(Demon!$D20&lt; 10.8, $F$7, $F$7 / (Demon!$D20 / 10.8)),1)</f>
        <v>9</v>
      </c>
      <c r="E58" s="1">
        <f>CEILING(Elf!B20 / IF(Elf!$D20&lt; 10.8, $F$7,$F$7 / (Elf!$D20 / 10.8)),1)</f>
        <v>9</v>
      </c>
      <c r="F58" s="1">
        <f>CEILING(Beastgirl!$B20 / IF(Beastgirl!$D20&lt; 10.8, $F$7, $F$7 / (Beastgirl!$D20 / 10.8)),1)</f>
        <v>17</v>
      </c>
      <c r="G58" s="1">
        <f>CEILING(Warrior!$B20/ IF(Warrior!$D20&lt; 10.8, $F$7, $F$7 / (Warrior!$D20 / 10.8)),1)</f>
        <v>12</v>
      </c>
      <c r="H58" s="4"/>
      <c r="I58" s="4"/>
      <c r="J58" s="4"/>
      <c r="K58" s="4"/>
      <c r="L58" s="4"/>
      <c r="N58" s="1">
        <v>18</v>
      </c>
      <c r="O58" s="1">
        <f>CEILING(Demon!$B20 / IF(Demon!$D20&lt; 10.8, $Q$7, $Q$7 / (Demon!$D20/ 10.8)),1)</f>
        <v>6</v>
      </c>
      <c r="P58" s="1">
        <f>CEILING(Elf!$B20/ IF(Elf!$D20 &lt; 10.8, $Q$7, $Q$7 / (Elf!$D20 / 10.8)),1)</f>
        <v>6</v>
      </c>
      <c r="Q58" s="1">
        <f>CEILING(Beastgirl!$B20/ IF(Beastgirl!$D20&lt; 10.8, $Q$7, $Q$7 / (Beastgirl!$D20 / 10.8)),1)</f>
        <v>11</v>
      </c>
      <c r="R58" s="1">
        <f>CEILING(Warrior!$B20 / IF(Warrior!$D20&lt; 10.8, $Q$7, $Q$7 / (Warrior!$D20 / 10.8)),1)</f>
        <v>8</v>
      </c>
      <c r="T58" s="4"/>
      <c r="U58" s="4"/>
      <c r="V58" s="4"/>
      <c r="W58" s="4"/>
      <c r="X58" s="4"/>
      <c r="Y58" s="1">
        <v>18</v>
      </c>
      <c r="Z58" s="1">
        <f>CEILING(Demon!$B20 / IF(Demon!$D20&lt; 10.8, $AB$7, $AB$7 / (Demon!$D20 / 10.8)),1)</f>
        <v>5</v>
      </c>
      <c r="AA58" s="1">
        <f>CEILING(Elf!$B20 / IF(Elf!$D20 &lt; 10.8, $AB$7, $AB$7 / (Elf!$D20 / 10.8)),1)</f>
        <v>5</v>
      </c>
      <c r="AB58" s="1">
        <f>CEILING(Beastgirl!$B20 / IF(Beastgirl!$D20&lt; 10.8, $AB$7, $AB$7 / (Beastgirl!$D20 / 10.8)),1)</f>
        <v>9</v>
      </c>
      <c r="AC58" s="1">
        <f>CEILING(Warrior!$B20 / IF(Warrior!$D20&lt; 10.8, $AB$7, $AB$7 / (Warrior!$D20 / 10.8)),1)</f>
        <v>6</v>
      </c>
      <c r="AD58" s="4"/>
      <c r="AE58" s="4"/>
    </row>
    <row r="59" spans="1:31" s="1" customFormat="1" x14ac:dyDescent="0.3">
      <c r="A59" s="4"/>
      <c r="B59" s="4"/>
      <c r="C59" s="1">
        <v>19</v>
      </c>
      <c r="D59" s="1">
        <f>CEILING(Demon!$B21/ IF(Demon!$D21&lt; 10.8, $F$7, $F$7 / (Demon!$D21 / 10.8)),1)</f>
        <v>10</v>
      </c>
      <c r="E59" s="1">
        <f>CEILING(Elf!B21 / IF(Elf!$D21&lt; 10.8, $F$7,$F$7 / (Elf!$D21 / 10.8)),1)</f>
        <v>10</v>
      </c>
      <c r="F59" s="1">
        <f>CEILING(Beastgirl!$B21 / IF(Beastgirl!$D21&lt; 10.8, $F$7, $F$7 / (Beastgirl!$D21 / 10.8)),1)</f>
        <v>18</v>
      </c>
      <c r="G59" s="1">
        <f>CEILING(Warrior!$B21/ IF(Warrior!$D21&lt; 10.8, $F$7, $F$7 / (Warrior!$D21 / 10.8)),1)</f>
        <v>13</v>
      </c>
      <c r="H59" s="4"/>
      <c r="I59" s="4"/>
      <c r="J59" s="4"/>
      <c r="K59" s="4"/>
      <c r="L59" s="4"/>
      <c r="N59" s="1">
        <v>19</v>
      </c>
      <c r="O59" s="1">
        <f>CEILING(Demon!$B21 / IF(Demon!$D21&lt; 10.8, $Q$7, $Q$7 / (Demon!$D21/ 10.8)),1)</f>
        <v>7</v>
      </c>
      <c r="P59" s="1">
        <f>CEILING(Elf!$B21/ IF(Elf!$D21 &lt; 10.8, $Q$7, $Q$7 / (Elf!$D21 / 10.8)),1)</f>
        <v>7</v>
      </c>
      <c r="Q59" s="1">
        <f>CEILING(Beastgirl!$B21/ IF(Beastgirl!$D21&lt; 10.8, $Q$7, $Q$7 / (Beastgirl!$D21 / 10.8)),1)</f>
        <v>12</v>
      </c>
      <c r="R59" s="1">
        <f>CEILING(Warrior!$B21 / IF(Warrior!$D21&lt; 10.8, $Q$7, $Q$7 / (Warrior!$D21 / 10.8)),1)</f>
        <v>9</v>
      </c>
      <c r="T59" s="4"/>
      <c r="U59" s="4"/>
      <c r="V59" s="4"/>
      <c r="W59" s="4"/>
      <c r="X59" s="4"/>
      <c r="Y59" s="1">
        <v>19</v>
      </c>
      <c r="Z59" s="1">
        <f>CEILING(Demon!$B21 / IF(Demon!$D21&lt; 10.8, $AB$7, $AB$7 / (Demon!$D21 / 10.8)),1)</f>
        <v>5</v>
      </c>
      <c r="AA59" s="1">
        <f>CEILING(Elf!$B21 / IF(Elf!$D21 &lt; 10.8, $AB$7, $AB$7 / (Elf!$D21 / 10.8)),1)</f>
        <v>5</v>
      </c>
      <c r="AB59" s="1">
        <f>CEILING(Beastgirl!$B21 / IF(Beastgirl!$D21&lt; 10.8, $AB$7, $AB$7 / (Beastgirl!$D21 / 10.8)),1)</f>
        <v>9</v>
      </c>
      <c r="AC59" s="1">
        <f>CEILING(Warrior!$B21 / IF(Warrior!$D21&lt; 10.8, $AB$7, $AB$7 / (Warrior!$D21 / 10.8)),1)</f>
        <v>7</v>
      </c>
      <c r="AD59" s="4"/>
      <c r="AE59" s="4"/>
    </row>
    <row r="60" spans="1:31" s="1" customFormat="1" x14ac:dyDescent="0.3">
      <c r="A60" s="4"/>
      <c r="B60" s="4"/>
      <c r="C60" s="1">
        <v>20</v>
      </c>
      <c r="D60" s="1">
        <f>CEILING(Demon!$B22/ IF(Demon!$D22&lt; 10.8, $F$7, $F$7 / (Demon!$D22 / 10.8)),1)</f>
        <v>10</v>
      </c>
      <c r="E60" s="1">
        <f>CEILING(Elf!B22 / IF(Elf!$D22&lt; 10.8, $F$7,$F$7 / (Elf!$D22 / 10.8)),1)</f>
        <v>11</v>
      </c>
      <c r="F60" s="1">
        <f>CEILING(Beastgirl!$B22 / IF(Beastgirl!$D22&lt; 10.8, $F$7, $F$7 / (Beastgirl!$D22 / 10.8)),1)</f>
        <v>20</v>
      </c>
      <c r="G60" s="1">
        <f>CEILING(Warrior!$B22/ IF(Warrior!$D22&lt; 10.8, $F$7, $F$7 / (Warrior!$D22 / 10.8)),1)</f>
        <v>14</v>
      </c>
      <c r="H60" s="4"/>
      <c r="I60" s="4"/>
      <c r="J60" s="4"/>
      <c r="K60" s="4"/>
      <c r="L60" s="4"/>
      <c r="N60" s="1">
        <v>20</v>
      </c>
      <c r="O60" s="1">
        <f>CEILING(Demon!$B22 / IF(Demon!$D22&lt; 10.8, $Q$7, $Q$7 / (Demon!$D22/ 10.8)),1)</f>
        <v>7</v>
      </c>
      <c r="P60" s="1">
        <f>CEILING(Elf!$B22/ IF(Elf!$D22 &lt; 10.8, $Q$7, $Q$7 / (Elf!$D22 / 10.8)),1)</f>
        <v>8</v>
      </c>
      <c r="Q60" s="1">
        <f>CEILING(Beastgirl!$B22/ IF(Beastgirl!$D22&lt; 10.8, $Q$7, $Q$7 / (Beastgirl!$D22 / 10.8)),1)</f>
        <v>13</v>
      </c>
      <c r="R60" s="1">
        <f>CEILING(Warrior!$B22 / IF(Warrior!$D22&lt; 10.8, $Q$7, $Q$7 / (Warrior!$D22 / 10.8)),1)</f>
        <v>9</v>
      </c>
      <c r="T60" s="4"/>
      <c r="U60" s="4"/>
      <c r="V60" s="4"/>
      <c r="W60" s="4"/>
      <c r="X60" s="4"/>
      <c r="Y60" s="1">
        <v>20</v>
      </c>
      <c r="Z60" s="1">
        <f>CEILING(Demon!$B22 / IF(Demon!$D22&lt; 10.8, $AB$7, $AB$7 / (Demon!$D22 / 10.8)),1)</f>
        <v>5</v>
      </c>
      <c r="AA60" s="1">
        <f>CEILING(Elf!$B22 / IF(Elf!$D22 &lt; 10.8, $AB$7, $AB$7 / (Elf!$D22 / 10.8)),1)</f>
        <v>6</v>
      </c>
      <c r="AB60" s="1">
        <f>CEILING(Beastgirl!$B22 / IF(Beastgirl!$D22&lt; 10.8, $AB$7, $AB$7 / (Beastgirl!$D22 / 10.8)),1)</f>
        <v>10</v>
      </c>
      <c r="AC60" s="1">
        <f>CEILING(Warrior!$B22 / IF(Warrior!$D22&lt; 10.8, $AB$7, $AB$7 / (Warrior!$D22 / 10.8)),1)</f>
        <v>7</v>
      </c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4"/>
      <c r="O61" s="4"/>
      <c r="P61" s="4"/>
      <c r="Q61" s="4"/>
      <c r="R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25.8" x14ac:dyDescent="0.3">
      <c r="C62" s="53" t="s">
        <v>52</v>
      </c>
      <c r="D62" s="53"/>
      <c r="E62" s="53"/>
      <c r="F62" s="53"/>
      <c r="G62" s="53"/>
      <c r="N62" s="53" t="s">
        <v>52</v>
      </c>
      <c r="O62" s="53"/>
      <c r="P62" s="53"/>
      <c r="Q62" s="53"/>
      <c r="R62" s="53"/>
      <c r="Y62" s="53" t="s">
        <v>52</v>
      </c>
      <c r="Z62" s="53"/>
      <c r="AA62" s="53"/>
      <c r="AB62" s="53"/>
      <c r="AC62" s="53"/>
    </row>
    <row r="63" spans="1:31" ht="21" x14ac:dyDescent="0.3">
      <c r="C63" s="6" t="s">
        <v>11</v>
      </c>
      <c r="D63" s="6" t="s">
        <v>12</v>
      </c>
      <c r="E63" s="6" t="s">
        <v>13</v>
      </c>
      <c r="F63" s="6" t="s">
        <v>14</v>
      </c>
      <c r="G63" s="6" t="s">
        <v>15</v>
      </c>
      <c r="N63" s="6" t="s">
        <v>11</v>
      </c>
      <c r="O63" s="6" t="s">
        <v>12</v>
      </c>
      <c r="P63" s="6" t="s">
        <v>13</v>
      </c>
      <c r="Q63" s="6" t="s">
        <v>14</v>
      </c>
      <c r="R63" s="6" t="s">
        <v>15</v>
      </c>
      <c r="Y63" s="6" t="s">
        <v>11</v>
      </c>
      <c r="Z63" s="6" t="s">
        <v>12</v>
      </c>
      <c r="AA63" s="6" t="s">
        <v>13</v>
      </c>
      <c r="AB63" s="6" t="s">
        <v>14</v>
      </c>
      <c r="AC63" s="6" t="s">
        <v>15</v>
      </c>
    </row>
    <row r="64" spans="1:31" x14ac:dyDescent="0.3">
      <c r="C64" s="1">
        <v>11</v>
      </c>
      <c r="D64" s="1">
        <f>CEILING(Demon!$B13/ IF(Demon!$D13&lt; 10.8, $F$8, $F$8 / (Demon!$D13 / 10.8)),1)</f>
        <v>3</v>
      </c>
      <c r="E64" s="1">
        <f>CEILING(Elf!B13 / IF(Elf!$D13&lt; 10.8, $F$8,$F$8 / (Elf!$D13 / 10.8)),1)</f>
        <v>3</v>
      </c>
      <c r="F64" s="1">
        <f>CEILING(Beastgirl!$B13 / IF(Beastgirl!$D13&lt; 10.8, $F$8, $F$8 / (Beastgirl!$D13 / 10.8)),1)</f>
        <v>5</v>
      </c>
      <c r="G64" s="1">
        <f>CEILING(Warrior!$B13 / IF(Warrior!$D13&lt; 10.8, $F$8, $F$8 / (Warrior!$D13 / 10.8)),1)</f>
        <v>4</v>
      </c>
      <c r="N64" s="1">
        <v>11</v>
      </c>
      <c r="O64" s="1">
        <f>CEILING(Demon!$B13 / IF(Demon!$D13&lt; 10.8, $Q$8, $Q$8 / (Demon!$D13/ 10.8)),1)</f>
        <v>2</v>
      </c>
      <c r="P64" s="1">
        <f>CEILING(Elf!$B13/ IF(Elf!$D13 &lt; 10.8, $Q$8, $Q$8 / (Elf!$D13/ 10.8)),1)</f>
        <v>2</v>
      </c>
      <c r="Q64" s="1">
        <f>CEILING(Beastgirl!$B13/ IF(Beastgirl!$D13&lt; 10.8, $Q$8, $Q$8 / (Beastgirl!$D13 / 10.8)),1)</f>
        <v>4</v>
      </c>
      <c r="R64" s="1">
        <f>CEILING(Warrior!$B13 / IF(Warrior!$D13&lt; 10.8, $Q$8, $Q$8 / (Warrior!$D13 / 10.8)),1)</f>
        <v>3</v>
      </c>
      <c r="Y64" s="1">
        <v>11</v>
      </c>
      <c r="Z64" s="1">
        <f>CEILING(Demon!$B13 / IF(Demon!$D13&lt; 10.8, $AB$8, $AB$8 / (Demon!$D13 / 10.8)),1)</f>
        <v>2</v>
      </c>
      <c r="AA64" s="1">
        <f>CEILING(Elf!$B13 / IF(Elf!$D13 &lt; 10.8, $AB$8, $AB$8 / (Elf!$D13 / 10.8)),1)</f>
        <v>2</v>
      </c>
      <c r="AB64" s="1">
        <f>CEILING(Beastgirl!$B13 / IF(Beastgirl!$D13&lt; 10.8, $AB$8, $AB$8 / (Beastgirl!$D13 / 10.8)),1)</f>
        <v>3</v>
      </c>
      <c r="AC64" s="1">
        <f>CEILING(Warrior!$B13 / IF(Warrior!$D13&lt; 10.8, $AB$8, $AB$8 / (Warrior!$D13 / 10.8)),1)</f>
        <v>2</v>
      </c>
    </row>
    <row r="65" spans="3:29" x14ac:dyDescent="0.3">
      <c r="C65" s="1">
        <v>12</v>
      </c>
      <c r="D65" s="1">
        <f>CEILING(Demon!$B14/ IF(Demon!$D14&lt; 10.8, $F$8, $F$8 / (Demon!$D14 / 10.8)),1)</f>
        <v>3</v>
      </c>
      <c r="E65" s="1">
        <f>CEILING(Elf!B14 / IF(Elf!$D14&lt; 10.8, $F$8,$F$8 / (Elf!$D14 / 10.8)),1)</f>
        <v>3</v>
      </c>
      <c r="F65" s="1">
        <f>CEILING(Beastgirl!$B14 / IF(Beastgirl!$D14&lt; 10.8, $F$8, $F$8 / (Beastgirl!$D14 / 10.8)),1)</f>
        <v>6</v>
      </c>
      <c r="G65" s="1">
        <f>CEILING(Warrior!$B14 / IF(Warrior!$D14&lt; 10.8, $F$8, $F$8 / (Warrior!$D14 / 10.8)),1)</f>
        <v>4</v>
      </c>
      <c r="N65" s="1">
        <v>12</v>
      </c>
      <c r="O65" s="1">
        <f>CEILING(Demon!$B14 / IF(Demon!$D14&lt; 10.8, $Q$8, $Q$8 / (Demon!$D14/ 10.8)),1)</f>
        <v>2</v>
      </c>
      <c r="P65" s="1">
        <f>CEILING(Elf!$B14/ IF(Elf!$D14 &lt; 10.8, $Q$8, $Q$8 / (Elf!$D14/ 10.8)),1)</f>
        <v>2</v>
      </c>
      <c r="Q65" s="1">
        <f>CEILING(Beastgirl!$B14/ IF(Beastgirl!$D14&lt; 10.8, $Q$8, $Q$8 / (Beastgirl!$D14 / 10.8)),1)</f>
        <v>4</v>
      </c>
      <c r="R65" s="1">
        <f>CEILING(Warrior!$B14 / IF(Warrior!$D14&lt; 10.8, $Q$8, $Q$8 / (Warrior!$D14 / 10.8)),1)</f>
        <v>3</v>
      </c>
      <c r="Y65" s="1">
        <v>12</v>
      </c>
      <c r="Z65" s="1">
        <f>CEILING(Demon!$B14 / IF(Demon!$D14&lt; 10.8, $AB$8, $AB$8 / (Demon!$D14 / 10.8)),1)</f>
        <v>2</v>
      </c>
      <c r="AA65" s="1">
        <f>CEILING(Elf!$B14 / IF(Elf!$D14 &lt; 10.8, $AB$8, $AB$8 / (Elf!$D14 / 10.8)),1)</f>
        <v>2</v>
      </c>
      <c r="AB65" s="1">
        <f>CEILING(Beastgirl!$B14 / IF(Beastgirl!$D14&lt; 10.8, $AB$8, $AB$8 / (Beastgirl!$D14 / 10.8)),1)</f>
        <v>3</v>
      </c>
      <c r="AC65" s="1">
        <f>CEILING(Warrior!$B14 / IF(Warrior!$D14&lt; 10.8, $AB$8, $AB$8 / (Warrior!$D14 / 10.8)),1)</f>
        <v>2</v>
      </c>
    </row>
    <row r="66" spans="3:29" ht="21" customHeight="1" x14ac:dyDescent="0.3">
      <c r="C66" s="1">
        <v>13</v>
      </c>
      <c r="D66" s="1">
        <f>CEILING(Demon!$B15/ IF(Demon!$D15&lt; 10.8, $F$8, $F$8 / (Demon!$D15 / 10.8)),1)</f>
        <v>4</v>
      </c>
      <c r="E66" s="1">
        <f>CEILING(Elf!B15 / IF(Elf!$D15&lt; 10.8, $F$8,$F$8 / (Elf!$D15 / 10.8)),1)</f>
        <v>4</v>
      </c>
      <c r="F66" s="1">
        <f>CEILING(Beastgirl!$B15 / IF(Beastgirl!$D15&lt; 10.8, $F$8, $F$8 / (Beastgirl!$D15 / 10.8)),1)</f>
        <v>7</v>
      </c>
      <c r="G66" s="1">
        <f>CEILING(Warrior!$B15 / IF(Warrior!$D15&lt; 10.8, $F$8, $F$8 / (Warrior!$D15 / 10.8)),1)</f>
        <v>5</v>
      </c>
      <c r="N66" s="1">
        <v>13</v>
      </c>
      <c r="O66" s="1">
        <f>CEILING(Demon!$B15 / IF(Demon!$D15&lt; 10.8, $Q$8, $Q$8 / (Demon!$D15/ 10.8)),1)</f>
        <v>3</v>
      </c>
      <c r="P66" s="1">
        <f>CEILING(Elf!$B15/ IF(Elf!$D15 &lt; 10.8, $Q$8, $Q$8 / (Elf!$D15/ 10.8)),1)</f>
        <v>3</v>
      </c>
      <c r="Q66" s="1">
        <f>CEILING(Beastgirl!$B15/ IF(Beastgirl!$D15&lt; 10.8, $Q$8, $Q$8 / (Beastgirl!$D15 / 10.8)),1)</f>
        <v>5</v>
      </c>
      <c r="R66" s="1">
        <f>CEILING(Warrior!$B15 / IF(Warrior!$D15&lt; 10.8, $Q$8, $Q$8 / (Warrior!$D15 / 10.8)),1)</f>
        <v>3</v>
      </c>
      <c r="Y66" s="1">
        <v>13</v>
      </c>
      <c r="Z66" s="1">
        <f>CEILING(Demon!$B15 / IF(Demon!$D15&lt; 10.8, $AB$8, $AB$8 / (Demon!$D15 / 10.8)),1)</f>
        <v>2</v>
      </c>
      <c r="AA66" s="1">
        <f>CEILING(Elf!$B15 / IF(Elf!$D15 &lt; 10.8, $AB$8, $AB$8 / (Elf!$D15 / 10.8)),1)</f>
        <v>2</v>
      </c>
      <c r="AB66" s="1">
        <f>CEILING(Beastgirl!$B15 / IF(Beastgirl!$D15&lt; 10.8, $AB$8, $AB$8 / (Beastgirl!$D15 / 10.8)),1)</f>
        <v>4</v>
      </c>
      <c r="AC66" s="1">
        <f>CEILING(Warrior!$B15 / IF(Warrior!$D15&lt; 10.8, $AB$8, $AB$8 / (Warrior!$D15 / 10.8)),1)</f>
        <v>3</v>
      </c>
    </row>
    <row r="67" spans="3:29" x14ac:dyDescent="0.3">
      <c r="C67" s="1">
        <v>14</v>
      </c>
      <c r="D67" s="1">
        <f>CEILING(Demon!$B16/ IF(Demon!$D16&lt; 10.8, $F$8, $F$8 / (Demon!$D16 / 10.8)),1)</f>
        <v>4</v>
      </c>
      <c r="E67" s="1">
        <f>CEILING(Elf!B16 / IF(Elf!$D16&lt; 10.8, $F$8,$F$8 / (Elf!$D16 / 10.8)),1)</f>
        <v>4</v>
      </c>
      <c r="F67" s="1">
        <f>CEILING(Beastgirl!$B16 / IF(Beastgirl!$D16&lt; 10.8, $F$8, $F$8 / (Beastgirl!$D16 / 10.8)),1)</f>
        <v>8</v>
      </c>
      <c r="G67" s="1">
        <f>CEILING(Warrior!$B16 / IF(Warrior!$D16&lt; 10.8, $F$8, $F$8 / (Warrior!$D16 / 10.8)),1)</f>
        <v>5</v>
      </c>
      <c r="N67" s="1">
        <v>14</v>
      </c>
      <c r="O67" s="1">
        <f>CEILING(Demon!$B16 / IF(Demon!$D16&lt; 10.8, $Q$8, $Q$8 / (Demon!$D16/ 10.8)),1)</f>
        <v>3</v>
      </c>
      <c r="P67" s="1">
        <f>CEILING(Elf!$B16/ IF(Elf!$D16 &lt; 10.8, $Q$8, $Q$8 / (Elf!$D16/ 10.8)),1)</f>
        <v>3</v>
      </c>
      <c r="Q67" s="1">
        <f>CEILING(Beastgirl!$B16/ IF(Beastgirl!$D16&lt; 10.8, $Q$8, $Q$8 / (Beastgirl!$D16 / 10.8)),1)</f>
        <v>5</v>
      </c>
      <c r="R67" s="1">
        <f>CEILING(Warrior!$B16 / IF(Warrior!$D16&lt; 10.8, $Q$8, $Q$8 / (Warrior!$D16 / 10.8)),1)</f>
        <v>4</v>
      </c>
      <c r="Y67" s="1">
        <v>14</v>
      </c>
      <c r="Z67" s="1">
        <f>CEILING(Demon!$B16 / IF(Demon!$D16&lt; 10.8, $AB$8, $AB$8 / (Demon!$D16 / 10.8)),1)</f>
        <v>2</v>
      </c>
      <c r="AA67" s="1">
        <f>CEILING(Elf!$B16 / IF(Elf!$D16 &lt; 10.8, $AB$8, $AB$8 / (Elf!$D16 / 10.8)),1)</f>
        <v>2</v>
      </c>
      <c r="AB67" s="1">
        <f>CEILING(Beastgirl!$B16 / IF(Beastgirl!$D16&lt; 10.8, $AB$8, $AB$8 / (Beastgirl!$D16 / 10.8)),1)</f>
        <v>4</v>
      </c>
      <c r="AC67" s="1">
        <f>CEILING(Warrior!$B16 / IF(Warrior!$D16&lt; 10.8, $AB$8, $AB$8 / (Warrior!$D16 / 10.8)),1)</f>
        <v>3</v>
      </c>
    </row>
    <row r="68" spans="3:29" x14ac:dyDescent="0.3">
      <c r="C68" s="1">
        <v>15</v>
      </c>
      <c r="D68" s="1">
        <f>CEILING(Demon!$B17/ IF(Demon!$D17&lt; 10.8, $F$8, $F$8 / (Demon!$D17 / 10.8)),1)</f>
        <v>6</v>
      </c>
      <c r="E68" s="1">
        <f>CEILING(Elf!B17 / IF(Elf!$D17&lt; 10.8, $F$8,$F$8 / (Elf!$D17 / 10.8)),1)</f>
        <v>7</v>
      </c>
      <c r="F68" s="1">
        <f>CEILING(Beastgirl!$B17 / IF(Beastgirl!$D17&lt; 10.8, $F$8, $F$8 / (Beastgirl!$D17 / 10.8)),1)</f>
        <v>12</v>
      </c>
      <c r="G68" s="1">
        <f>CEILING(Warrior!$B17 / IF(Warrior!$D17&lt; 10.8, $F$8, $F$8 / (Warrior!$D17 / 10.8)),1)</f>
        <v>9</v>
      </c>
      <c r="N68" s="1">
        <v>15</v>
      </c>
      <c r="O68" s="1">
        <f>CEILING(Demon!$B17 / IF(Demon!$D17&lt; 10.8, $Q$8, $Q$8 / (Demon!$D17/ 10.8)),1)</f>
        <v>4</v>
      </c>
      <c r="P68" s="1">
        <f>CEILING(Elf!$B17/ IF(Elf!$D17 &lt; 10.8, $Q$8, $Q$8 / (Elf!$D17/ 10.8)),1)</f>
        <v>5</v>
      </c>
      <c r="Q68" s="1">
        <f>CEILING(Beastgirl!$B17/ IF(Beastgirl!$D17&lt; 10.8, $Q$8, $Q$8 / (Beastgirl!$D17 / 10.8)),1)</f>
        <v>8</v>
      </c>
      <c r="R68" s="1">
        <f>CEILING(Warrior!$B17 / IF(Warrior!$D17&lt; 10.8, $Q$8, $Q$8 / (Warrior!$D17 / 10.8)),1)</f>
        <v>6</v>
      </c>
      <c r="Y68" s="1">
        <v>15</v>
      </c>
      <c r="Z68" s="1">
        <f>CEILING(Demon!$B17 / IF(Demon!$D17&lt; 10.8, $AB$8, $AB$8 / (Demon!$D17 / 10.8)),1)</f>
        <v>3</v>
      </c>
      <c r="AA68" s="1">
        <f>CEILING(Elf!$B17 / IF(Elf!$D17 &lt; 10.8, $AB$8, $AB$8 / (Elf!$D17 / 10.8)),1)</f>
        <v>4</v>
      </c>
      <c r="AB68" s="1">
        <f>CEILING(Beastgirl!$B17 / IF(Beastgirl!$D17&lt; 10.8, $AB$8, $AB$8 / (Beastgirl!$D17 / 10.8)),1)</f>
        <v>6</v>
      </c>
      <c r="AC68" s="1">
        <f>CEILING(Warrior!$B17 / IF(Warrior!$D17&lt; 10.8, $AB$8, $AB$8 / (Warrior!$D17 / 10.8)),1)</f>
        <v>5</v>
      </c>
    </row>
    <row r="69" spans="3:29" x14ac:dyDescent="0.3">
      <c r="C69" s="1">
        <v>16</v>
      </c>
      <c r="D69" s="1">
        <f>CEILING(Demon!$B18/ IF(Demon!$D18&lt; 10.8, $F$8, $F$8 / (Demon!$D18 / 10.8)),1)</f>
        <v>7</v>
      </c>
      <c r="E69" s="1">
        <f>CEILING(Elf!B18 / IF(Elf!$D18&lt; 10.8, $F$8,$F$8 / (Elf!$D18 / 10.8)),1)</f>
        <v>7</v>
      </c>
      <c r="F69" s="1">
        <f>CEILING(Beastgirl!$B18 / IF(Beastgirl!$D18&lt; 10.8, $F$8, $F$8 / (Beastgirl!$D18 / 10.8)),1)</f>
        <v>13</v>
      </c>
      <c r="G69" s="1">
        <f>CEILING(Warrior!$B18 / IF(Warrior!$D18&lt; 10.8, $F$8, $F$8 / (Warrior!$D18 / 10.8)),1)</f>
        <v>9</v>
      </c>
      <c r="N69" s="1">
        <v>16</v>
      </c>
      <c r="O69" s="1">
        <f>CEILING(Demon!$B18 / IF(Demon!$D18&lt; 10.8, $Q$8, $Q$8 / (Demon!$D18/ 10.8)),1)</f>
        <v>5</v>
      </c>
      <c r="P69" s="1">
        <f>CEILING(Elf!$B18/ IF(Elf!$D18 &lt; 10.8, $Q$8, $Q$8 / (Elf!$D18/ 10.8)),1)</f>
        <v>5</v>
      </c>
      <c r="Q69" s="1">
        <f>CEILING(Beastgirl!$B18/ IF(Beastgirl!$D18&lt; 10.8, $Q$8, $Q$8 / (Beastgirl!$D18 / 10.8)),1)</f>
        <v>9</v>
      </c>
      <c r="R69" s="1">
        <f>CEILING(Warrior!$B18 / IF(Warrior!$D18&lt; 10.8, $Q$8, $Q$8 / (Warrior!$D18 / 10.8)),1)</f>
        <v>6</v>
      </c>
      <c r="Y69" s="1">
        <v>16</v>
      </c>
      <c r="Z69" s="1">
        <f>CEILING(Demon!$B18 / IF(Demon!$D18&lt; 10.8, $AB$8, $AB$8 / (Demon!$D18 / 10.8)),1)</f>
        <v>4</v>
      </c>
      <c r="AA69" s="1">
        <f>CEILING(Elf!$B18 / IF(Elf!$D18 &lt; 10.8, $AB$8, $AB$8 / (Elf!$D18 / 10.8)),1)</f>
        <v>4</v>
      </c>
      <c r="AB69" s="1">
        <f>CEILING(Beastgirl!$B18 / IF(Beastgirl!$D18&lt; 10.8, $AB$8, $AB$8 / (Beastgirl!$D18 / 10.8)),1)</f>
        <v>7</v>
      </c>
      <c r="AC69" s="1">
        <f>CEILING(Warrior!$B18 / IF(Warrior!$D18&lt; 10.8, $AB$8, $AB$8 / (Warrior!$D18 / 10.8)),1)</f>
        <v>5</v>
      </c>
    </row>
    <row r="70" spans="3:29" x14ac:dyDescent="0.3">
      <c r="C70" s="1">
        <v>17</v>
      </c>
      <c r="D70" s="1">
        <f>CEILING(Demon!$B19/ IF(Demon!$D19&lt; 10.8, $F$8, $F$8 / (Demon!$D19 / 10.8)),1)</f>
        <v>8</v>
      </c>
      <c r="E70" s="1">
        <f>CEILING(Elf!B19 / IF(Elf!$D19&lt; 10.8, $F$8,$F$8 / (Elf!$D19 / 10.8)),1)</f>
        <v>8</v>
      </c>
      <c r="F70" s="1">
        <f>CEILING(Beastgirl!$B19 / IF(Beastgirl!$D19&lt; 10.8, $F$8, $F$8 / (Beastgirl!$D19 / 10.8)),1)</f>
        <v>15</v>
      </c>
      <c r="G70" s="1">
        <f>CEILING(Warrior!$B19 / IF(Warrior!$D19&lt; 10.8, $F$8, $F$8 / (Warrior!$D19 / 10.8)),1)</f>
        <v>10</v>
      </c>
      <c r="N70" s="1">
        <v>17</v>
      </c>
      <c r="O70" s="1">
        <f>CEILING(Demon!$B19 / IF(Demon!$D19&lt; 10.8, $Q$8, $Q$8 / (Demon!$D19/ 10.8)),1)</f>
        <v>5</v>
      </c>
      <c r="P70" s="1">
        <f>CEILING(Elf!$B19/ IF(Elf!$D19 &lt; 10.8, $Q$8, $Q$8 / (Elf!$D19/ 10.8)),1)</f>
        <v>6</v>
      </c>
      <c r="Q70" s="1">
        <f>CEILING(Beastgirl!$B19/ IF(Beastgirl!$D19&lt; 10.8, $Q$8, $Q$8 / (Beastgirl!$D19 / 10.8)),1)</f>
        <v>10</v>
      </c>
      <c r="R70" s="1">
        <f>CEILING(Warrior!$B19 / IF(Warrior!$D19&lt; 10.8, $Q$8, $Q$8 / (Warrior!$D19 / 10.8)),1)</f>
        <v>7</v>
      </c>
      <c r="Y70" s="1">
        <v>17</v>
      </c>
      <c r="Z70" s="1">
        <f>CEILING(Demon!$B19 / IF(Demon!$D19&lt; 10.8, $AB$8, $AB$8 / (Demon!$D19 / 10.8)),1)</f>
        <v>4</v>
      </c>
      <c r="AA70" s="1">
        <f>CEILING(Elf!$B19 / IF(Elf!$D19 &lt; 10.8, $AB$8, $AB$8 / (Elf!$D19 / 10.8)),1)</f>
        <v>4</v>
      </c>
      <c r="AB70" s="1">
        <f>CEILING(Beastgirl!$B19 / IF(Beastgirl!$D19&lt; 10.8, $AB$8, $AB$8 / (Beastgirl!$D19 / 10.8)),1)</f>
        <v>8</v>
      </c>
      <c r="AC70" s="1">
        <f>CEILING(Warrior!$B19 / IF(Warrior!$D19&lt; 10.8, $AB$8, $AB$8 / (Warrior!$D19 / 10.8)),1)</f>
        <v>5</v>
      </c>
    </row>
    <row r="71" spans="3:29" x14ac:dyDescent="0.3">
      <c r="C71" s="1">
        <v>18</v>
      </c>
      <c r="D71" s="1">
        <f>CEILING(Demon!$B20/ IF(Demon!$D20&lt; 10.8, $F$8, $F$8 / (Demon!$D20 / 10.8)),1)</f>
        <v>8</v>
      </c>
      <c r="E71" s="1">
        <f>CEILING(Elf!B20 / IF(Elf!$D20&lt; 10.8, $F$8,$F$8 / (Elf!$D20 / 10.8)),1)</f>
        <v>9</v>
      </c>
      <c r="F71" s="1">
        <f>CEILING(Beastgirl!$B20 / IF(Beastgirl!$D20&lt; 10.8, $F$8, $F$8 / (Beastgirl!$D20 / 10.8)),1)</f>
        <v>16</v>
      </c>
      <c r="G71" s="1">
        <f>CEILING(Warrior!$B20 / IF(Warrior!$D20&lt; 10.8, $F$8, $F$8 / (Warrior!$D20 / 10.8)),1)</f>
        <v>11</v>
      </c>
      <c r="N71" s="1">
        <v>18</v>
      </c>
      <c r="O71" s="1">
        <f>CEILING(Demon!$B20 / IF(Demon!$D20&lt; 10.8, $Q$8, $Q$8 / (Demon!$D20/ 10.8)),1)</f>
        <v>6</v>
      </c>
      <c r="P71" s="1">
        <f>CEILING(Elf!$B20/ IF(Elf!$D20 &lt; 10.8, $Q$8, $Q$8 / (Elf!$D20/ 10.8)),1)</f>
        <v>6</v>
      </c>
      <c r="Q71" s="1">
        <f>CEILING(Beastgirl!$B20/ IF(Beastgirl!$D20&lt; 10.8, $Q$8, $Q$8 / (Beastgirl!$D20 / 10.8)),1)</f>
        <v>11</v>
      </c>
      <c r="R71" s="1">
        <f>CEILING(Warrior!$B20 / IF(Warrior!$D20&lt; 10.8, $Q$8, $Q$8 / (Warrior!$D20 / 10.8)),1)</f>
        <v>8</v>
      </c>
      <c r="Y71" s="1">
        <v>18</v>
      </c>
      <c r="Z71" s="1">
        <f>CEILING(Demon!$B20 / IF(Demon!$D20&lt; 10.8, $AB$8, $AB$8 / (Demon!$D20 / 10.8)),1)</f>
        <v>4</v>
      </c>
      <c r="AA71" s="1">
        <f>CEILING(Elf!$B20 / IF(Elf!$D20 &lt; 10.8, $AB$8, $AB$8 / (Elf!$D20 / 10.8)),1)</f>
        <v>5</v>
      </c>
      <c r="AB71" s="1">
        <f>CEILING(Beastgirl!$B20 / IF(Beastgirl!$D20&lt; 10.8, $AB$8, $AB$8 / (Beastgirl!$D20 / 10.8)),1)</f>
        <v>8</v>
      </c>
      <c r="AC71" s="1">
        <f>CEILING(Warrior!$B20 / IF(Warrior!$D20&lt; 10.8, $AB$8, $AB$8 / (Warrior!$D20 / 10.8)),1)</f>
        <v>6</v>
      </c>
    </row>
    <row r="72" spans="3:29" x14ac:dyDescent="0.3">
      <c r="C72" s="1">
        <v>19</v>
      </c>
      <c r="D72" s="1">
        <f>CEILING(Demon!$B21/ IF(Demon!$D21&lt; 10.8, $F$8, $F$8 / (Demon!$D21 / 10.8)),1)</f>
        <v>9</v>
      </c>
      <c r="E72" s="1">
        <f>CEILING(Elf!B21 / IF(Elf!$D21&lt; 10.8, $F$8,$F$8 / (Elf!$D21 / 10.8)),1)</f>
        <v>10</v>
      </c>
      <c r="F72" s="1">
        <f>CEILING(Beastgirl!$B21 / IF(Beastgirl!$D21&lt; 10.8, $F$8, $F$8 / (Beastgirl!$D21 / 10.8)),1)</f>
        <v>17</v>
      </c>
      <c r="G72" s="1">
        <f>CEILING(Warrior!$B21 / IF(Warrior!$D21&lt; 10.8, $F$8, $F$8 / (Warrior!$D21 / 10.8)),1)</f>
        <v>12</v>
      </c>
      <c r="N72" s="1">
        <v>19</v>
      </c>
      <c r="O72" s="1">
        <f>CEILING(Demon!$B21 / IF(Demon!$D21&lt; 10.8, $Q$8, $Q$8 / (Demon!$D21/ 10.8)),1)</f>
        <v>6</v>
      </c>
      <c r="P72" s="1">
        <f>CEILING(Elf!$B21/ IF(Elf!$D21 &lt; 10.8, $Q$8, $Q$8 / (Elf!$D21/ 10.8)),1)</f>
        <v>7</v>
      </c>
      <c r="Q72" s="1">
        <f>CEILING(Beastgirl!$B21/ IF(Beastgirl!$D21&lt; 10.8, $Q$8, $Q$8 / (Beastgirl!$D21 / 10.8)),1)</f>
        <v>12</v>
      </c>
      <c r="R72" s="1">
        <f>CEILING(Warrior!$B21 / IF(Warrior!$D21&lt; 10.8, $Q$8, $Q$8 / (Warrior!$D21 / 10.8)),1)</f>
        <v>8</v>
      </c>
      <c r="Y72" s="1">
        <v>19</v>
      </c>
      <c r="Z72" s="1">
        <f>CEILING(Demon!$B21 / IF(Demon!$D21&lt; 10.8, $AB$8, $AB$8 / (Demon!$D21 / 10.8)),1)</f>
        <v>5</v>
      </c>
      <c r="AA72" s="1">
        <f>CEILING(Elf!$B21 / IF(Elf!$D21 &lt; 10.8, $AB$8, $AB$8 / (Elf!$D21 / 10.8)),1)</f>
        <v>5</v>
      </c>
      <c r="AB72" s="1">
        <f>CEILING(Beastgirl!$B21 / IF(Beastgirl!$D21&lt; 10.8, $AB$8, $AB$8 / (Beastgirl!$D21 / 10.8)),1)</f>
        <v>9</v>
      </c>
      <c r="AC72" s="1">
        <f>CEILING(Warrior!$B21 / IF(Warrior!$D21&lt; 10.8, $AB$8, $AB$8 / (Warrior!$D21 / 10.8)),1)</f>
        <v>6</v>
      </c>
    </row>
    <row r="73" spans="3:29" x14ac:dyDescent="0.3">
      <c r="C73" s="1">
        <v>20</v>
      </c>
      <c r="D73" s="1">
        <f>CEILING(Demon!$B22/ IF(Demon!$D22&lt; 10.8, $F$8, $F$8 / (Demon!$D22 / 10.8)),1)</f>
        <v>10</v>
      </c>
      <c r="E73" s="1">
        <f>CEILING(Elf!B22 / IF(Elf!$D22&lt; 10.8, $F$8,$F$8 / (Elf!$D22 / 10.8)),1)</f>
        <v>11</v>
      </c>
      <c r="F73" s="1">
        <f>CEILING(Beastgirl!$B22 / IF(Beastgirl!$D22&lt; 10.8, $F$8, $F$8 / (Beastgirl!$D22 / 10.8)),1)</f>
        <v>19</v>
      </c>
      <c r="G73" s="1">
        <f>CEILING(Warrior!$B22 / IF(Warrior!$D22&lt; 10.8, $F$8, $F$8 / (Warrior!$D22 / 10.8)),1)</f>
        <v>13</v>
      </c>
      <c r="N73" s="1">
        <v>20</v>
      </c>
      <c r="O73" s="1">
        <f>CEILING(Demon!$B22 / IF(Demon!$D22&lt; 10.8, $Q$8, $Q$8 / (Demon!$D22/ 10.8)),1)</f>
        <v>7</v>
      </c>
      <c r="P73" s="1">
        <f>CEILING(Elf!$B22/ IF(Elf!$D22 &lt; 10.8, $Q$8, $Q$8 / (Elf!$D22/ 10.8)),1)</f>
        <v>7</v>
      </c>
      <c r="Q73" s="1">
        <f>CEILING(Beastgirl!$B22/ IF(Beastgirl!$D22&lt; 10.8, $Q$8, $Q$8 / (Beastgirl!$D22 / 10.8)),1)</f>
        <v>13</v>
      </c>
      <c r="R73" s="1">
        <f>CEILING(Warrior!$B22 / IF(Warrior!$D22&lt; 10.8, $Q$8, $Q$8 / (Warrior!$D22 / 10.8)),1)</f>
        <v>9</v>
      </c>
      <c r="Y73" s="1">
        <v>20</v>
      </c>
      <c r="Z73" s="1">
        <f>CEILING(Demon!$B22 / IF(Demon!$D22&lt; 10.8, $AB$8, $AB$8 / (Demon!$D22 / 10.8)),1)</f>
        <v>5</v>
      </c>
      <c r="AA73" s="1">
        <f>CEILING(Elf!$B22 / IF(Elf!$D22 &lt; 10.8, $AB$8, $AB$8 / (Elf!$D22 / 10.8)),1)</f>
        <v>6</v>
      </c>
      <c r="AB73" s="1">
        <f>CEILING(Beastgirl!$B22 / IF(Beastgirl!$D22&lt; 10.8, $AB$8, $AB$8 / (Beastgirl!$D22 / 10.8)),1)</f>
        <v>10</v>
      </c>
      <c r="AC73" s="1">
        <f>CEILING(Warrior!$B22 / IF(Warrior!$D22&lt; 10.8, $AB$8, $AB$8 / (Warrior!$D22 / 10.8)),1)</f>
        <v>7</v>
      </c>
    </row>
  </sheetData>
  <mergeCells count="18">
    <mergeCell ref="C49:G49"/>
    <mergeCell ref="N49:R49"/>
    <mergeCell ref="Y49:AC49"/>
    <mergeCell ref="C62:G62"/>
    <mergeCell ref="N62:R62"/>
    <mergeCell ref="Y62:AC62"/>
    <mergeCell ref="C23:G23"/>
    <mergeCell ref="N23:R23"/>
    <mergeCell ref="Y23:AC23"/>
    <mergeCell ref="C36:G36"/>
    <mergeCell ref="N36:R36"/>
    <mergeCell ref="Y36:AC36"/>
    <mergeCell ref="A1:K1"/>
    <mergeCell ref="L1:V1"/>
    <mergeCell ref="W1:AF1"/>
    <mergeCell ref="C10:G10"/>
    <mergeCell ref="N10:R10"/>
    <mergeCell ref="Y10:AC10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43C9-76A3-47DF-8F90-D5B0445A450F}">
  <dimension ref="A1:AG66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20</v>
      </c>
      <c r="C3" s="1"/>
      <c r="D3" s="1">
        <v>8</v>
      </c>
      <c r="E3" s="1">
        <v>6</v>
      </c>
      <c r="F3" s="1">
        <v>8</v>
      </c>
      <c r="G3" s="1">
        <v>6</v>
      </c>
      <c r="H3" s="1">
        <v>8</v>
      </c>
      <c r="I3" s="1">
        <v>85</v>
      </c>
      <c r="J3" s="1">
        <v>17</v>
      </c>
      <c r="K3" s="1"/>
      <c r="L3" s="4">
        <v>1</v>
      </c>
      <c r="M3" s="1">
        <f>Table596120147165[[#This Row],[HP]] * 1.5</f>
        <v>30</v>
      </c>
      <c r="N3" s="1"/>
      <c r="O3" s="1">
        <f>Table596120147165[[#This Row],[DEF]] * 1.5</f>
        <v>12</v>
      </c>
      <c r="P3" s="1">
        <f>Table596120147165[[#This Row],[AGI]] * 1.5</f>
        <v>9</v>
      </c>
      <c r="Q3" s="1">
        <f>Table596120147165[[#This Row],[STR]] * 1.5</f>
        <v>12</v>
      </c>
      <c r="R3" s="1">
        <f>Table596120147165[[#This Row],[INT]] * 1.5</f>
        <v>9</v>
      </c>
      <c r="S3" s="1">
        <f xml:space="preserve"> Table596120147165[[#This Row],[DEX]] * 1.5</f>
        <v>12</v>
      </c>
      <c r="T3" s="1">
        <f>Table596120147165[[#This Row],[XP Given]] * 1.25</f>
        <v>106.25</v>
      </c>
      <c r="U3" s="1">
        <f>Table596120147165[[#This Row],[Gold Given]] * 1.25</f>
        <v>21.25</v>
      </c>
      <c r="V3" s="1"/>
      <c r="W3" s="4">
        <v>1</v>
      </c>
      <c r="X3" s="1">
        <f>Table596120147165[[#This Row],[HP]] * 2</f>
        <v>40</v>
      </c>
      <c r="Y3" s="1"/>
      <c r="Z3" s="1">
        <f>Table596120147165[[#This Row],[DEF]] * 2</f>
        <v>16</v>
      </c>
      <c r="AA3" s="1">
        <f>Table596120147165[[#This Row],[AGI]] * 2</f>
        <v>12</v>
      </c>
      <c r="AB3" s="1">
        <f>Table596120147165[[#This Row],[STR]] * 2</f>
        <v>16</v>
      </c>
      <c r="AC3" s="1">
        <f>Table596120147165[[#This Row],[INT]] * 2</f>
        <v>12</v>
      </c>
      <c r="AD3" s="1">
        <f xml:space="preserve"> Table596120147165[[#This Row],[DEX]] * 2</f>
        <v>16</v>
      </c>
      <c r="AE3" s="1">
        <f>Table596120147165[[#This Row],[XP Given]] * 1.5</f>
        <v>127.5</v>
      </c>
      <c r="AF3" s="1">
        <f>Table596120147165[[#This Row],[Gold Given]] * 1.5</f>
        <v>25.5</v>
      </c>
    </row>
    <row r="4" spans="1:32" x14ac:dyDescent="0.3">
      <c r="A4" s="4">
        <v>20</v>
      </c>
      <c r="B4" s="1">
        <f>$B$3 + ((Table596120147165[[#This Row],[LV]] / 10) + $B$3 / 8) * Table596120147165[[#This Row],[LV]]</f>
        <v>110</v>
      </c>
      <c r="C4" s="1"/>
      <c r="D4" s="1">
        <f>$D$3 + ($D$3 / 4) * Table596120147165[[#This Row],[LV]]</f>
        <v>48</v>
      </c>
      <c r="E4" s="1">
        <f>$E$3 + ($E$3 / 4) * Table596120147165[[#This Row],[LV]]</f>
        <v>36</v>
      </c>
      <c r="F4" s="1">
        <f>$F$3 + ($F$3 / 4) * Table596120147165[[#This Row],[LV]]</f>
        <v>48</v>
      </c>
      <c r="G4" s="1">
        <f>$G$3 + ($G$3 / 4) * Table596120147165[[#This Row],[LV]]</f>
        <v>36</v>
      </c>
      <c r="H4" s="1">
        <f>$H$3 + ($H$3 / 4) * Table596120147165[[#This Row],[LV]]</f>
        <v>48</v>
      </c>
      <c r="I4" s="1">
        <f>$I$3 + $I$3 * Table596120147165[[#This Row],[LV]] *25 / 100</f>
        <v>510</v>
      </c>
      <c r="J4" s="1">
        <f>$J$3 + $J$3 * Table596120147165[[#This Row],[LV]] * 25 / 100</f>
        <v>102</v>
      </c>
      <c r="K4" s="1"/>
      <c r="L4" s="4">
        <v>20</v>
      </c>
      <c r="M4" s="1">
        <f>$M$3 + ((Table5997121148166[[#This Row],[LV]] / 10) + $M$3 / 8) * Table5997121148166[[#This Row],[LV]]</f>
        <v>145</v>
      </c>
      <c r="N4" s="1"/>
      <c r="O4" s="1">
        <f>$O$3 + ($O$3 / 4) * Table5997121148166[[#This Row],[LV]]</f>
        <v>72</v>
      </c>
      <c r="P4" s="1">
        <f>$P$3 + ($P$3 / 4) * Table5997121148166[[#This Row],[LV]]</f>
        <v>54</v>
      </c>
      <c r="Q4" s="1">
        <f>$Q$3 + ($Q$3 / 4) * Table5997121148166[[#This Row],[LV]]</f>
        <v>72</v>
      </c>
      <c r="R4" s="1">
        <f>$R$3 + ($R$3 / 4) * Table5997121148166[[#This Row],[LV]]</f>
        <v>54</v>
      </c>
      <c r="S4" s="1">
        <f>$S$3 + ($S$3 / 4) * Table5997121148166[[#This Row],[LV]]</f>
        <v>72</v>
      </c>
      <c r="T4" s="1">
        <f>Table596120147165[[#This Row],[XP Given]] * 1.25</f>
        <v>637.5</v>
      </c>
      <c r="U4" s="1">
        <f>Table596120147165[[#This Row],[Gold Given]] * 1.25</f>
        <v>127.5</v>
      </c>
      <c r="V4" s="1"/>
      <c r="W4" s="4">
        <v>20</v>
      </c>
      <c r="X4" s="1">
        <f>$X$3 + ((Table591098122149167[[#This Row],[LV]] / 10) + $X$3 / 8) * Table591098122149167[[#This Row],[LV]]</f>
        <v>180</v>
      </c>
      <c r="Y4" s="1"/>
      <c r="Z4" s="1">
        <f>$Z$3 + ($Z$3 / 4) * Table591098122149167[[#This Row],[LV]]</f>
        <v>96</v>
      </c>
      <c r="AA4" s="1">
        <f>$AA$3 + ($AA$3 / 4) * Table591098122149167[[#This Row],[LV]]</f>
        <v>72</v>
      </c>
      <c r="AB4" s="1">
        <f>$AB$3 + ($AB$3 / 4) * Table591098122149167[[#This Row],[LV]]</f>
        <v>96</v>
      </c>
      <c r="AC4" s="1">
        <f>$AC$3 + ($AC$3 / 4) * Table591098122149167[[#This Row],[LV]]</f>
        <v>72</v>
      </c>
      <c r="AD4" s="1">
        <f>$AD$3 + ($AD$3 / 4) * Table591098122149167[[#This Row],[LV]]</f>
        <v>96</v>
      </c>
      <c r="AE4" s="1">
        <f>Table596120147165[[#This Row],[XP Given]] * 1.5</f>
        <v>765</v>
      </c>
      <c r="AF4" s="1">
        <f>Table596120147165[[#This Row],[Gold Given]] * 1.5</f>
        <v>153</v>
      </c>
    </row>
    <row r="5" spans="1:32" x14ac:dyDescent="0.3">
      <c r="K5" s="1"/>
      <c r="V5" s="1"/>
    </row>
    <row r="6" spans="1:32" ht="25.8" x14ac:dyDescent="0.3">
      <c r="C6" s="53" t="s">
        <v>53</v>
      </c>
      <c r="D6" s="53"/>
      <c r="E6" s="53"/>
      <c r="F6" s="53"/>
      <c r="G6" s="53"/>
      <c r="H6" s="7"/>
      <c r="K6" s="1"/>
      <c r="N6" s="53" t="s">
        <v>53</v>
      </c>
      <c r="O6" s="53"/>
      <c r="P6" s="53"/>
      <c r="Q6" s="53"/>
      <c r="R6" s="53"/>
      <c r="S6" s="7"/>
      <c r="T6" s="7"/>
      <c r="U6" s="7"/>
      <c r="V6" s="1"/>
      <c r="Y6" s="53" t="s">
        <v>53</v>
      </c>
      <c r="Z6" s="53"/>
      <c r="AA6" s="53"/>
      <c r="AB6" s="53"/>
      <c r="AC6" s="53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11</v>
      </c>
      <c r="D8" s="1">
        <f>CEILING(Demon!$B13 / IF(Demon!$D13&lt; 10.8, $F$4, $F$4 / (Demon!$D13 / 10.8)),1)</f>
        <v>2</v>
      </c>
      <c r="E8" s="1">
        <f>CEILING(Elf!$B13 / IF(Elf!$D13 &lt; 10.8, $F$4, $F$4 / (Elf!$D13 / 10.8)),1)</f>
        <v>2</v>
      </c>
      <c r="F8" s="1">
        <f>CEILING(Beastgirl!$B13/ IF(Beastgirl!$D13&lt; 10.8,$F$4, $F$4 / (Beastgirl!$D13 / 10.8)),1)</f>
        <v>4</v>
      </c>
      <c r="G8" s="1">
        <f>CEILING(Warrior!$B13/ IF(Warrior!$D13&lt; 10.8, $F$4, $F$4 / (Warrior!$D13 / 10.8)),1)</f>
        <v>3</v>
      </c>
      <c r="H8" s="1"/>
      <c r="I8" s="1"/>
      <c r="J8" s="1"/>
      <c r="K8" s="1"/>
      <c r="L8" s="1"/>
      <c r="M8" s="1"/>
      <c r="N8" s="1">
        <v>11</v>
      </c>
      <c r="O8" s="1">
        <f>CEILING(Demon!$B13 / IF(Demon!$D13&lt; 10.8, $Q$4, $Q$4 / (Demon!$D13 / 10.8)),1)</f>
        <v>2</v>
      </c>
      <c r="P8" s="1">
        <f>CEILING(Elf!$B13 / IF(Elf!$D13 &lt; 10.8, $Q$4, $Q$4 / (Elf!$D13 / 10.8)),1)</f>
        <v>2</v>
      </c>
      <c r="Q8" s="1">
        <f>CEILING(Beastgirl!$B13 / IF(Beastgirl!$D13&lt; 10.8, $Q$4, $Q$4 / (Beastgirl!$D13 / 10.8)),1)</f>
        <v>3</v>
      </c>
      <c r="R8" s="1">
        <f>CEILING(Warrior!$B13 / IF(Warrior!$D13&lt; 10.8, $Q$4, $Q$4 / (Warrior!$D13 / 10.8)),1)</f>
        <v>2</v>
      </c>
      <c r="S8" s="1"/>
      <c r="T8" s="1"/>
      <c r="U8" s="1"/>
      <c r="V8" s="1"/>
      <c r="W8" s="1"/>
      <c r="X8" s="1"/>
      <c r="Y8" s="1">
        <v>11</v>
      </c>
      <c r="Z8" s="1">
        <f>CEILING(Demon!$B13 / IF(Demon!$D13&lt; 10.8, $AB$4, $AB$4 / (Demon!$D13 / 10.8)),1)</f>
        <v>1</v>
      </c>
      <c r="AA8" s="1">
        <f>CEILING(Elf!$B13 / IF(Elf!$D13 &lt; 10.8, $AB$4, $AB$4 / (Elf!$D13 / 10.8)),1)</f>
        <v>1</v>
      </c>
      <c r="AB8" s="1">
        <f>CEILING(Beastgirl!$B13 / IF(Beastgirl!$D13&lt; 10.8, $AB$4, $AB$4 / (Beastgirl!$D13 / 10.8)),1)</f>
        <v>2</v>
      </c>
      <c r="AC8" s="1">
        <f>CEILING(Warrior!$B13 / IF(Warrior!$D13&lt; 10.8, $AB$4, $AB$4 / (Warrior!$D13 / 10.8)),1)</f>
        <v>2</v>
      </c>
      <c r="AD8" s="1"/>
      <c r="AE8" s="1"/>
    </row>
    <row r="9" spans="1:32" x14ac:dyDescent="0.3">
      <c r="A9" s="1"/>
      <c r="B9" s="1"/>
      <c r="C9" s="1">
        <v>12</v>
      </c>
      <c r="D9" s="1">
        <f>CEILING(Demon!$B14 / IF(Demon!$D14&lt; 10.8, $F$4, $F$4 / (Demon!$D14 / 10.8)),1)</f>
        <v>3</v>
      </c>
      <c r="E9" s="1">
        <f>CEILING(Elf!$B14 / IF(Elf!$D14 &lt; 10.8, $F$4, $F$4 / (Elf!$D14 / 10.8)),1)</f>
        <v>3</v>
      </c>
      <c r="F9" s="1">
        <f>CEILING(Beastgirl!$B14/ IF(Beastgirl!$D14&lt; 10.8,$F$4, $F$4 / (Beastgirl!$D14 / 10.8)),1)</f>
        <v>4</v>
      </c>
      <c r="G9" s="1">
        <f>CEILING(Warrior!$B14/ IF(Warrior!$D14&lt; 10.8, $F$4, $F$4 / (Warrior!$D14 / 10.8)),1)</f>
        <v>3</v>
      </c>
      <c r="H9" s="1"/>
      <c r="I9" s="1"/>
      <c r="J9" s="1"/>
      <c r="L9" s="1"/>
      <c r="M9" s="1"/>
      <c r="N9" s="1">
        <v>12</v>
      </c>
      <c r="O9" s="1">
        <f>CEILING(Demon!$B14 / IF(Demon!$D14&lt; 10.8, $Q$4, $Q$4 / (Demon!$D14 / 10.8)),1)</f>
        <v>2</v>
      </c>
      <c r="P9" s="1">
        <f>CEILING(Elf!$B14 / IF(Elf!$D14 &lt; 10.8, $Q$4, $Q$4 / (Elf!$D14 / 10.8)),1)</f>
        <v>2</v>
      </c>
      <c r="Q9" s="1">
        <f>CEILING(Beastgirl!$B14 / IF(Beastgirl!$D14&lt; 10.8, $Q$4, $Q$4 / (Beastgirl!$D14 / 10.8)),1)</f>
        <v>3</v>
      </c>
      <c r="R9" s="1">
        <f>CEILING(Warrior!$B14 / IF(Warrior!$D14&lt; 10.8, $Q$4, $Q$4 / (Warrior!$D14 / 10.8)),1)</f>
        <v>2</v>
      </c>
      <c r="S9" s="1"/>
      <c r="T9" s="1"/>
      <c r="U9" s="1"/>
      <c r="W9" s="1"/>
      <c r="X9" s="1"/>
      <c r="Y9" s="1">
        <v>12</v>
      </c>
      <c r="Z9" s="1">
        <f>CEILING(Demon!$B14 / IF(Demon!$D14&lt; 10.8, $AB$4, $AB$4 / (Demon!$D14 / 10.8)),1)</f>
        <v>2</v>
      </c>
      <c r="AA9" s="1">
        <f>CEILING(Elf!$B14 / IF(Elf!$D14 &lt; 10.8, $AB$4, $AB$4 / (Elf!$D14 / 10.8)),1)</f>
        <v>2</v>
      </c>
      <c r="AB9" s="1">
        <f>CEILING(Beastgirl!$B14 / IF(Beastgirl!$D14&lt; 10.8, $AB$4, $AB$4 / (Beastgirl!$D14 / 10.8)),1)</f>
        <v>2</v>
      </c>
      <c r="AC9" s="1">
        <f>CEILING(Warrior!$B14 / IF(Warrior!$D14&lt; 10.8, $AB$4, $AB$4 / (Warrior!$D14 / 10.8)),1)</f>
        <v>2</v>
      </c>
      <c r="AD9" s="1"/>
      <c r="AE9" s="1"/>
    </row>
    <row r="10" spans="1:32" ht="25.8" x14ac:dyDescent="0.3">
      <c r="A10" s="1"/>
      <c r="B10" s="1"/>
      <c r="C10" s="1">
        <v>13</v>
      </c>
      <c r="D10" s="1">
        <f>CEILING(Demon!$B15 / IF(Demon!$D15&lt; 10.8, $F$4, $F$4 / (Demon!$D15 / 10.8)),1)</f>
        <v>3</v>
      </c>
      <c r="E10" s="1">
        <f>CEILING(Elf!$B15 / IF(Elf!$D15 &lt; 10.8, $F$4, $F$4 / (Elf!$D15 / 10.8)),1)</f>
        <v>3</v>
      </c>
      <c r="F10" s="1">
        <f>CEILING(Beastgirl!$B15/ IF(Beastgirl!$D15&lt; 10.8,$F$4, $F$4 / (Beastgirl!$D15 / 10.8)),1)</f>
        <v>5</v>
      </c>
      <c r="G10" s="1">
        <f>CEILING(Warrior!$B15/ IF(Warrior!$D15&lt; 10.8, $F$4, $F$4 / (Warrior!$D15 / 10.8)),1)</f>
        <v>4</v>
      </c>
      <c r="H10" s="1"/>
      <c r="I10" s="1"/>
      <c r="J10" s="1"/>
      <c r="L10" s="1"/>
      <c r="M10" s="1"/>
      <c r="N10" s="1">
        <v>13</v>
      </c>
      <c r="O10" s="1">
        <f>CEILING(Demon!$B15 / IF(Demon!$D15&lt; 10.8, $Q$4, $Q$4 / (Demon!$D15 / 10.8)),1)</f>
        <v>2</v>
      </c>
      <c r="P10" s="1">
        <f>CEILING(Elf!$B15 / IF(Elf!$D15 &lt; 10.8, $Q$4, $Q$4 / (Elf!$D15 / 10.8)),1)</f>
        <v>2</v>
      </c>
      <c r="Q10" s="1">
        <f>CEILING(Beastgirl!$B15 / IF(Beastgirl!$D15&lt; 10.8, $Q$4, $Q$4 / (Beastgirl!$D15 / 10.8)),1)</f>
        <v>4</v>
      </c>
      <c r="R10" s="1">
        <f>CEILING(Warrior!$B15 / IF(Warrior!$D15&lt; 10.8, $Q$4, $Q$4 / (Warrior!$D15 / 10.8)),1)</f>
        <v>3</v>
      </c>
      <c r="S10" s="1"/>
      <c r="T10" s="1"/>
      <c r="U10" s="1"/>
      <c r="V10" s="7"/>
      <c r="W10" s="1"/>
      <c r="X10" s="1"/>
      <c r="Y10" s="1">
        <v>13</v>
      </c>
      <c r="Z10" s="1">
        <f>CEILING(Demon!$B15 / IF(Demon!$D15&lt; 10.8, $AB$4, $AB$4 / (Demon!$D15 / 10.8)),1)</f>
        <v>2</v>
      </c>
      <c r="AA10" s="1">
        <f>CEILING(Elf!$B15 / IF(Elf!$D15 &lt; 10.8, $AB$4, $AB$4 / (Elf!$D15 / 10.8)),1)</f>
        <v>2</v>
      </c>
      <c r="AB10" s="1">
        <f>CEILING(Beastgirl!$B15 / IF(Beastgirl!$D15&lt; 10.8, $AB$4, $AB$4 / (Beastgirl!$D15 / 10.8)),1)</f>
        <v>3</v>
      </c>
      <c r="AC10" s="1">
        <f>CEILING(Warrior!$B15 / IF(Warrior!$D15&lt; 10.8, $AB$4, $AB$4 / (Warrior!$D15 / 10.8)),1)</f>
        <v>2</v>
      </c>
      <c r="AD10" s="1"/>
      <c r="AE10" s="1"/>
    </row>
    <row r="11" spans="1:32" s="6" customFormat="1" ht="25.8" x14ac:dyDescent="0.3">
      <c r="A11" s="1"/>
      <c r="B11" s="1"/>
      <c r="C11" s="1">
        <v>14</v>
      </c>
      <c r="D11" s="1">
        <f>CEILING(Demon!$B16 / IF(Demon!$D16&lt; 10.8, $F$4, $F$4 / (Demon!$D16 / 10.8)),1)</f>
        <v>3</v>
      </c>
      <c r="E11" s="1">
        <f>CEILING(Elf!$B16 / IF(Elf!$D16 &lt; 10.8, $F$4, $F$4 / (Elf!$D16 / 10.8)),1)</f>
        <v>3</v>
      </c>
      <c r="F11" s="1">
        <f>CEILING(Beastgirl!$B16/ IF(Beastgirl!$D16&lt; 10.8,$F$4, $F$4 / (Beastgirl!$D16 / 10.8)),1)</f>
        <v>6</v>
      </c>
      <c r="G11" s="1">
        <f>CEILING(Warrior!$B16/ IF(Warrior!$D16&lt; 10.8, $F$4, $F$4 / (Warrior!$D16 / 10.8)),1)</f>
        <v>4</v>
      </c>
      <c r="H11" s="1"/>
      <c r="I11" s="1"/>
      <c r="J11" s="1"/>
      <c r="K11" s="7"/>
      <c r="L11" s="1"/>
      <c r="M11" s="1"/>
      <c r="N11" s="1">
        <v>14</v>
      </c>
      <c r="O11" s="1">
        <f>CEILING(Demon!$B16 / IF(Demon!$D16&lt; 10.8, $Q$4, $Q$4 / (Demon!$D16 / 10.8)),1)</f>
        <v>2</v>
      </c>
      <c r="P11" s="1">
        <f>CEILING(Elf!$B16 / IF(Elf!$D16 &lt; 10.8, $Q$4, $Q$4 / (Elf!$D16 / 10.8)),1)</f>
        <v>2</v>
      </c>
      <c r="Q11" s="1">
        <f>CEILING(Beastgirl!$B16 / IF(Beastgirl!$D16&lt; 10.8, $Q$4, $Q$4 / (Beastgirl!$D16 / 10.8)),1)</f>
        <v>4</v>
      </c>
      <c r="R11" s="1">
        <f>CEILING(Warrior!$B16 / IF(Warrior!$D16&lt; 10.8, $Q$4, $Q$4 / (Warrior!$D16 / 10.8)),1)</f>
        <v>3</v>
      </c>
      <c r="S11" s="1"/>
      <c r="T11" s="1"/>
      <c r="U11" s="1"/>
      <c r="V11" s="4"/>
      <c r="W11" s="1"/>
      <c r="X11" s="1"/>
      <c r="Y11" s="1">
        <v>14</v>
      </c>
      <c r="Z11" s="1">
        <f>CEILING(Demon!$B16 / IF(Demon!$D16&lt; 10.8, $AB$4, $AB$4 / (Demon!$D16 / 10.8)),1)</f>
        <v>2</v>
      </c>
      <c r="AA11" s="1">
        <f>CEILING(Elf!$B16 / IF(Elf!$D16 &lt; 10.8, $AB$4, $AB$4 / (Elf!$D16 / 10.8)),1)</f>
        <v>2</v>
      </c>
      <c r="AB11" s="1">
        <f>CEILING(Beastgirl!$B16 / IF(Beastgirl!$D16&lt; 10.8, $AB$4, $AB$4 / (Beastgirl!$D16 / 10.8)),1)</f>
        <v>3</v>
      </c>
      <c r="AC11" s="1">
        <f>CEILING(Warrior!$B16 / IF(Warrior!$D16&lt; 10.8, $AB$4, $AB$4 / (Warrior!$D16 / 10.8)),1)</f>
        <v>2</v>
      </c>
      <c r="AD11" s="1"/>
      <c r="AE11" s="1"/>
    </row>
    <row r="12" spans="1:32" s="1" customFormat="1" x14ac:dyDescent="0.3">
      <c r="C12" s="1">
        <v>15</v>
      </c>
      <c r="D12" s="1">
        <f>CEILING(Demon!$B17 / IF(Demon!$D17&lt; 10.8, $F$4, $F$4 / (Demon!$D17 / 10.8)),1)</f>
        <v>5</v>
      </c>
      <c r="E12" s="1">
        <f>CEILING(Elf!$B17 / IF(Elf!$D17 &lt; 10.8, $F$4, $F$4 / (Elf!$D17 / 10.8)),1)</f>
        <v>5</v>
      </c>
      <c r="F12" s="1">
        <f>CEILING(Beastgirl!$B17/ IF(Beastgirl!$D17&lt; 10.8,$F$4, $F$4 / (Beastgirl!$D17 / 10.8)),1)</f>
        <v>9</v>
      </c>
      <c r="G12" s="1">
        <f>CEILING(Warrior!$B17/ IF(Warrior!$D17&lt; 10.8, $F$4, $F$4 / (Warrior!$D17 / 10.8)),1)</f>
        <v>6</v>
      </c>
      <c r="N12" s="1">
        <v>15</v>
      </c>
      <c r="O12" s="1">
        <f>CEILING(Demon!$B17 / IF(Demon!$D17&lt; 10.8, $Q$4, $Q$4 / (Demon!$D17 / 10.8)),1)</f>
        <v>3</v>
      </c>
      <c r="P12" s="1">
        <f>CEILING(Elf!$B17 / IF(Elf!$D17 &lt; 10.8, $Q$4, $Q$4 / (Elf!$D17 / 10.8)),1)</f>
        <v>4</v>
      </c>
      <c r="Q12" s="1">
        <f>CEILING(Beastgirl!$B17 / IF(Beastgirl!$D17&lt; 10.8, $Q$4, $Q$4 / (Beastgirl!$D17 / 10.8)),1)</f>
        <v>6</v>
      </c>
      <c r="R12" s="1">
        <f>CEILING(Warrior!$B17 / IF(Warrior!$D17&lt; 10.8, $Q$4, $Q$4 / (Warrior!$D17 / 10.8)),1)</f>
        <v>4</v>
      </c>
      <c r="Y12" s="1">
        <v>15</v>
      </c>
      <c r="Z12" s="1">
        <f>CEILING(Demon!$B17 / IF(Demon!$D17&lt; 10.8, $AB$4, $AB$4 / (Demon!$D17 / 10.8)),1)</f>
        <v>3</v>
      </c>
      <c r="AA12" s="1">
        <f>CEILING(Elf!$B17 / IF(Elf!$D17 &lt; 10.8, $AB$4, $AB$4 / (Elf!$D17 / 10.8)),1)</f>
        <v>3</v>
      </c>
      <c r="AB12" s="1">
        <f>CEILING(Beastgirl!$B17 / IF(Beastgirl!$D17&lt; 10.8, $AB$4, $AB$4 / (Beastgirl!$D17 / 10.8)),1)</f>
        <v>5</v>
      </c>
      <c r="AC12" s="1">
        <f>CEILING(Warrior!$B17 / IF(Warrior!$D17&lt; 10.8, $AB$4, $AB$4 / (Warrior!$D17 / 10.8)),1)</f>
        <v>3</v>
      </c>
    </row>
    <row r="13" spans="1:32" s="1" customFormat="1" x14ac:dyDescent="0.3">
      <c r="C13" s="1">
        <v>16</v>
      </c>
      <c r="D13" s="1">
        <f>CEILING(Demon!$B18 / IF(Demon!$D18&lt; 10.8, $F$4, $F$4 / (Demon!$D18 / 10.8)),1)</f>
        <v>5</v>
      </c>
      <c r="E13" s="1">
        <f>CEILING(Elf!$B18 / IF(Elf!$D18 &lt; 10.8, $F$4, $F$4 / (Elf!$D18 / 10.8)),1)</f>
        <v>6</v>
      </c>
      <c r="F13" s="1">
        <f>CEILING(Beastgirl!$B18/ IF(Beastgirl!$D18&lt; 10.8,$F$4, $F$4 / (Beastgirl!$D18 / 10.8)),1)</f>
        <v>10</v>
      </c>
      <c r="G13" s="1">
        <f>CEILING(Warrior!$B18/ IF(Warrior!$D18&lt; 10.8, $F$4, $F$4 / (Warrior!$D18 / 10.8)),1)</f>
        <v>7</v>
      </c>
      <c r="N13" s="1">
        <v>16</v>
      </c>
      <c r="O13" s="1">
        <f>CEILING(Demon!$B18 / IF(Demon!$D18&lt; 10.8, $Q$4, $Q$4 / (Demon!$D18 / 10.8)),1)</f>
        <v>4</v>
      </c>
      <c r="P13" s="1">
        <f>CEILING(Elf!$B18 / IF(Elf!$D18 &lt; 10.8, $Q$4, $Q$4 / (Elf!$D18 / 10.8)),1)</f>
        <v>4</v>
      </c>
      <c r="Q13" s="1">
        <f>CEILING(Beastgirl!$B18 / IF(Beastgirl!$D18&lt; 10.8, $Q$4, $Q$4 / (Beastgirl!$D18 / 10.8)),1)</f>
        <v>7</v>
      </c>
      <c r="R13" s="1">
        <f>CEILING(Warrior!$B18 / IF(Warrior!$D18&lt; 10.8, $Q$4, $Q$4 / (Warrior!$D18 / 10.8)),1)</f>
        <v>5</v>
      </c>
      <c r="Y13" s="1">
        <v>16</v>
      </c>
      <c r="Z13" s="1">
        <f>CEILING(Demon!$B18 / IF(Demon!$D18&lt; 10.8, $AB$4, $AB$4 / (Demon!$D18 / 10.8)),1)</f>
        <v>3</v>
      </c>
      <c r="AA13" s="1">
        <f>CEILING(Elf!$B18 / IF(Elf!$D18 &lt; 10.8, $AB$4, $AB$4 / (Elf!$D18 / 10.8)),1)</f>
        <v>3</v>
      </c>
      <c r="AB13" s="1">
        <f>CEILING(Beastgirl!$B18 / IF(Beastgirl!$D18&lt; 10.8, $AB$4, $AB$4 / (Beastgirl!$D18 / 10.8)),1)</f>
        <v>5</v>
      </c>
      <c r="AC13" s="1">
        <f>CEILING(Warrior!$B18 / IF(Warrior!$D18&lt; 10.8, $AB$4, $AB$4 / (Warrior!$D18 / 10.8)),1)</f>
        <v>4</v>
      </c>
    </row>
    <row r="14" spans="1:32" s="1" customFormat="1" x14ac:dyDescent="0.3">
      <c r="C14" s="1">
        <v>17</v>
      </c>
      <c r="D14" s="1">
        <f>CEILING(Demon!$B19 / IF(Demon!$D19&lt; 10.8, $F$4, $F$4 / (Demon!$D19 / 10.8)),1)</f>
        <v>6</v>
      </c>
      <c r="E14" s="1">
        <f>CEILING(Elf!$B19 / IF(Elf!$D19 &lt; 10.8, $F$4, $F$4 / (Elf!$D19 / 10.8)),1)</f>
        <v>6</v>
      </c>
      <c r="F14" s="1">
        <f>CEILING(Beastgirl!$B19/ IF(Beastgirl!$D19&lt; 10.8,$F$4, $F$4 / (Beastgirl!$D19 / 10.8)),1)</f>
        <v>11</v>
      </c>
      <c r="G14" s="1">
        <f>CEILING(Warrior!$B19/ IF(Warrior!$D19&lt; 10.8, $F$4, $F$4 / (Warrior!$D19 / 10.8)),1)</f>
        <v>8</v>
      </c>
      <c r="N14" s="1">
        <v>17</v>
      </c>
      <c r="O14" s="1">
        <f>CEILING(Demon!$B19 / IF(Demon!$D19&lt; 10.8, $Q$4, $Q$4 / (Demon!$D19 / 10.8)),1)</f>
        <v>4</v>
      </c>
      <c r="P14" s="1">
        <f>CEILING(Elf!$B19 / IF(Elf!$D19 &lt; 10.8, $Q$4, $Q$4 / (Elf!$D19 / 10.8)),1)</f>
        <v>4</v>
      </c>
      <c r="Q14" s="1">
        <f>CEILING(Beastgirl!$B19 / IF(Beastgirl!$D19&lt; 10.8, $Q$4, $Q$4 / (Beastgirl!$D19 / 10.8)),1)</f>
        <v>7</v>
      </c>
      <c r="R14" s="1">
        <f>CEILING(Warrior!$B19 / IF(Warrior!$D19&lt; 10.8, $Q$4, $Q$4 / (Warrior!$D19 / 10.8)),1)</f>
        <v>5</v>
      </c>
      <c r="Y14" s="1">
        <v>17</v>
      </c>
      <c r="Z14" s="1">
        <f>CEILING(Demon!$B19 / IF(Demon!$D19&lt; 10.8, $AB$4, $AB$4 / (Demon!$D19 / 10.8)),1)</f>
        <v>3</v>
      </c>
      <c r="AA14" s="1">
        <f>CEILING(Elf!$B19 / IF(Elf!$D19 &lt; 10.8, $AB$4, $AB$4 / (Elf!$D19 / 10.8)),1)</f>
        <v>3</v>
      </c>
      <c r="AB14" s="1">
        <f>CEILING(Beastgirl!$B19 / IF(Beastgirl!$D19&lt; 10.8, $AB$4, $AB$4 / (Beastgirl!$D19 / 10.8)),1)</f>
        <v>6</v>
      </c>
      <c r="AC14" s="1">
        <f>CEILING(Warrior!$B19 / IF(Warrior!$D19&lt; 10.8, $AB$4, $AB$4 / (Warrior!$D19 / 10.8)),1)</f>
        <v>4</v>
      </c>
    </row>
    <row r="15" spans="1:32" s="1" customFormat="1" x14ac:dyDescent="0.3">
      <c r="C15" s="1">
        <v>18</v>
      </c>
      <c r="D15" s="1">
        <f>CEILING(Demon!$B20 / IF(Demon!$D20&lt; 10.8, $F$4, $F$4 / (Demon!$D20 / 10.8)),1)</f>
        <v>6</v>
      </c>
      <c r="E15" s="1">
        <f>CEILING(Elf!$B20 / IF(Elf!$D20 &lt; 10.8, $F$4, $F$4 / (Elf!$D20 / 10.8)),1)</f>
        <v>7</v>
      </c>
      <c r="F15" s="1">
        <f>CEILING(Beastgirl!$B20/ IF(Beastgirl!$D20&lt; 10.8,$F$4, $F$4 / (Beastgirl!$D20 / 10.8)),1)</f>
        <v>12</v>
      </c>
      <c r="G15" s="1">
        <f>CEILING(Warrior!$B20/ IF(Warrior!$D20&lt; 10.8, $F$4, $F$4 / (Warrior!$D20 / 10.8)),1)</f>
        <v>8</v>
      </c>
      <c r="N15" s="1">
        <v>18</v>
      </c>
      <c r="O15" s="1">
        <f>CEILING(Demon!$B20 / IF(Demon!$D20&lt; 10.8, $Q$4, $Q$4 / (Demon!$D20 / 10.8)),1)</f>
        <v>4</v>
      </c>
      <c r="P15" s="1">
        <f>CEILING(Elf!$B20 / IF(Elf!$D20 &lt; 10.8, $Q$4, $Q$4 / (Elf!$D20 / 10.8)),1)</f>
        <v>5</v>
      </c>
      <c r="Q15" s="1">
        <f>CEILING(Beastgirl!$B20 / IF(Beastgirl!$D20&lt; 10.8, $Q$4, $Q$4 / (Beastgirl!$D20 / 10.8)),1)</f>
        <v>8</v>
      </c>
      <c r="R15" s="1">
        <f>CEILING(Warrior!$B20 / IF(Warrior!$D20&lt; 10.8, $Q$4, $Q$4 / (Warrior!$D20 / 10.8)),1)</f>
        <v>6</v>
      </c>
      <c r="Y15" s="1">
        <v>18</v>
      </c>
      <c r="Z15" s="1">
        <f>CEILING(Demon!$B20 / IF(Demon!$D20&lt; 10.8, $AB$4, $AB$4 / (Demon!$D20 / 10.8)),1)</f>
        <v>3</v>
      </c>
      <c r="AA15" s="1">
        <f>CEILING(Elf!$B20 / IF(Elf!$D20 &lt; 10.8, $AB$4, $AB$4 / (Elf!$D20 / 10.8)),1)</f>
        <v>4</v>
      </c>
      <c r="AB15" s="1">
        <f>CEILING(Beastgirl!$B20 / IF(Beastgirl!$D20&lt; 10.8, $AB$4, $AB$4 / (Beastgirl!$D20 / 10.8)),1)</f>
        <v>6</v>
      </c>
      <c r="AC15" s="1">
        <f>CEILING(Warrior!$B20 / IF(Warrior!$D20&lt; 10.8, $AB$4, $AB$4 / (Warrior!$D20 / 10.8)),1)</f>
        <v>4</v>
      </c>
    </row>
    <row r="16" spans="1:32" s="1" customFormat="1" x14ac:dyDescent="0.3">
      <c r="C16" s="1">
        <v>19</v>
      </c>
      <c r="D16" s="1">
        <f>CEILING(Demon!$B21 / IF(Demon!$D21&lt; 10.8, $F$4, $F$4 / (Demon!$D21 / 10.8)),1)</f>
        <v>7</v>
      </c>
      <c r="E16" s="1">
        <f>CEILING(Elf!$B21 / IF(Elf!$D21 &lt; 10.8, $F$4, $F$4 / (Elf!$D21 / 10.8)),1)</f>
        <v>7</v>
      </c>
      <c r="F16" s="1">
        <f>CEILING(Beastgirl!$B21/ IF(Beastgirl!$D21&lt; 10.8,$F$4, $F$4 / (Beastgirl!$D21 / 10.8)),1)</f>
        <v>13</v>
      </c>
      <c r="G16" s="1">
        <f>CEILING(Warrior!$B21/ IF(Warrior!$D21&lt; 10.8, $F$4, $F$4 / (Warrior!$D21 / 10.8)),1)</f>
        <v>9</v>
      </c>
      <c r="N16" s="1">
        <v>19</v>
      </c>
      <c r="O16" s="1">
        <f>CEILING(Demon!$B21 / IF(Demon!$D21&lt; 10.8, $Q$4, $Q$4 / (Demon!$D21 / 10.8)),1)</f>
        <v>5</v>
      </c>
      <c r="P16" s="1">
        <f>CEILING(Elf!$B21 / IF(Elf!$D21 &lt; 10.8, $Q$4, $Q$4 / (Elf!$D21 / 10.8)),1)</f>
        <v>5</v>
      </c>
      <c r="Q16" s="1">
        <f>CEILING(Beastgirl!$B21 / IF(Beastgirl!$D21&lt; 10.8, $Q$4, $Q$4 / (Beastgirl!$D21 / 10.8)),1)</f>
        <v>9</v>
      </c>
      <c r="R16" s="1">
        <f>CEILING(Warrior!$B21 / IF(Warrior!$D21&lt; 10.8, $Q$4, $Q$4 / (Warrior!$D21 / 10.8)),1)</f>
        <v>6</v>
      </c>
      <c r="Y16" s="1">
        <v>19</v>
      </c>
      <c r="Z16" s="1">
        <f>CEILING(Demon!$B21 / IF(Demon!$D21&lt; 10.8, $AB$4, $AB$4 / (Demon!$D21 / 10.8)),1)</f>
        <v>4</v>
      </c>
      <c r="AA16" s="1">
        <f>CEILING(Elf!$B21 / IF(Elf!$D21 &lt; 10.8, $AB$4, $AB$4 / (Elf!$D21 / 10.8)),1)</f>
        <v>4</v>
      </c>
      <c r="AB16" s="1">
        <f>CEILING(Beastgirl!$B21 / IF(Beastgirl!$D21&lt; 10.8, $AB$4, $AB$4 / (Beastgirl!$D21 / 10.8)),1)</f>
        <v>7</v>
      </c>
      <c r="AC16" s="1">
        <f>CEILING(Warrior!$B21 / IF(Warrior!$D21&lt; 10.8, $AB$4, $AB$4 / (Warrior!$D21 / 10.8)),1)</f>
        <v>5</v>
      </c>
    </row>
    <row r="17" spans="3:33" s="1" customFormat="1" x14ac:dyDescent="0.3">
      <c r="C17" s="1">
        <v>20</v>
      </c>
      <c r="D17" s="1">
        <f>CEILING(Demon!$B22 / IF(Demon!$D22&lt; 10.8, $F$4, $F$4 / (Demon!$D22 / 10.8)),1)</f>
        <v>7</v>
      </c>
      <c r="E17" s="1">
        <f>CEILING(Elf!$B22 / IF(Elf!$D22 &lt; 10.8, $F$4, $F$4 / (Elf!$D22 / 10.8)),1)</f>
        <v>8</v>
      </c>
      <c r="F17" s="1">
        <f>CEILING(Beastgirl!$B22/ IF(Beastgirl!$D22&lt; 10.8,$F$4, $F$4 / (Beastgirl!$D22 / 10.8)),1)</f>
        <v>14</v>
      </c>
      <c r="G17" s="1">
        <f>CEILING(Warrior!$B22/ IF(Warrior!$D22&lt; 10.8, $F$4, $F$4 / (Warrior!$D22 / 10.8)),1)</f>
        <v>10</v>
      </c>
      <c r="N17" s="1">
        <v>20</v>
      </c>
      <c r="O17" s="1">
        <f>CEILING(Demon!$B22 / IF(Demon!$D22&lt; 10.8, $Q$4, $Q$4 / (Demon!$D22 / 10.8)),1)</f>
        <v>5</v>
      </c>
      <c r="P17" s="1">
        <f>CEILING(Elf!$B22 / IF(Elf!$D22 &lt; 10.8, $Q$4, $Q$4 / (Elf!$D22 / 10.8)),1)</f>
        <v>5</v>
      </c>
      <c r="Q17" s="1">
        <f>CEILING(Beastgirl!$B22 / IF(Beastgirl!$D22&lt; 10.8, $Q$4, $Q$4 / (Beastgirl!$D22 / 10.8)),1)</f>
        <v>9</v>
      </c>
      <c r="R17" s="1">
        <f>CEILING(Warrior!$B22 / IF(Warrior!$D22&lt; 10.8, $Q$4, $Q$4 / (Warrior!$D22 / 10.8)),1)</f>
        <v>7</v>
      </c>
      <c r="Y17" s="1">
        <v>20</v>
      </c>
      <c r="Z17" s="1">
        <f>CEILING(Demon!$B22 / IF(Demon!$D22&lt; 10.8, $AB$4, $AB$4 / (Demon!$D22 / 10.8)),1)</f>
        <v>4</v>
      </c>
      <c r="AA17" s="1">
        <f>CEILING(Elf!$B22 / IF(Elf!$D22 &lt; 10.8, $AB$4, $AB$4 / (Elf!$D22 / 10.8)),1)</f>
        <v>4</v>
      </c>
      <c r="AB17" s="1">
        <f>CEILING(Beastgirl!$B22 / IF(Beastgirl!$D22&lt; 10.8, $AB$4, $AB$4 / (Beastgirl!$D22 / 10.8)),1)</f>
        <v>7</v>
      </c>
      <c r="AC17" s="1">
        <f>CEILING(Warrior!$B22 / IF(Warrior!$D22&lt; 10.8, $AB$4, $AB$4 / (Warrior!$D22 / 10.8)),1)</f>
        <v>5</v>
      </c>
    </row>
    <row r="18" spans="3:33" s="1" customFormat="1" x14ac:dyDescent="0.3">
      <c r="C18" s="4"/>
      <c r="D18" s="4"/>
      <c r="E18" s="4"/>
      <c r="F18" s="4"/>
      <c r="G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  <c r="W18" s="4"/>
      <c r="X18" s="4"/>
      <c r="Y18" s="4"/>
      <c r="Z18" s="4"/>
      <c r="AA18" s="4"/>
      <c r="AC18" s="4"/>
      <c r="AD18" s="4"/>
      <c r="AE18" s="4"/>
    </row>
    <row r="19" spans="3:33" s="1" customFormat="1" x14ac:dyDescent="0.3">
      <c r="C19" s="4"/>
      <c r="D19" s="4"/>
      <c r="E19" s="4"/>
      <c r="F19" s="4"/>
      <c r="G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B19" s="4"/>
      <c r="AC19" s="4"/>
      <c r="AD19" s="4"/>
      <c r="AE19" s="4"/>
    </row>
    <row r="20" spans="3:33" s="1" customFormat="1" x14ac:dyDescent="0.3">
      <c r="C20" s="4"/>
      <c r="D20" s="4"/>
      <c r="E20" s="4"/>
      <c r="F20" s="4"/>
      <c r="G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B20" s="4"/>
      <c r="AC20" s="4"/>
      <c r="AD20" s="4"/>
      <c r="AE20" s="4"/>
    </row>
    <row r="21" spans="3:33" s="1" customFormat="1" x14ac:dyDescent="0.3">
      <c r="C21" s="4"/>
      <c r="D21" s="4"/>
      <c r="E21" s="4"/>
      <c r="F21" s="4"/>
      <c r="G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B21" s="4"/>
      <c r="AC21" s="4"/>
      <c r="AD21" s="4"/>
      <c r="AE21" s="4"/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3:33" s="1" customFormat="1" x14ac:dyDescent="0.3">
      <c r="C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3:33" s="1" customFormat="1" x14ac:dyDescent="0.3">
      <c r="C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3:33" s="1" customFormat="1" x14ac:dyDescent="0.3"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3:33" s="1" customFormat="1" x14ac:dyDescent="0.3"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3:33" s="1" customFormat="1" x14ac:dyDescent="0.3"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3:33" s="1" customFormat="1" x14ac:dyDescent="0.3"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3:33" s="1" customFormat="1" x14ac:dyDescent="0.3"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3:33" s="1" customFormat="1" x14ac:dyDescent="0.3"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3:33" s="1" customFormat="1" x14ac:dyDescent="0.3"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6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09FD-35B1-4F24-84BD-E86E7C6B71B7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4414062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10</v>
      </c>
      <c r="E3" s="1">
        <v>2</v>
      </c>
      <c r="F3" s="1">
        <v>6</v>
      </c>
      <c r="G3" s="1">
        <v>4</v>
      </c>
      <c r="H3" s="1">
        <v>2</v>
      </c>
      <c r="I3" s="1">
        <v>11</v>
      </c>
      <c r="J3" s="1">
        <v>16</v>
      </c>
      <c r="K3" s="1"/>
      <c r="L3" s="4">
        <v>1</v>
      </c>
      <c r="M3" s="1">
        <f>Table596183[[#This Row],[HP]] * 1.5</f>
        <v>10.5</v>
      </c>
      <c r="N3" s="1"/>
      <c r="O3" s="1">
        <f>Table596183[[#This Row],[DEF]] * 1.5</f>
        <v>15</v>
      </c>
      <c r="P3" s="1">
        <f>Table596183[[#This Row],[AGI]] * 1.5</f>
        <v>3</v>
      </c>
      <c r="Q3" s="1">
        <f>Table596183[[#This Row],[STR]] * 1.5</f>
        <v>9</v>
      </c>
      <c r="R3" s="1">
        <f>Table596183[[#This Row],[INT]] * 1.5</f>
        <v>6</v>
      </c>
      <c r="S3" s="1">
        <f xml:space="preserve"> Table596183[[#This Row],[DEX]] * 1.5</f>
        <v>3</v>
      </c>
      <c r="T3" s="1">
        <f>Table596183[[#This Row],[XP Given]] * 1.25</f>
        <v>13.75</v>
      </c>
      <c r="U3" s="1"/>
      <c r="V3" s="1"/>
      <c r="W3" s="4">
        <v>1</v>
      </c>
      <c r="X3" s="1">
        <f>Table596183[[#This Row],[HP]] * 2</f>
        <v>14</v>
      </c>
      <c r="Y3" s="1"/>
      <c r="Z3" s="1">
        <f>Table596183[[#This Row],[DEF]] * 2</f>
        <v>20</v>
      </c>
      <c r="AA3" s="1">
        <f>Table596183[[#This Row],[AGI]] * 2</f>
        <v>4</v>
      </c>
      <c r="AB3" s="1">
        <f>Table596183[[#This Row],[STR]] * 2</f>
        <v>12</v>
      </c>
      <c r="AC3" s="1">
        <f>Table596183[[#This Row],[INT]] * 2</f>
        <v>8</v>
      </c>
      <c r="AD3" s="1">
        <f xml:space="preserve"> Table596183[[#This Row],[DEX]] * 2</f>
        <v>4</v>
      </c>
      <c r="AE3" s="1">
        <f>Table596183[[#This Row],[XP Given]]*1.5</f>
        <v>16.5</v>
      </c>
      <c r="AF3" s="1"/>
    </row>
    <row r="4" spans="1:32" x14ac:dyDescent="0.3">
      <c r="A4" s="4">
        <v>21</v>
      </c>
      <c r="B4" s="1">
        <f>$B$3 + ((Table596183[[#This Row],[LV]] / 10) + $B$3 / 8) * Table596183[[#This Row],[LV]]</f>
        <v>69.474999999999994</v>
      </c>
      <c r="C4" s="1"/>
      <c r="D4" s="1">
        <f>$D$3 + ($D$3 / 4) * Table596183[[#This Row],[LV]]</f>
        <v>62.5</v>
      </c>
      <c r="E4" s="1">
        <f>$E$3 + ($E$3 / 4) * Table596183[[#This Row],[LV]]</f>
        <v>12.5</v>
      </c>
      <c r="F4" s="1">
        <f>$F$3 + ($F$3 / 4) * Table596183[[#This Row],[LV]]</f>
        <v>37.5</v>
      </c>
      <c r="G4" s="1">
        <f>$G$3 + ($G$3 / 4) * Table596183[[#This Row],[LV]]</f>
        <v>25</v>
      </c>
      <c r="H4" s="1">
        <f>$H$3 + ($H$3 / 4) * Table596183[[#This Row],[LV]]</f>
        <v>12.5</v>
      </c>
      <c r="I4" s="1">
        <f>$I$3 + $I$3 * Table596183[[#This Row],[LV]] *25 / 100</f>
        <v>68.75</v>
      </c>
      <c r="J4" s="1">
        <f>$J$3 + $J$3 * Table596183[[#This Row],[LV]] * 25 / 100</f>
        <v>100</v>
      </c>
      <c r="K4" s="1"/>
      <c r="L4" s="4">
        <v>21</v>
      </c>
      <c r="M4" s="1">
        <f>$M$3 + ((Table5997184[[#This Row],[LV]] / 10) + $M$3 / 8) * Table5997184[[#This Row],[LV]]</f>
        <v>82.162500000000009</v>
      </c>
      <c r="N4" s="1"/>
      <c r="O4" s="1">
        <f>$O$3 + ($O$3 / 4) * Table5997184[[#This Row],[LV]]</f>
        <v>93.75</v>
      </c>
      <c r="P4" s="1">
        <f>$P$3 + ($P$3 / 4) * Table5997184[[#This Row],[LV]]</f>
        <v>18.75</v>
      </c>
      <c r="Q4" s="1">
        <f>$Q$3 + ($Q$3 / 4) * Table5997184[[#This Row],[LV]]</f>
        <v>56.25</v>
      </c>
      <c r="R4" s="1">
        <f>$R$3 + ($R$3 / 4) * Table5997184[[#This Row],[LV]]</f>
        <v>37.5</v>
      </c>
      <c r="S4" s="1">
        <f>$S$3 + ($S$3 / 4) * Table5997184[[#This Row],[LV]]</f>
        <v>18.75</v>
      </c>
      <c r="T4" s="1">
        <f>Table596183[[#This Row],[XP Given]] * 1.25</f>
        <v>85.9375</v>
      </c>
      <c r="U4" s="1">
        <f>Table596183[[#This Row],[Gold Given]]*1.25</f>
        <v>125</v>
      </c>
      <c r="V4" s="1"/>
      <c r="W4" s="4">
        <v>21</v>
      </c>
      <c r="X4" s="1">
        <f>$X$3 + ((Table591098185[[#This Row],[LV]] / 10) + $X$3 / 8) * Table591098185[[#This Row],[LV]]</f>
        <v>94.850000000000009</v>
      </c>
      <c r="Y4" s="1"/>
      <c r="Z4" s="1">
        <f>$Z$3 + ($Z$3 / 4) * Table591098185[[#This Row],[LV]]</f>
        <v>125</v>
      </c>
      <c r="AA4" s="1">
        <f>$AA$3 + ($AA$3 / 4) * Table591098185[[#This Row],[LV]]</f>
        <v>25</v>
      </c>
      <c r="AB4" s="1">
        <f>$AB$3 + ($AB$3 / 4) * Table591098185[[#This Row],[LV]]</f>
        <v>75</v>
      </c>
      <c r="AC4" s="1">
        <f>$AC$3 + ($AC$3 / 4) * Table591098185[[#This Row],[LV]]</f>
        <v>50</v>
      </c>
      <c r="AD4" s="1">
        <f>$AD$3 + ($AD$3 / 4) * Table591098185[[#This Row],[LV]]</f>
        <v>25</v>
      </c>
      <c r="AE4" s="1">
        <f>Table596183[[#This Row],[XP Given]]*1.5</f>
        <v>103.125</v>
      </c>
      <c r="AF4" s="1">
        <f>Table596183[[#This Row],[Gold Given]]*1.5</f>
        <v>150</v>
      </c>
    </row>
    <row r="5" spans="1:32" x14ac:dyDescent="0.3">
      <c r="A5" s="4">
        <v>22</v>
      </c>
      <c r="B5" s="1">
        <f>$B$3 + ((Table596183[[#This Row],[LV]] / 10) + $B$3 / 8) * Table596183[[#This Row],[LV]]</f>
        <v>74.650000000000006</v>
      </c>
      <c r="C5" s="1"/>
      <c r="D5" s="1">
        <f>$D$3 + ($D$3 / 4) * Table596183[[#This Row],[LV]]</f>
        <v>65</v>
      </c>
      <c r="E5" s="1">
        <f>$E$3 + ($E$3 / 4) * Table596183[[#This Row],[LV]]</f>
        <v>13</v>
      </c>
      <c r="F5" s="1">
        <f>$F$3 + ($F$3 / 4) * Table596183[[#This Row],[LV]]</f>
        <v>39</v>
      </c>
      <c r="G5" s="1">
        <f>$G$3 + ($G$3 / 4) * Table596183[[#This Row],[LV]]</f>
        <v>26</v>
      </c>
      <c r="H5" s="1">
        <f>$H$3 + ($H$3 / 4) * Table596183[[#This Row],[LV]]</f>
        <v>13</v>
      </c>
      <c r="I5" s="1">
        <f>$I$3 + $I$3 * Table596183[[#This Row],[LV]] *25 / 100</f>
        <v>71.5</v>
      </c>
      <c r="J5" s="1">
        <f>$J$3 + $J$3 * Table596183[[#This Row],[LV]] * 25 / 100</f>
        <v>104</v>
      </c>
      <c r="K5" s="1"/>
      <c r="L5" s="4">
        <v>22</v>
      </c>
      <c r="M5" s="1">
        <f>$M$3 + ((Table5997184[[#This Row],[LV]] / 10) + $M$3 / 8) * Table5997184[[#This Row],[LV]]</f>
        <v>87.775000000000006</v>
      </c>
      <c r="N5" s="1"/>
      <c r="O5" s="1">
        <f>$O$3 + ($O$3 / 4) * Table5997184[[#This Row],[LV]]</f>
        <v>97.5</v>
      </c>
      <c r="P5" s="1">
        <f>$P$3 + ($P$3 / 4) * Table5997184[[#This Row],[LV]]</f>
        <v>19.5</v>
      </c>
      <c r="Q5" s="1">
        <f>$Q$3 + ($Q$3 / 4) * Table5997184[[#This Row],[LV]]</f>
        <v>58.5</v>
      </c>
      <c r="R5" s="1">
        <f>$R$3 + ($R$3 / 4) * Table5997184[[#This Row],[LV]]</f>
        <v>39</v>
      </c>
      <c r="S5" s="1">
        <f>$S$3 + ($S$3 / 4) * Table5997184[[#This Row],[LV]]</f>
        <v>19.5</v>
      </c>
      <c r="T5" s="1">
        <f>Table596183[[#This Row],[XP Given]] * 1.25</f>
        <v>89.375</v>
      </c>
      <c r="U5" s="1">
        <f>Table596183[[#This Row],[Gold Given]]*1.25</f>
        <v>130</v>
      </c>
      <c r="V5" s="1"/>
      <c r="W5" s="4">
        <v>22</v>
      </c>
      <c r="X5" s="1">
        <f>$X$3 + ((Table591098185[[#This Row],[LV]] / 10) + $X$3 / 8) * Table591098185[[#This Row],[LV]]</f>
        <v>100.9</v>
      </c>
      <c r="Y5" s="1"/>
      <c r="Z5" s="1">
        <f>$Z$3 + ($Z$3 / 4) * Table591098185[[#This Row],[LV]]</f>
        <v>130</v>
      </c>
      <c r="AA5" s="1">
        <f>$AA$3 + ($AA$3 / 4) * Table591098185[[#This Row],[LV]]</f>
        <v>26</v>
      </c>
      <c r="AB5" s="1">
        <f>$AB$3 + ($AB$3 / 4) * Table591098185[[#This Row],[LV]]</f>
        <v>78</v>
      </c>
      <c r="AC5" s="1">
        <f>$AC$3 + ($AC$3 / 4) * Table591098185[[#This Row],[LV]]</f>
        <v>52</v>
      </c>
      <c r="AD5" s="1">
        <f>$AD$3 + ($AD$3 / 4) * Table591098185[[#This Row],[LV]]</f>
        <v>26</v>
      </c>
      <c r="AE5" s="1">
        <f>Table596183[[#This Row],[XP Given]]*1.5</f>
        <v>107.25</v>
      </c>
      <c r="AF5" s="1">
        <f>Table596183[[#This Row],[Gold Given]]*1.5</f>
        <v>156</v>
      </c>
    </row>
    <row r="6" spans="1:32" x14ac:dyDescent="0.3">
      <c r="A6" s="4">
        <v>23</v>
      </c>
      <c r="B6" s="1">
        <f>$B$3 + ((Table596183[[#This Row],[LV]] / 10) + $B$3 / 8) * Table596183[[#This Row],[LV]]</f>
        <v>80.024999999999991</v>
      </c>
      <c r="C6" s="1"/>
      <c r="D6" s="1">
        <f>$D$3 + ($D$3 / 4) * Table596183[[#This Row],[LV]]</f>
        <v>67.5</v>
      </c>
      <c r="E6" s="1">
        <f>$E$3 + ($E$3 / 4) * Table596183[[#This Row],[LV]]</f>
        <v>13.5</v>
      </c>
      <c r="F6" s="1">
        <f>$F$3 + ($F$3 / 4) * Table596183[[#This Row],[LV]]</f>
        <v>40.5</v>
      </c>
      <c r="G6" s="1">
        <f>$G$3 + ($G$3 / 4) * Table596183[[#This Row],[LV]]</f>
        <v>27</v>
      </c>
      <c r="H6" s="1">
        <f>$H$3 + ($H$3 / 4) * Table596183[[#This Row],[LV]]</f>
        <v>13.5</v>
      </c>
      <c r="I6" s="1">
        <f>$I$3 + $I$3 * Table596183[[#This Row],[LV]] *25 / 100</f>
        <v>74.25</v>
      </c>
      <c r="J6" s="1">
        <f>$J$3 + $J$3 * Table596183[[#This Row],[LV]] * 25 / 100</f>
        <v>108</v>
      </c>
      <c r="K6" s="1"/>
      <c r="L6" s="4">
        <v>23</v>
      </c>
      <c r="M6" s="1">
        <f>$M$3 + ((Table5997184[[#This Row],[LV]] / 10) + $M$3 / 8) * Table5997184[[#This Row],[LV]]</f>
        <v>93.587499999999991</v>
      </c>
      <c r="N6" s="1"/>
      <c r="O6" s="1">
        <f>$O$3 + ($O$3 / 4) * Table5997184[[#This Row],[LV]]</f>
        <v>101.25</v>
      </c>
      <c r="P6" s="1">
        <f>$P$3 + ($P$3 / 4) * Table5997184[[#This Row],[LV]]</f>
        <v>20.25</v>
      </c>
      <c r="Q6" s="1">
        <f>$Q$3 + ($Q$3 / 4) * Table5997184[[#This Row],[LV]]</f>
        <v>60.75</v>
      </c>
      <c r="R6" s="1">
        <f>$R$3 + ($R$3 / 4) * Table5997184[[#This Row],[LV]]</f>
        <v>40.5</v>
      </c>
      <c r="S6" s="1">
        <f>$S$3 + ($S$3 / 4) * Table5997184[[#This Row],[LV]]</f>
        <v>20.25</v>
      </c>
      <c r="T6" s="1">
        <f>Table596183[[#This Row],[XP Given]] * 1.25</f>
        <v>92.8125</v>
      </c>
      <c r="U6" s="1">
        <f>Table596183[[#This Row],[Gold Given]]*1.25</f>
        <v>135</v>
      </c>
      <c r="V6" s="1"/>
      <c r="W6" s="4">
        <v>23</v>
      </c>
      <c r="X6" s="1">
        <f>$X$3 + ((Table591098185[[#This Row],[LV]] / 10) + $X$3 / 8) * Table591098185[[#This Row],[LV]]</f>
        <v>107.14999999999999</v>
      </c>
      <c r="Y6" s="1"/>
      <c r="Z6" s="1">
        <f>$Z$3 + ($Z$3 / 4) * Table591098185[[#This Row],[LV]]</f>
        <v>135</v>
      </c>
      <c r="AA6" s="1">
        <f>$AA$3 + ($AA$3 / 4) * Table591098185[[#This Row],[LV]]</f>
        <v>27</v>
      </c>
      <c r="AB6" s="1">
        <f>$AB$3 + ($AB$3 / 4) * Table591098185[[#This Row],[LV]]</f>
        <v>81</v>
      </c>
      <c r="AC6" s="1">
        <f>$AC$3 + ($AC$3 / 4) * Table591098185[[#This Row],[LV]]</f>
        <v>54</v>
      </c>
      <c r="AD6" s="1">
        <f>$AD$3 + ($AD$3 / 4) * Table591098185[[#This Row],[LV]]</f>
        <v>27</v>
      </c>
      <c r="AE6" s="1">
        <f>Table596183[[#This Row],[XP Given]]*1.5</f>
        <v>111.375</v>
      </c>
      <c r="AF6" s="1">
        <f>Table596183[[#This Row],[Gold Given]]*1.5</f>
        <v>162</v>
      </c>
    </row>
    <row r="8" spans="1:32" ht="25.8" x14ac:dyDescent="0.3">
      <c r="C8" s="53" t="s">
        <v>54</v>
      </c>
      <c r="D8" s="53"/>
      <c r="E8" s="53"/>
      <c r="F8" s="53"/>
      <c r="G8" s="53"/>
      <c r="H8" s="7"/>
      <c r="N8" s="53" t="s">
        <v>54</v>
      </c>
      <c r="O8" s="53"/>
      <c r="P8" s="53"/>
      <c r="Q8" s="53"/>
      <c r="R8" s="53"/>
      <c r="S8" s="7"/>
      <c r="T8" s="7"/>
      <c r="U8" s="7"/>
      <c r="V8" s="7"/>
      <c r="Y8" s="53" t="s">
        <v>54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10</v>
      </c>
      <c r="E10" s="1">
        <f>CEILING(Elf!$B23 / IF(Elf!$D23 &lt; 10.8, $F$4, $F$4 / (Elf!$D23 / 10.8)),1)</f>
        <v>11</v>
      </c>
      <c r="F10" s="1">
        <f>CEILING(Beastgirl!$B23/ IF(Beastgirl!$D23&lt; 10.8,$F$4, $F$4 / (Beastgirl!$D23 / 10.8)),1)</f>
        <v>19</v>
      </c>
      <c r="G10" s="1">
        <f>CEILING(Warrior!$B23/ IF(Warrior!$D23&lt; 10.8, $F$4, $F$4 / (Warrior!$D23 / 10.8)),1)</f>
        <v>13</v>
      </c>
      <c r="N10" s="1">
        <v>21</v>
      </c>
      <c r="O10" s="1">
        <f>CEILING(Demon!$B23 / IF(Demon!$D23&lt; 10.8, $Q$4, $Q$4 / (Demon!$D23 / 10.8)),1)</f>
        <v>7</v>
      </c>
      <c r="P10" s="1">
        <f>CEILING(Elf!$B23 / IF(Elf!$D23&lt; 10.8, $Q$4, $Q$4 / (Elf!$D23 / 10.8)),1)</f>
        <v>7</v>
      </c>
      <c r="Q10" s="1">
        <f>CEILING(Beastgirl!$B23 / IF(Beastgirl!$D23&lt; 10.8, $Q$4, $Q$4 / (Beastgirl!$D23 / 10.8)),1)</f>
        <v>13</v>
      </c>
      <c r="R10" s="1">
        <f>CEILING(Warrior!$B23 / IF(Warrior!$D23&lt; 10.8, $Q$4, $Q$4 / (Warrior!$D23 / 10.8)),1)</f>
        <v>9</v>
      </c>
      <c r="Y10" s="1">
        <v>21</v>
      </c>
      <c r="Z10" s="1">
        <f>CEILING(Demon!$B23 / IF(Demon!$D23&lt; 10.8, $AB$4, $AB$4 / (Demon!$D23 / 10.8)),1)</f>
        <v>5</v>
      </c>
      <c r="AA10" s="1">
        <f>CEILING(Elf!$B23 / IF(Elf!$D23 &lt; 10.8, $AB$4, $AB$4 / (Elf!$D23 / 10.8)),1)</f>
        <v>6</v>
      </c>
      <c r="AB10" s="1">
        <f>CEILING(Beastgirl!$B23 / IF(Beastgirl!$D23&lt; 10.8, $AB$4, $AB$4 / (Beastgirl!$D23 / 10.8)),1)</f>
        <v>10</v>
      </c>
      <c r="AC10" s="1">
        <f>CEILING(Warrior!$B23 / IF(Warrior!$D23&lt; 10.8, $AB$4, $AB$4 / (Warrior!$D23 / 10.8)),1)</f>
        <v>7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11</v>
      </c>
      <c r="E11" s="1">
        <f>CEILING(Elf!$B24 / IF(Elf!$D24 &lt; 10.8, $F$4, $F$4 / (Elf!$D24 / 10.8)),1)</f>
        <v>12</v>
      </c>
      <c r="F11" s="1">
        <f>CEILING(Beastgirl!$B24/ IF(Beastgirl!$D24&lt; 10.8,$F$4, $F$4 / (Beastgirl!$D24 / 10.8)),1)</f>
        <v>20</v>
      </c>
      <c r="G11" s="1">
        <f>CEILING(Warrior!$B24/ IF(Warrior!$D24&lt; 10.8, $F$4, $F$4 / (Warrior!$D24 / 10.8)),1)</f>
        <v>14</v>
      </c>
      <c r="N11" s="1">
        <v>22</v>
      </c>
      <c r="O11" s="1">
        <f>CEILING(Demon!$B24 / IF(Demon!$D24&lt; 10.8, $Q$4, $Q$4 / (Demon!$D24 / 10.8)),1)</f>
        <v>7</v>
      </c>
      <c r="P11" s="1">
        <f>CEILING(Elf!$B24 / IF(Elf!$D24&lt; 10.8, $Q$4, $Q$4 / (Elf!$D24 / 10.8)),1)</f>
        <v>8</v>
      </c>
      <c r="Q11" s="1">
        <f>CEILING(Beastgirl!$B24 / IF(Beastgirl!$D24&lt; 10.8, $Q$4, $Q$4 / (Beastgirl!$D24 / 10.8)),1)</f>
        <v>14</v>
      </c>
      <c r="R11" s="1">
        <f>CEILING(Warrior!$B24 / IF(Warrior!$D24&lt; 10.8, $Q$4, $Q$4 / (Warrior!$D24 / 10.8)),1)</f>
        <v>10</v>
      </c>
      <c r="Y11" s="1">
        <v>22</v>
      </c>
      <c r="Z11" s="1">
        <f>CEILING(Demon!$B24 / IF(Demon!$D24&lt; 10.8, $AB$4, $AB$4 / (Demon!$D24 / 10.8)),1)</f>
        <v>6</v>
      </c>
      <c r="AA11" s="1">
        <f>CEILING(Elf!$B24 / IF(Elf!$D24 &lt; 10.8, $AB$4, $AB$4 / (Elf!$D24 / 10.8)),1)</f>
        <v>6</v>
      </c>
      <c r="AB11" s="1">
        <f>CEILING(Beastgirl!$B24 / IF(Beastgirl!$D24&lt; 10.8, $AB$4, $AB$4 / (Beastgirl!$D24 / 10.8)),1)</f>
        <v>10</v>
      </c>
      <c r="AC11" s="1">
        <f>CEILING(Warrior!$B24 / IF(Warrior!$D24&lt; 10.8, $AB$4, $AB$4 / (Warrior!$D24 / 10.8)),1)</f>
        <v>7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12</v>
      </c>
      <c r="E12" s="1">
        <f>CEILING(Elf!$B25 / IF(Elf!$D25 &lt; 10.8, $F$4, $F$4 / (Elf!$D25 / 10.8)),1)</f>
        <v>13</v>
      </c>
      <c r="F12" s="1">
        <f>CEILING(Beastgirl!$B25/ IF(Beastgirl!$D25&lt; 10.8,$F$4, $F$4 / (Beastgirl!$D25 / 10.8)),1)</f>
        <v>22</v>
      </c>
      <c r="G12" s="1">
        <f>CEILING(Warrior!$B25/ IF(Warrior!$D25&lt; 10.8, $F$4, $F$4 / (Warrior!$D25 / 10.8)),1)</f>
        <v>16</v>
      </c>
      <c r="N12" s="1">
        <v>23</v>
      </c>
      <c r="O12" s="1">
        <f>CEILING(Demon!$B25 / IF(Demon!$D25&lt; 10.8, $Q$4, $Q$4 / (Demon!$D25 / 10.8)),1)</f>
        <v>8</v>
      </c>
      <c r="P12" s="1">
        <f>CEILING(Elf!$B25 / IF(Elf!$D25&lt; 10.8, $Q$4, $Q$4 / (Elf!$D25 / 10.8)),1)</f>
        <v>9</v>
      </c>
      <c r="Q12" s="1">
        <f>CEILING(Beastgirl!$B25 / IF(Beastgirl!$D25&lt; 10.8, $Q$4, $Q$4 / (Beastgirl!$D25 / 10.8)),1)</f>
        <v>15</v>
      </c>
      <c r="R12" s="1">
        <f>CEILING(Warrior!$B25 / IF(Warrior!$D25&lt; 10.8, $Q$4, $Q$4 / (Warrior!$D25 / 10.8)),1)</f>
        <v>11</v>
      </c>
      <c r="Y12" s="1">
        <v>23</v>
      </c>
      <c r="Z12" s="1">
        <f>CEILING(Demon!$B25 / IF(Demon!$D25&lt; 10.8, $AB$4, $AB$4 / (Demon!$D25 / 10.8)),1)</f>
        <v>6</v>
      </c>
      <c r="AA12" s="1">
        <f>CEILING(Elf!$B25 / IF(Elf!$D25 &lt; 10.8, $AB$4, $AB$4 / (Elf!$D25 / 10.8)),1)</f>
        <v>7</v>
      </c>
      <c r="AB12" s="1">
        <f>CEILING(Beastgirl!$B25 / IF(Beastgirl!$D25&lt; 10.8, $AB$4, $AB$4 / (Beastgirl!$D25 / 10.8)),1)</f>
        <v>11</v>
      </c>
      <c r="AC12" s="1">
        <f>CEILING(Warrior!$B25 / IF(Warrior!$D25&lt; 10.8, $AB$4, $AB$4 / (Warrior!$D25 / 10.8)),1)</f>
        <v>8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13</v>
      </c>
      <c r="E13" s="1">
        <f>CEILING(Elf!$B26 / IF(Elf!$D26 &lt; 10.8, $F$4, $F$4 / (Elf!$D26 / 10.8)),1)</f>
        <v>14</v>
      </c>
      <c r="F13" s="1">
        <f>CEILING(Beastgirl!$B26/ IF(Beastgirl!$D26&lt; 10.8,$F$4, $F$4 / (Beastgirl!$D26 / 10.8)),1)</f>
        <v>24</v>
      </c>
      <c r="G13" s="1">
        <f>CEILING(Warrior!$B26/ IF(Warrior!$D26&lt; 10.8, $F$4, $F$4 / (Warrior!$D26 / 10.8)),1)</f>
        <v>17</v>
      </c>
      <c r="N13" s="1">
        <v>24</v>
      </c>
      <c r="O13" s="1">
        <f>CEILING(Demon!$B26 / IF(Demon!$D26&lt; 10.8, $Q$4, $Q$4 / (Demon!$D26 / 10.8)),1)</f>
        <v>9</v>
      </c>
      <c r="P13" s="1">
        <f>CEILING(Elf!$B26 / IF(Elf!$D26&lt; 10.8, $Q$4, $Q$4 / (Elf!$D26 / 10.8)),1)</f>
        <v>10</v>
      </c>
      <c r="Q13" s="1">
        <f>CEILING(Beastgirl!$B26 / IF(Beastgirl!$D26&lt; 10.8, $Q$4, $Q$4 / (Beastgirl!$D26 / 10.8)),1)</f>
        <v>16</v>
      </c>
      <c r="R13" s="1">
        <f>CEILING(Warrior!$B26 / IF(Warrior!$D26&lt; 10.8, $Q$4, $Q$4 / (Warrior!$D26 / 10.8)),1)</f>
        <v>11</v>
      </c>
      <c r="Y13" s="1">
        <v>24</v>
      </c>
      <c r="Z13" s="1">
        <f>CEILING(Demon!$B26 / IF(Demon!$D26&lt; 10.8, $AB$4, $AB$4 / (Demon!$D26 / 10.8)),1)</f>
        <v>7</v>
      </c>
      <c r="AA13" s="1">
        <f>CEILING(Elf!$B26 / IF(Elf!$D26 &lt; 10.8, $AB$4, $AB$4 / (Elf!$D26 / 10.8)),1)</f>
        <v>7</v>
      </c>
      <c r="AB13" s="1">
        <f>CEILING(Beastgirl!$B26 / IF(Beastgirl!$D26&lt; 10.8, $AB$4, $AB$4 / (Beastgirl!$D26 / 10.8)),1)</f>
        <v>12</v>
      </c>
      <c r="AC13" s="1">
        <f>CEILING(Warrior!$B26 / IF(Warrior!$D26&lt; 10.8, $AB$4, $AB$4 / (Warrior!$D26 / 10.8)),1)</f>
        <v>9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18</v>
      </c>
      <c r="E14" s="1">
        <f>CEILING(Elf!$B27 / IF(Elf!$D27 &lt; 10.8, $F$4, $F$4 / (Elf!$D27 / 10.8)),1)</f>
        <v>20</v>
      </c>
      <c r="F14" s="1">
        <f>CEILING(Beastgirl!$B27/ IF(Beastgirl!$D27&lt; 10.8,$F$4, $F$4 / (Beastgirl!$D27 / 10.8)),1)</f>
        <v>34</v>
      </c>
      <c r="G14" s="1">
        <f>CEILING(Warrior!$B27/ IF(Warrior!$D27&lt; 10.8, $F$4, $F$4 / (Warrior!$D27 / 10.8)),1)</f>
        <v>24</v>
      </c>
      <c r="N14" s="1">
        <v>25</v>
      </c>
      <c r="O14" s="1">
        <f>CEILING(Demon!$B27 / IF(Demon!$D27&lt; 10.8, $Q$4, $Q$4 / (Demon!$D27 / 10.8)),1)</f>
        <v>12</v>
      </c>
      <c r="P14" s="1">
        <f>CEILING(Elf!$B27 / IF(Elf!$D27&lt; 10.8, $Q$4, $Q$4 / (Elf!$D27 / 10.8)),1)</f>
        <v>14</v>
      </c>
      <c r="Q14" s="1">
        <f>CEILING(Beastgirl!$B27 / IF(Beastgirl!$D27&lt; 10.8, $Q$4, $Q$4 / (Beastgirl!$D27 / 10.8)),1)</f>
        <v>23</v>
      </c>
      <c r="R14" s="1">
        <f>CEILING(Warrior!$B27 / IF(Warrior!$D27&lt; 10.8, $Q$4, $Q$4 / (Warrior!$D27 / 10.8)),1)</f>
        <v>16</v>
      </c>
      <c r="Y14" s="1">
        <v>25</v>
      </c>
      <c r="Z14" s="1">
        <f>CEILING(Demon!$B27 / IF(Demon!$D27&lt; 10.8, $AB$4, $AB$4 / (Demon!$D27 / 10.8)),1)</f>
        <v>9</v>
      </c>
      <c r="AA14" s="1">
        <f>CEILING(Elf!$B27 / IF(Elf!$D27 &lt; 10.8, $AB$4, $AB$4 / (Elf!$D27 / 10.8)),1)</f>
        <v>10</v>
      </c>
      <c r="AB14" s="1">
        <f>CEILING(Beastgirl!$B27 / IF(Beastgirl!$D27&lt; 10.8, $AB$4, $AB$4 / (Beastgirl!$D27 / 10.8)),1)</f>
        <v>17</v>
      </c>
      <c r="AC14" s="1">
        <f>CEILING(Warrior!$B27 / IF(Warrior!$D27&lt; 10.8, $AB$4, $AB$4 / (Warrior!$D27 / 10.8)),1)</f>
        <v>12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20</v>
      </c>
      <c r="E15" s="1">
        <f>CEILING(Elf!$B28 / IF(Elf!$D28 &lt; 10.8, $F$4, $F$4 / (Elf!$D28 / 10.8)),1)</f>
        <v>22</v>
      </c>
      <c r="F15" s="1">
        <f>CEILING(Beastgirl!$B28/ IF(Beastgirl!$D28&lt; 10.8,$F$4, $F$4 / (Beastgirl!$D28 / 10.8)),1)</f>
        <v>36</v>
      </c>
      <c r="G15" s="1">
        <f>CEILING(Warrior!$B28/ IF(Warrior!$D28&lt; 10.8, $F$4, $F$4 / (Warrior!$D28 / 10.8)),1)</f>
        <v>25</v>
      </c>
      <c r="N15" s="1">
        <v>26</v>
      </c>
      <c r="O15" s="1">
        <f>CEILING(Demon!$B28 / IF(Demon!$D28&lt; 10.8, $Q$4, $Q$4 / (Demon!$D28 / 10.8)),1)</f>
        <v>13</v>
      </c>
      <c r="P15" s="1">
        <f>CEILING(Elf!$B28 / IF(Elf!$D28&lt; 10.8, $Q$4, $Q$4 / (Elf!$D28 / 10.8)),1)</f>
        <v>15</v>
      </c>
      <c r="Q15" s="1">
        <f>CEILING(Beastgirl!$B28 / IF(Beastgirl!$D28&lt; 10.8, $Q$4, $Q$4 / (Beastgirl!$D28 / 10.8)),1)</f>
        <v>24</v>
      </c>
      <c r="R15" s="1">
        <f>CEILING(Warrior!$B28 / IF(Warrior!$D28&lt; 10.8, $Q$4, $Q$4 / (Warrior!$D28 / 10.8)),1)</f>
        <v>17</v>
      </c>
      <c r="Y15" s="1">
        <v>26</v>
      </c>
      <c r="Z15" s="1">
        <f>CEILING(Demon!$B28 / IF(Demon!$D28&lt; 10.8, $AB$4, $AB$4 / (Demon!$D28 / 10.8)),1)</f>
        <v>10</v>
      </c>
      <c r="AA15" s="1">
        <f>CEILING(Elf!$B28 / IF(Elf!$D28 &lt; 10.8, $AB$4, $AB$4 / (Elf!$D28 / 10.8)),1)</f>
        <v>11</v>
      </c>
      <c r="AB15" s="1">
        <f>CEILING(Beastgirl!$B28 / IF(Beastgirl!$D28&lt; 10.8, $AB$4, $AB$4 / (Beastgirl!$D28 / 10.8)),1)</f>
        <v>18</v>
      </c>
      <c r="AC15" s="1">
        <f>CEILING(Warrior!$B28 / IF(Warrior!$D28&lt; 10.8, $AB$4, $AB$4 / (Warrior!$D28 / 10.8)),1)</f>
        <v>13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21</v>
      </c>
      <c r="E16" s="1">
        <f>CEILING(Elf!$B29 / IF(Elf!$D29 &lt; 10.8, $F$4, $F$4 / (Elf!$D29 / 10.8)),1)</f>
        <v>23</v>
      </c>
      <c r="F16" s="1">
        <f>CEILING(Beastgirl!$B29/ IF(Beastgirl!$D29&lt; 10.8,$F$4, $F$4 / (Beastgirl!$D29 / 10.8)),1)</f>
        <v>39</v>
      </c>
      <c r="G16" s="1">
        <f>CEILING(Warrior!$B29/ IF(Warrior!$D29&lt; 10.8, $F$4, $F$4 / (Warrior!$D29 / 10.8)),1)</f>
        <v>27</v>
      </c>
      <c r="N16" s="1">
        <v>27</v>
      </c>
      <c r="O16" s="1">
        <f>CEILING(Demon!$B29 / IF(Demon!$D29&lt; 10.8, $Q$4, $Q$4 / (Demon!$D29 / 10.8)),1)</f>
        <v>14</v>
      </c>
      <c r="P16" s="1">
        <f>CEILING(Elf!$B29 / IF(Elf!$D29&lt; 10.8, $Q$4, $Q$4 / (Elf!$D29 / 10.8)),1)</f>
        <v>16</v>
      </c>
      <c r="Q16" s="1">
        <f>CEILING(Beastgirl!$B29 / IF(Beastgirl!$D29&lt; 10.8, $Q$4, $Q$4 / (Beastgirl!$D29 / 10.8)),1)</f>
        <v>26</v>
      </c>
      <c r="R16" s="1">
        <f>CEILING(Warrior!$B29 / IF(Warrior!$D29&lt; 10.8, $Q$4, $Q$4 / (Warrior!$D29 / 10.8)),1)</f>
        <v>18</v>
      </c>
      <c r="Y16" s="1">
        <v>27</v>
      </c>
      <c r="Z16" s="1">
        <f>CEILING(Demon!$B29 / IF(Demon!$D29&lt; 10.8, $AB$4, $AB$4 / (Demon!$D29 / 10.8)),1)</f>
        <v>11</v>
      </c>
      <c r="AA16" s="1">
        <f>CEILING(Elf!$B29 / IF(Elf!$D29 &lt; 10.8, $AB$4, $AB$4 / (Elf!$D29 / 10.8)),1)</f>
        <v>12</v>
      </c>
      <c r="AB16" s="1">
        <f>CEILING(Beastgirl!$B29 / IF(Beastgirl!$D29&lt; 10.8, $AB$4, $AB$4 / (Beastgirl!$D29 / 10.8)),1)</f>
        <v>20</v>
      </c>
      <c r="AC16" s="1">
        <f>CEILING(Warrior!$B29 / IF(Warrior!$D29&lt; 10.8, $AB$4, $AB$4 / (Warrior!$D29 / 10.8)),1)</f>
        <v>14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22</v>
      </c>
      <c r="E17" s="1">
        <f>CEILING(Elf!$B30 / IF(Elf!$D30 &lt; 10.8, $F$4, $F$4 / (Elf!$D30 / 10.8)),1)</f>
        <v>25</v>
      </c>
      <c r="F17" s="1">
        <f>CEILING(Beastgirl!$B30/ IF(Beastgirl!$D30&lt; 10.8,$F$4, $F$4 / (Beastgirl!$D30 / 10.8)),1)</f>
        <v>41</v>
      </c>
      <c r="G17" s="1">
        <f>CEILING(Warrior!$B30/ IF(Warrior!$D30&lt; 10.8, $F$4, $F$4 / (Warrior!$D30 / 10.8)),1)</f>
        <v>29</v>
      </c>
      <c r="N17" s="1">
        <v>28</v>
      </c>
      <c r="O17" s="1">
        <f>CEILING(Demon!$B30 / IF(Demon!$D30&lt; 10.8, $Q$4, $Q$4 / (Demon!$D30 / 10.8)),1)</f>
        <v>15</v>
      </c>
      <c r="P17" s="1">
        <f>CEILING(Elf!$B30 / IF(Elf!$D30&lt; 10.8, $Q$4, $Q$4 / (Elf!$D30 / 10.8)),1)</f>
        <v>17</v>
      </c>
      <c r="Q17" s="1">
        <f>CEILING(Beastgirl!$B30 / IF(Beastgirl!$D30&lt; 10.8, $Q$4, $Q$4 / (Beastgirl!$D30 / 10.8)),1)</f>
        <v>28</v>
      </c>
      <c r="R17" s="1">
        <f>CEILING(Warrior!$B30 / IF(Warrior!$D30&lt; 10.8, $Q$4, $Q$4 / (Warrior!$D30 / 10.8)),1)</f>
        <v>19</v>
      </c>
      <c r="Y17" s="1">
        <v>28</v>
      </c>
      <c r="Z17" s="1">
        <f>CEILING(Demon!$B30 / IF(Demon!$D30&lt; 10.8, $AB$4, $AB$4 / (Demon!$D30 / 10.8)),1)</f>
        <v>11</v>
      </c>
      <c r="AA17" s="1">
        <f>CEILING(Elf!$B30 / IF(Elf!$D30 &lt; 10.8, $AB$4, $AB$4 / (Elf!$D30 / 10.8)),1)</f>
        <v>13</v>
      </c>
      <c r="AB17" s="1">
        <f>CEILING(Beastgirl!$B30 / IF(Beastgirl!$D30&lt; 10.8, $AB$4, $AB$4 / (Beastgirl!$D30 / 10.8)),1)</f>
        <v>21</v>
      </c>
      <c r="AC17" s="1">
        <f>CEILING(Warrior!$B30 / IF(Warrior!$D30&lt; 10.8, $AB$4, $AB$4 / (Warrior!$D30 / 10.8)),1)</f>
        <v>15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24</v>
      </c>
      <c r="E18" s="1">
        <f>CEILING(Elf!$B31 / IF(Elf!$D31 &lt; 10.8, $F$4, $F$4 / (Elf!$D31 / 10.8)),1)</f>
        <v>26</v>
      </c>
      <c r="F18" s="1">
        <f>CEILING(Beastgirl!$B31/ IF(Beastgirl!$D31&lt; 10.8,$F$4, $F$4 / (Beastgirl!$D31 / 10.8)),1)</f>
        <v>44</v>
      </c>
      <c r="G18" s="1">
        <f>CEILING(Warrior!$B31/ IF(Warrior!$D31&lt; 10.8, $F$4, $F$4 / (Warrior!$D31 / 10.8)),1)</f>
        <v>31</v>
      </c>
      <c r="N18" s="1">
        <v>29</v>
      </c>
      <c r="O18" s="1">
        <f>CEILING(Demon!$B31 / IF(Demon!$D31&lt; 10.8, $Q$4, $Q$4 / (Demon!$D31 / 10.8)),1)</f>
        <v>16</v>
      </c>
      <c r="P18" s="1">
        <f>CEILING(Elf!$B31 / IF(Elf!$D31&lt; 10.8, $Q$4, $Q$4 / (Elf!$D31 / 10.8)),1)</f>
        <v>18</v>
      </c>
      <c r="Q18" s="1">
        <f>CEILING(Beastgirl!$B31 / IF(Beastgirl!$D31&lt; 10.8, $Q$4, $Q$4 / (Beastgirl!$D31 / 10.8)),1)</f>
        <v>29</v>
      </c>
      <c r="R18" s="1">
        <f>CEILING(Warrior!$B31 / IF(Warrior!$D31&lt; 10.8, $Q$4, $Q$4 / (Warrior!$D31 / 10.8)),1)</f>
        <v>21</v>
      </c>
      <c r="Y18" s="1">
        <v>29</v>
      </c>
      <c r="Z18" s="1">
        <f>CEILING(Demon!$B31 / IF(Demon!$D31&lt; 10.8, $AB$4, $AB$4 / (Demon!$D31 / 10.8)),1)</f>
        <v>12</v>
      </c>
      <c r="AA18" s="1">
        <f>CEILING(Elf!$B31 / IF(Elf!$D31 &lt; 10.8, $AB$4, $AB$4 / (Elf!$D31 / 10.8)),1)</f>
        <v>13</v>
      </c>
      <c r="AB18" s="1">
        <f>CEILING(Beastgirl!$B31 / IF(Beastgirl!$D31&lt; 10.8, $AB$4, $AB$4 / (Beastgirl!$D31 / 10.8)),1)</f>
        <v>22</v>
      </c>
      <c r="AC18" s="1">
        <f>CEILING(Warrior!$B31 / IF(Warrior!$D31&lt; 10.8, $AB$4, $AB$4 / (Warrior!$D31 / 10.8)),1)</f>
        <v>16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25</v>
      </c>
      <c r="E19" s="1">
        <f>CEILING(Elf!$B32 / IF(Elf!$D32 &lt; 10.8, $F$4, $F$4 / (Elf!$D32 / 10.8)),1)</f>
        <v>28</v>
      </c>
      <c r="F19" s="1">
        <f>CEILING(Beastgirl!$B32/ IF(Beastgirl!$D32&lt; 10.8,$F$4, $F$4 / (Beastgirl!$D32 / 10.8)),1)</f>
        <v>46</v>
      </c>
      <c r="G19" s="1">
        <f>CEILING(Warrior!$B32/ IF(Warrior!$D32&lt; 10.8, $F$4, $F$4 / (Warrior!$D32 / 10.8)),1)</f>
        <v>33</v>
      </c>
      <c r="N19" s="1">
        <v>30</v>
      </c>
      <c r="O19" s="1">
        <f>CEILING(Demon!$B32 / IF(Demon!$D32&lt; 10.8, $Q$4, $Q$4 / (Demon!$D32 / 10.8)),1)</f>
        <v>17</v>
      </c>
      <c r="P19" s="1">
        <f>CEILING(Elf!$B32 / IF(Elf!$D32&lt; 10.8, $Q$4, $Q$4 / (Elf!$D32 / 10.8)),1)</f>
        <v>19</v>
      </c>
      <c r="Q19" s="1">
        <f>CEILING(Beastgirl!$B32 / IF(Beastgirl!$D32&lt; 10.8, $Q$4, $Q$4 / (Beastgirl!$D32 / 10.8)),1)</f>
        <v>31</v>
      </c>
      <c r="R19" s="1">
        <f>CEILING(Warrior!$B32 / IF(Warrior!$D32&lt; 10.8, $Q$4, $Q$4 / (Warrior!$D32 / 10.8)),1)</f>
        <v>22</v>
      </c>
      <c r="Y19" s="1">
        <v>30</v>
      </c>
      <c r="Z19" s="1">
        <f>CEILING(Demon!$B32 / IF(Demon!$D32&lt; 10.8, $AB$4, $AB$4 / (Demon!$D32 / 10.8)),1)</f>
        <v>13</v>
      </c>
      <c r="AA19" s="1">
        <f>CEILING(Elf!$B32 / IF(Elf!$D32 &lt; 10.8, $AB$4, $AB$4 / (Elf!$D32 / 10.8)),1)</f>
        <v>14</v>
      </c>
      <c r="AB19" s="1">
        <f>CEILING(Beastgirl!$B32 / IF(Beastgirl!$D32&lt; 10.8, $AB$4, $AB$4 / (Beastgirl!$D32 / 10.8)),1)</f>
        <v>23</v>
      </c>
      <c r="AC19" s="1">
        <f>CEILING(Warrior!$B32 / IF(Warrior!$D32&lt; 10.8, $AB$4, $AB$4 / (Warrior!$D32 / 10.8)),1)</f>
        <v>17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55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55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55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10</v>
      </c>
      <c r="E23" s="1">
        <f>CEILING(Elf!$B23 / IF(Elf!$D23&lt; 10.8, $F$5,$F$5 / (Elf!$D23 / 10.8)),1)</f>
        <v>11</v>
      </c>
      <c r="F23" s="1">
        <f>CEILING(Beastgirl!$B23 / IF(Beastgirl!$D23&lt; 10.8, $F$5, $F$5 / (Beastgirl!$D23/ 10.8)),1)</f>
        <v>18</v>
      </c>
      <c r="G23" s="1">
        <f>CEILING(Warrior!$B23 / IF(Warrior!$D23&lt; 10.8, $F$5, $F$5 / (Warrior!$D23 / 10.8)),1)</f>
        <v>13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7</v>
      </c>
      <c r="P23" s="1">
        <f>CEILING(Elf!$B23/ IF(Elf!$D23 &lt; 10.8, $Q$5, $Q$5 / (Elf!$D23 / 10.8)),1)</f>
        <v>7</v>
      </c>
      <c r="Q23" s="1">
        <f>CEILING(Beastgirl!$B23 / IF(Beastgirl!$D23&lt; 10.8, $Q$5, $Q$5 / (Beastgirl!$D23 / 10.8)),1)</f>
        <v>12</v>
      </c>
      <c r="R23" s="1">
        <f>CEILING(Warrior!$B23 / IF(Warrior!$D23&lt; 10.8, $Q$5, $Q$5 / (Warrior!$D23 / 10.8)),1)</f>
        <v>9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5</v>
      </c>
      <c r="AA23" s="1">
        <f>CEILING(Elf!$B23 / IF(Elf!$D23 &lt; 10.8, $AB$5, $AB$5 / (Elf!$D23/ 10.8)),1)</f>
        <v>6</v>
      </c>
      <c r="AB23" s="1">
        <f>CEILING(Beastgirl!$B23 / IF(Beastgirl!$D23&lt; 10.8, $AB$5, $AB$5 / (Beastgirl!$D23 / 10.8)),1)</f>
        <v>9</v>
      </c>
      <c r="AC23" s="1">
        <f>CEILING(Warrior!$B23 / IF(Warrior!$D23&lt; 10.8, $AB$5, $AB$5 / (Warrior!$D23/ 10.8)),1)</f>
        <v>7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11</v>
      </c>
      <c r="E24" s="1">
        <f>CEILING(Elf!$B24 / IF(Elf!$D24&lt; 10.8, $F$5,$F$5 / (Elf!$D24 / 10.8)),1)</f>
        <v>11</v>
      </c>
      <c r="F24" s="1">
        <f>CEILING(Beastgirl!$B24 / IF(Beastgirl!$D24&lt; 10.8, $F$5, $F$5 / (Beastgirl!$D24/ 10.8)),1)</f>
        <v>20</v>
      </c>
      <c r="G24" s="1">
        <f>CEILING(Warrior!$B24 / IF(Warrior!$D24&lt; 10.8, $F$5, $F$5 / (Warrior!$D24 / 10.8)),1)</f>
        <v>14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7</v>
      </c>
      <c r="P24" s="1">
        <f>CEILING(Elf!$B24/ IF(Elf!$D24 &lt; 10.8, $Q$5, $Q$5 / (Elf!$D24 / 10.8)),1)</f>
        <v>8</v>
      </c>
      <c r="Q24" s="1">
        <f>CEILING(Beastgirl!$B24 / IF(Beastgirl!$D24&lt; 10.8, $Q$5, $Q$5 / (Beastgirl!$D24 / 10.8)),1)</f>
        <v>13</v>
      </c>
      <c r="R24" s="1">
        <f>CEILING(Warrior!$B24 / IF(Warrior!$D24&lt; 10.8, $Q$5, $Q$5 / (Warrior!$D24 / 10.8)),1)</f>
        <v>9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6</v>
      </c>
      <c r="AA24" s="1">
        <f>CEILING(Elf!$B24 / IF(Elf!$D24 &lt; 10.8, $AB$5, $AB$5 / (Elf!$D24/ 10.8)),1)</f>
        <v>6</v>
      </c>
      <c r="AB24" s="1">
        <f>CEILING(Beastgirl!$B24 / IF(Beastgirl!$D24&lt; 10.8, $AB$5, $AB$5 / (Beastgirl!$D24 / 10.8)),1)</f>
        <v>10</v>
      </c>
      <c r="AC24" s="1">
        <f>CEILING(Warrior!$B24 / IF(Warrior!$D24&lt; 10.8, $AB$5, $AB$5 / (Warrior!$D24/ 10.8)),1)</f>
        <v>7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11</v>
      </c>
      <c r="E25" s="1">
        <f>CEILING(Elf!$B25 / IF(Elf!$D25&lt; 10.8, $F$5,$F$5 / (Elf!$D25 / 10.8)),1)</f>
        <v>12</v>
      </c>
      <c r="F25" s="1">
        <f>CEILING(Beastgirl!$B25 / IF(Beastgirl!$D25&lt; 10.8, $F$5, $F$5 / (Beastgirl!$D25/ 10.8)),1)</f>
        <v>21</v>
      </c>
      <c r="G25" s="1">
        <f>CEILING(Warrior!$B25 / IF(Warrior!$D25&lt; 10.8, $F$5, $F$5 / (Warrior!$D25 / 10.8)),1)</f>
        <v>15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8</v>
      </c>
      <c r="P25" s="1">
        <f>CEILING(Elf!$B25/ IF(Elf!$D25 &lt; 10.8, $Q$5, $Q$5 / (Elf!$D25 / 10.8)),1)</f>
        <v>8</v>
      </c>
      <c r="Q25" s="1">
        <f>CEILING(Beastgirl!$B25 / IF(Beastgirl!$D25&lt; 10.8, $Q$5, $Q$5 / (Beastgirl!$D25 / 10.8)),1)</f>
        <v>14</v>
      </c>
      <c r="R25" s="1">
        <f>CEILING(Warrior!$B25 / IF(Warrior!$D25&lt; 10.8, $Q$5, $Q$5 / (Warrior!$D25 / 10.8)),1)</f>
        <v>10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6</v>
      </c>
      <c r="AA25" s="1">
        <f>CEILING(Elf!$B25 / IF(Elf!$D25 &lt; 10.8, $AB$5, $AB$5 / (Elf!$D25/ 10.8)),1)</f>
        <v>6</v>
      </c>
      <c r="AB25" s="1">
        <f>CEILING(Beastgirl!$B25 / IF(Beastgirl!$D25&lt; 10.8, $AB$5, $AB$5 / (Beastgirl!$D25 / 10.8)),1)</f>
        <v>11</v>
      </c>
      <c r="AC25" s="1">
        <f>CEILING(Warrior!$B25 / IF(Warrior!$D25&lt; 10.8, $AB$5, $AB$5 / (Warrior!$D25/ 10.8)),1)</f>
        <v>8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12</v>
      </c>
      <c r="E26" s="1">
        <f>CEILING(Elf!$B26 / IF(Elf!$D26&lt; 10.8, $F$5,$F$5 / (Elf!$D26 / 10.8)),1)</f>
        <v>14</v>
      </c>
      <c r="F26" s="1">
        <f>CEILING(Beastgirl!$B26 / IF(Beastgirl!$D26&lt; 10.8, $F$5, $F$5 / (Beastgirl!$D26/ 10.8)),1)</f>
        <v>23</v>
      </c>
      <c r="G26" s="1">
        <f>CEILING(Warrior!$B26 / IF(Warrior!$D26&lt; 10.8, $F$5, $F$5 / (Warrior!$D26 / 10.8)),1)</f>
        <v>16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8</v>
      </c>
      <c r="P26" s="1">
        <f>CEILING(Elf!$B26/ IF(Elf!$D26 &lt; 10.8, $Q$5, $Q$5 / (Elf!$D26 / 10.8)),1)</f>
        <v>9</v>
      </c>
      <c r="Q26" s="1">
        <f>CEILING(Beastgirl!$B26 / IF(Beastgirl!$D26&lt; 10.8, $Q$5, $Q$5 / (Beastgirl!$D26 / 10.8)),1)</f>
        <v>15</v>
      </c>
      <c r="R26" s="1">
        <f>CEILING(Warrior!$B26 / IF(Warrior!$D26&lt; 10.8, $Q$5, $Q$5 / (Warrior!$D26 / 10.8)),1)</f>
        <v>11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6</v>
      </c>
      <c r="AA26" s="1">
        <f>CEILING(Elf!$B26 / IF(Elf!$D26 &lt; 10.8, $AB$5, $AB$5 / (Elf!$D26/ 10.8)),1)</f>
        <v>7</v>
      </c>
      <c r="AB26" s="1">
        <f>CEILING(Beastgirl!$B26 / IF(Beastgirl!$D26&lt; 10.8, $AB$5, $AB$5 / (Beastgirl!$D26 / 10.8)),1)</f>
        <v>12</v>
      </c>
      <c r="AC26" s="1">
        <f>CEILING(Warrior!$B26 / IF(Warrior!$D26&lt; 10.8, $AB$5, $AB$5 / (Warrior!$D26/ 10.8)),1)</f>
        <v>8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18</v>
      </c>
      <c r="E27" s="1">
        <f>CEILING(Elf!$B27 / IF(Elf!$D27&lt; 10.8, $F$5,$F$5 / (Elf!$D27 / 10.8)),1)</f>
        <v>19</v>
      </c>
      <c r="F27" s="1">
        <f>CEILING(Beastgirl!$B27 / IF(Beastgirl!$D27&lt; 10.8, $F$5, $F$5 / (Beastgirl!$D27/ 10.8)),1)</f>
        <v>33</v>
      </c>
      <c r="G27" s="1">
        <f>CEILING(Warrior!$B27 / IF(Warrior!$D27&lt; 10.8, $F$5, $F$5 / (Warrior!$D27 / 10.8)),1)</f>
        <v>23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12</v>
      </c>
      <c r="P27" s="1">
        <f>CEILING(Elf!$B27/ IF(Elf!$D27 &lt; 10.8, $Q$5, $Q$5 / (Elf!$D27 / 10.8)),1)</f>
        <v>13</v>
      </c>
      <c r="Q27" s="1">
        <f>CEILING(Beastgirl!$B27 / IF(Beastgirl!$D27&lt; 10.8, $Q$5, $Q$5 / (Beastgirl!$D27 / 10.8)),1)</f>
        <v>22</v>
      </c>
      <c r="R27" s="1">
        <f>CEILING(Warrior!$B27 / IF(Warrior!$D27&lt; 10.8, $Q$5, $Q$5 / (Warrior!$D27 / 10.8)),1)</f>
        <v>15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9</v>
      </c>
      <c r="AA27" s="1">
        <f>CEILING(Elf!$B27 / IF(Elf!$D27 &lt; 10.8, $AB$5, $AB$5 / (Elf!$D27/ 10.8)),1)</f>
        <v>10</v>
      </c>
      <c r="AB27" s="1">
        <f>CEILING(Beastgirl!$B27 / IF(Beastgirl!$D27&lt; 10.8, $AB$5, $AB$5 / (Beastgirl!$D27 / 10.8)),1)</f>
        <v>17</v>
      </c>
      <c r="AC27" s="1">
        <f>CEILING(Warrior!$B27 / IF(Warrior!$D27&lt; 10.8, $AB$5, $AB$5 / (Warrior!$D27/ 10.8)),1)</f>
        <v>12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19</v>
      </c>
      <c r="E28" s="1">
        <f>CEILING(Elf!$B28 / IF(Elf!$D28&lt; 10.8, $F$5,$F$5 / (Elf!$D28 / 10.8)),1)</f>
        <v>21</v>
      </c>
      <c r="F28" s="1">
        <f>CEILING(Beastgirl!$B28 / IF(Beastgirl!$D28&lt; 10.8, $F$5, $F$5 / (Beastgirl!$D28/ 10.8)),1)</f>
        <v>35</v>
      </c>
      <c r="G28" s="1">
        <f>CEILING(Warrior!$B28 / IF(Warrior!$D28&lt; 10.8, $F$5, $F$5 / (Warrior!$D28 / 10.8)),1)</f>
        <v>24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13</v>
      </c>
      <c r="P28" s="1">
        <f>CEILING(Elf!$B28/ IF(Elf!$D28 &lt; 10.8, $Q$5, $Q$5 / (Elf!$D28 / 10.8)),1)</f>
        <v>14</v>
      </c>
      <c r="Q28" s="1">
        <f>CEILING(Beastgirl!$B28 / IF(Beastgirl!$D28&lt; 10.8, $Q$5, $Q$5 / (Beastgirl!$D28 / 10.8)),1)</f>
        <v>23</v>
      </c>
      <c r="R28" s="1">
        <f>CEILING(Warrior!$B28 / IF(Warrior!$D28&lt; 10.8, $Q$5, $Q$5 / (Warrior!$D28 / 10.8)),1)</f>
        <v>16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10</v>
      </c>
      <c r="AA28" s="1">
        <f>CEILING(Elf!$B28 / IF(Elf!$D28 &lt; 10.8, $AB$5, $AB$5 / (Elf!$D28/ 10.8)),1)</f>
        <v>11</v>
      </c>
      <c r="AB28" s="1">
        <f>CEILING(Beastgirl!$B28 / IF(Beastgirl!$D28&lt; 10.8, $AB$5, $AB$5 / (Beastgirl!$D28 / 10.8)),1)</f>
        <v>18</v>
      </c>
      <c r="AC28" s="1">
        <f>CEILING(Warrior!$B28 / IF(Warrior!$D28&lt; 10.8, $AB$5, $AB$5 / (Warrior!$D28/ 10.8)),1)</f>
        <v>12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20</v>
      </c>
      <c r="E29" s="1">
        <f>CEILING(Elf!$B29 / IF(Elf!$D29&lt; 10.8, $F$5,$F$5 / (Elf!$D29 / 10.8)),1)</f>
        <v>22</v>
      </c>
      <c r="F29" s="1">
        <f>CEILING(Beastgirl!$B29 / IF(Beastgirl!$D29&lt; 10.8, $F$5, $F$5 / (Beastgirl!$D29/ 10.8)),1)</f>
        <v>37</v>
      </c>
      <c r="G29" s="1">
        <f>CEILING(Warrior!$B29 / IF(Warrior!$D29&lt; 10.8, $F$5, $F$5 / (Warrior!$D29 / 10.8)),1)</f>
        <v>26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14</v>
      </c>
      <c r="P29" s="1">
        <f>CEILING(Elf!$B29/ IF(Elf!$D29 &lt; 10.8, $Q$5, $Q$5 / (Elf!$D29 / 10.8)),1)</f>
        <v>15</v>
      </c>
      <c r="Q29" s="1">
        <f>CEILING(Beastgirl!$B29 / IF(Beastgirl!$D29&lt; 10.8, $Q$5, $Q$5 / (Beastgirl!$D29 / 10.8)),1)</f>
        <v>25</v>
      </c>
      <c r="R29" s="1">
        <f>CEILING(Warrior!$B29 / IF(Warrior!$D29&lt; 10.8, $Q$5, $Q$5 / (Warrior!$D29 / 10.8)),1)</f>
        <v>17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10</v>
      </c>
      <c r="AA29" s="1">
        <f>CEILING(Elf!$B29 / IF(Elf!$D29 &lt; 10.8, $AB$5, $AB$5 / (Elf!$D29/ 10.8)),1)</f>
        <v>11</v>
      </c>
      <c r="AB29" s="1">
        <f>CEILING(Beastgirl!$B29 / IF(Beastgirl!$D29&lt; 10.8, $AB$5, $AB$5 / (Beastgirl!$D29 / 10.8)),1)</f>
        <v>19</v>
      </c>
      <c r="AC29" s="1">
        <f>CEILING(Warrior!$B29 / IF(Warrior!$D29&lt; 10.8, $AB$5, $AB$5 / (Warrior!$D29/ 10.8)),1)</f>
        <v>13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22</v>
      </c>
      <c r="E30" s="1">
        <f>CEILING(Elf!$B30 / IF(Elf!$D30&lt; 10.8, $F$5,$F$5 / (Elf!$D30 / 10.8)),1)</f>
        <v>24</v>
      </c>
      <c r="F30" s="1">
        <f>CEILING(Beastgirl!$B30 / IF(Beastgirl!$D30&lt; 10.8, $F$5, $F$5 / (Beastgirl!$D30/ 10.8)),1)</f>
        <v>39</v>
      </c>
      <c r="G30" s="1">
        <f>CEILING(Warrior!$B30 / IF(Warrior!$D30&lt; 10.8, $F$5, $F$5 / (Warrior!$D30 / 10.8)),1)</f>
        <v>28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15</v>
      </c>
      <c r="P30" s="1">
        <f>CEILING(Elf!$B30/ IF(Elf!$D30 &lt; 10.8, $Q$5, $Q$5 / (Elf!$D30 / 10.8)),1)</f>
        <v>16</v>
      </c>
      <c r="Q30" s="1">
        <f>CEILING(Beastgirl!$B30 / IF(Beastgirl!$D30&lt; 10.8, $Q$5, $Q$5 / (Beastgirl!$D30 / 10.8)),1)</f>
        <v>26</v>
      </c>
      <c r="R30" s="1">
        <f>CEILING(Warrior!$B30 / IF(Warrior!$D30&lt; 10.8, $Q$5, $Q$5 / (Warrior!$D30 / 10.8)),1)</f>
        <v>19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11</v>
      </c>
      <c r="AA30" s="1">
        <f>CEILING(Elf!$B30 / IF(Elf!$D30 &lt; 10.8, $AB$5, $AB$5 / (Elf!$D30/ 10.8)),1)</f>
        <v>12</v>
      </c>
      <c r="AB30" s="1">
        <f>CEILING(Beastgirl!$B30 / IF(Beastgirl!$D30&lt; 10.8, $AB$5, $AB$5 / (Beastgirl!$D30 / 10.8)),1)</f>
        <v>20</v>
      </c>
      <c r="AC30" s="1">
        <f>CEILING(Warrior!$B30 / IF(Warrior!$D30&lt; 10.8, $AB$5, $AB$5 / (Warrior!$D30/ 10.8)),1)</f>
        <v>14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23</v>
      </c>
      <c r="E31" s="1">
        <f>CEILING(Elf!$B31 / IF(Elf!$D31&lt; 10.8, $F$5,$F$5 / (Elf!$D31 / 10.8)),1)</f>
        <v>25</v>
      </c>
      <c r="F31" s="1">
        <f>CEILING(Beastgirl!$B31 / IF(Beastgirl!$D31&lt; 10.8, $F$5, $F$5 / (Beastgirl!$D31/ 10.8)),1)</f>
        <v>42</v>
      </c>
      <c r="G31" s="1">
        <f>CEILING(Warrior!$B31 / IF(Warrior!$D31&lt; 10.8, $F$5, $F$5 / (Warrior!$D31 / 10.8)),1)</f>
        <v>29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15</v>
      </c>
      <c r="P31" s="1">
        <f>CEILING(Elf!$B31/ IF(Elf!$D31 &lt; 10.8, $Q$5, $Q$5 / (Elf!$D31 / 10.8)),1)</f>
        <v>17</v>
      </c>
      <c r="Q31" s="1">
        <f>CEILING(Beastgirl!$B31 / IF(Beastgirl!$D31&lt; 10.8, $Q$5, $Q$5 / (Beastgirl!$D31 / 10.8)),1)</f>
        <v>28</v>
      </c>
      <c r="R31" s="1">
        <f>CEILING(Warrior!$B31 / IF(Warrior!$D31&lt; 10.8, $Q$5, $Q$5 / (Warrior!$D31 / 10.8)),1)</f>
        <v>20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12</v>
      </c>
      <c r="AA31" s="1">
        <f>CEILING(Elf!$B31 / IF(Elf!$D31 &lt; 10.8, $AB$5, $AB$5 / (Elf!$D31/ 10.8)),1)</f>
        <v>13</v>
      </c>
      <c r="AB31" s="1">
        <f>CEILING(Beastgirl!$B31 / IF(Beastgirl!$D31&lt; 10.8, $AB$5, $AB$5 / (Beastgirl!$D31 / 10.8)),1)</f>
        <v>21</v>
      </c>
      <c r="AC31" s="1">
        <f>CEILING(Warrior!$B31 / IF(Warrior!$D31&lt; 10.8, $AB$5, $AB$5 / (Warrior!$D31/ 10.8)),1)</f>
        <v>15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24</v>
      </c>
      <c r="E32" s="1">
        <f>CEILING(Elf!$B32 / IF(Elf!$D32&lt; 10.8, $F$5,$F$5 / (Elf!$D32 / 10.8)),1)</f>
        <v>27</v>
      </c>
      <c r="F32" s="1">
        <f>CEILING(Beastgirl!$B32 / IF(Beastgirl!$D32&lt; 10.8, $F$5, $F$5 / (Beastgirl!$D32/ 10.8)),1)</f>
        <v>45</v>
      </c>
      <c r="G32" s="1">
        <f>CEILING(Warrior!$B32 / IF(Warrior!$D32&lt; 10.8, $F$5, $F$5 / (Warrior!$D32 / 10.8)),1)</f>
        <v>31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16</v>
      </c>
      <c r="P32" s="1">
        <f>CEILING(Elf!$B32/ IF(Elf!$D32 &lt; 10.8, $Q$5, $Q$5 / (Elf!$D32 / 10.8)),1)</f>
        <v>18</v>
      </c>
      <c r="Q32" s="1">
        <f>CEILING(Beastgirl!$B32 / IF(Beastgirl!$D32&lt; 10.8, $Q$5, $Q$5 / (Beastgirl!$D32 / 10.8)),1)</f>
        <v>30</v>
      </c>
      <c r="R32" s="1">
        <f>CEILING(Warrior!$B32 / IF(Warrior!$D32&lt; 10.8, $Q$5, $Q$5 / (Warrior!$D32 / 10.8)),1)</f>
        <v>21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12</v>
      </c>
      <c r="AA32" s="1">
        <f>CEILING(Elf!$B32 / IF(Elf!$D32 &lt; 10.8, $AB$5, $AB$5 / (Elf!$D32/ 10.8)),1)</f>
        <v>14</v>
      </c>
      <c r="AB32" s="1">
        <f>CEILING(Beastgirl!$B32 / IF(Beastgirl!$D32&lt; 10.8, $AB$5, $AB$5 / (Beastgirl!$D32 / 10.8)),1)</f>
        <v>23</v>
      </c>
      <c r="AC32" s="1">
        <f>CEILING(Warrior!$B32 / IF(Warrior!$D32&lt; 10.8, $AB$5, $AB$5 / (Warrior!$D32/ 10.8)),1)</f>
        <v>16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56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56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56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9</v>
      </c>
      <c r="E36" s="1">
        <f>CEILING(Elf!$B23 / IF(Elf!$D23&lt; 10.8, $F$6,$F$6 / (Elf!$D23 / 10.8)),1)</f>
        <v>10</v>
      </c>
      <c r="F36" s="1">
        <f>CEILING(Beastgirl!$B23 / IF(Beastgirl!$D23&lt; 10.8, $F$6, $F$6 / (Beastgirl!$D23/ 10.8)),1)</f>
        <v>17</v>
      </c>
      <c r="G36" s="1">
        <f>CEILING(Warrior!$B23 / IF(Warrior!$D23&lt; 10.8, $F$6, $F$6 / (Warrior!$D23 / 10.8)),1)</f>
        <v>12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6</v>
      </c>
      <c r="P36" s="1">
        <f>CEILING(Elf!$B23/ IF(Elf!$D23 &lt; 10.8, $Q$6, $Q$6 / (Elf!$D23 / 10.8)),1)</f>
        <v>7</v>
      </c>
      <c r="Q36" s="1">
        <f>CEILING(Beastgirl!$B23/ IF(Beastgirl!$D23&lt; 10.8, $Q$6, $Q$6 / (Beastgirl!$D23 / 10.8)),1)</f>
        <v>12</v>
      </c>
      <c r="R36" s="1">
        <f>CEILING(Warrior!$B23 / IF(Warrior!$D23&lt; 10.8, $Q$6, $Q$6 / (Warrior!$D23/ 10.8)),1)</f>
        <v>8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5</v>
      </c>
      <c r="AA36" s="1">
        <f>CEILING(Elf!$B23 / IF(Elf!$D23 &lt; 10.8, $AB$6, $AB$6 / (Elf!$D23 / 10.8)),1)</f>
        <v>5</v>
      </c>
      <c r="AB36" s="1">
        <f>CEILING(Beastgirl!$B23 / IF(Beastgirl!$D23&lt; 10.8, $AB$6, $AB$6 / (Beastgirl!$D23 / 10.8)),1)</f>
        <v>9</v>
      </c>
      <c r="AC36" s="1">
        <f>CEILING(Warrior!$B23 / IF(Warrior!$D23&lt; 10.8, $AB$6, $AB$6 / (Warrior!$D23 / 10.8)),1)</f>
        <v>6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10</v>
      </c>
      <c r="E37" s="1">
        <f>CEILING(Elf!$B24 / IF(Elf!$D24&lt; 10.8, $F$6,$F$6 / (Elf!$D24 / 10.8)),1)</f>
        <v>11</v>
      </c>
      <c r="F37" s="1">
        <f>CEILING(Beastgirl!$B24 / IF(Beastgirl!$D24&lt; 10.8, $F$6, $F$6 / (Beastgirl!$D24/ 10.8)),1)</f>
        <v>19</v>
      </c>
      <c r="G37" s="1">
        <f>CEILING(Warrior!$B24 / IF(Warrior!$D24&lt; 10.8, $F$6, $F$6 / (Warrior!$D24 / 10.8)),1)</f>
        <v>13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7</v>
      </c>
      <c r="P37" s="1">
        <f>CEILING(Elf!$B24/ IF(Elf!$D24 &lt; 10.8, $Q$6, $Q$6 / (Elf!$D24 / 10.8)),1)</f>
        <v>8</v>
      </c>
      <c r="Q37" s="1">
        <f>CEILING(Beastgirl!$B24/ IF(Beastgirl!$D24&lt; 10.8, $Q$6, $Q$6 / (Beastgirl!$D24 / 10.8)),1)</f>
        <v>13</v>
      </c>
      <c r="R37" s="1">
        <f>CEILING(Warrior!$B24 / IF(Warrior!$D24&lt; 10.8, $Q$6, $Q$6 / (Warrior!$D24/ 10.8)),1)</f>
        <v>9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5</v>
      </c>
      <c r="AA37" s="1">
        <f>CEILING(Elf!$B24 / IF(Elf!$D24 &lt; 10.8, $AB$6, $AB$6 / (Elf!$D24 / 10.8)),1)</f>
        <v>6</v>
      </c>
      <c r="AB37" s="1">
        <f>CEILING(Beastgirl!$B24 / IF(Beastgirl!$D24&lt; 10.8, $AB$6, $AB$6 / (Beastgirl!$D24 / 10.8)),1)</f>
        <v>10</v>
      </c>
      <c r="AC37" s="1">
        <f>CEILING(Warrior!$B24 / IF(Warrior!$D24&lt; 10.8, $AB$6, $AB$6 / (Warrior!$D24 / 10.8)),1)</f>
        <v>7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11</v>
      </c>
      <c r="E38" s="1">
        <f>CEILING(Elf!$B25 / IF(Elf!$D25&lt; 10.8, $F$6,$F$6 / (Elf!$D25 / 10.8)),1)</f>
        <v>12</v>
      </c>
      <c r="F38" s="1">
        <f>CEILING(Beastgirl!$B25 / IF(Beastgirl!$D25&lt; 10.8, $F$6, $F$6 / (Beastgirl!$D25/ 10.8)),1)</f>
        <v>20</v>
      </c>
      <c r="G38" s="1">
        <f>CEILING(Warrior!$B25 / IF(Warrior!$D25&lt; 10.8, $F$6, $F$6 / (Warrior!$D25 / 10.8)),1)</f>
        <v>14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8</v>
      </c>
      <c r="P38" s="1">
        <f>CEILING(Elf!$B25/ IF(Elf!$D25 &lt; 10.8, $Q$6, $Q$6 / (Elf!$D25 / 10.8)),1)</f>
        <v>8</v>
      </c>
      <c r="Q38" s="1">
        <f>CEILING(Beastgirl!$B25/ IF(Beastgirl!$D25&lt; 10.8, $Q$6, $Q$6 / (Beastgirl!$D25 / 10.8)),1)</f>
        <v>14</v>
      </c>
      <c r="R38" s="1">
        <f>CEILING(Warrior!$B25 / IF(Warrior!$D25&lt; 10.8, $Q$6, $Q$6 / (Warrior!$D25/ 10.8)),1)</f>
        <v>10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6</v>
      </c>
      <c r="AA38" s="1">
        <f>CEILING(Elf!$B25 / IF(Elf!$D25 &lt; 10.8, $AB$6, $AB$6 / (Elf!$D25 / 10.8)),1)</f>
        <v>6</v>
      </c>
      <c r="AB38" s="1">
        <f>CEILING(Beastgirl!$B25 / IF(Beastgirl!$D25&lt; 10.8, $AB$6, $AB$6 / (Beastgirl!$D25 / 10.8)),1)</f>
        <v>10</v>
      </c>
      <c r="AC38" s="1">
        <f>CEILING(Warrior!$B25 / IF(Warrior!$D25&lt; 10.8, $AB$6, $AB$6 / (Warrior!$D25 / 10.8)),1)</f>
        <v>7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12</v>
      </c>
      <c r="E39" s="1">
        <f>CEILING(Elf!$B26 / IF(Elf!$D26&lt; 10.8, $F$6,$F$6 / (Elf!$D26 / 10.8)),1)</f>
        <v>13</v>
      </c>
      <c r="F39" s="1">
        <f>CEILING(Beastgirl!$B26 / IF(Beastgirl!$D26&lt; 10.8, $F$6, $F$6 / (Beastgirl!$D26/ 10.8)),1)</f>
        <v>22</v>
      </c>
      <c r="G39" s="1">
        <f>CEILING(Warrior!$B26 / IF(Warrior!$D26&lt; 10.8, $F$6, $F$6 / (Warrior!$D26 / 10.8)),1)</f>
        <v>16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8</v>
      </c>
      <c r="P39" s="1">
        <f>CEILING(Elf!$B26/ IF(Elf!$D26 &lt; 10.8, $Q$6, $Q$6 / (Elf!$D26 / 10.8)),1)</f>
        <v>9</v>
      </c>
      <c r="Q39" s="1">
        <f>CEILING(Beastgirl!$B26/ IF(Beastgirl!$D26&lt; 10.8, $Q$6, $Q$6 / (Beastgirl!$D26 / 10.8)),1)</f>
        <v>15</v>
      </c>
      <c r="R39" s="1">
        <f>CEILING(Warrior!$B26 / IF(Warrior!$D26&lt; 10.8, $Q$6, $Q$6 / (Warrior!$D26/ 10.8)),1)</f>
        <v>11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6</v>
      </c>
      <c r="AA39" s="1">
        <f>CEILING(Elf!$B26 / IF(Elf!$D26 &lt; 10.8, $AB$6, $AB$6 / (Elf!$D26 / 10.8)),1)</f>
        <v>7</v>
      </c>
      <c r="AB39" s="1">
        <f>CEILING(Beastgirl!$B26 / IF(Beastgirl!$D26&lt; 10.8, $AB$6, $AB$6 / (Beastgirl!$D26 / 10.8)),1)</f>
        <v>11</v>
      </c>
      <c r="AC39" s="1">
        <f>CEILING(Warrior!$B26 / IF(Warrior!$D26&lt; 10.8, $AB$6, $AB$6 / (Warrior!$D26 / 10.8)),1)</f>
        <v>8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17</v>
      </c>
      <c r="E40" s="1">
        <f>CEILING(Elf!$B27 / IF(Elf!$D27&lt; 10.8, $F$6,$F$6 / (Elf!$D27 / 10.8)),1)</f>
        <v>19</v>
      </c>
      <c r="F40" s="1">
        <f>CEILING(Beastgirl!$B27 / IF(Beastgirl!$D27&lt; 10.8, $F$6, $F$6 / (Beastgirl!$D27/ 10.8)),1)</f>
        <v>31</v>
      </c>
      <c r="G40" s="1">
        <f>CEILING(Warrior!$B27 / IF(Warrior!$D27&lt; 10.8, $F$6, $F$6 / (Warrior!$D27 / 10.8)),1)</f>
        <v>22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12</v>
      </c>
      <c r="P40" s="1">
        <f>CEILING(Elf!$B27/ IF(Elf!$D27 &lt; 10.8, $Q$6, $Q$6 / (Elf!$D27 / 10.8)),1)</f>
        <v>13</v>
      </c>
      <c r="Q40" s="1">
        <f>CEILING(Beastgirl!$B27/ IF(Beastgirl!$D27&lt; 10.8, $Q$6, $Q$6 / (Beastgirl!$D27 / 10.8)),1)</f>
        <v>21</v>
      </c>
      <c r="R40" s="1">
        <f>CEILING(Warrior!$B27 / IF(Warrior!$D27&lt; 10.8, $Q$6, $Q$6 / (Warrior!$D27/ 10.8)),1)</f>
        <v>15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9</v>
      </c>
      <c r="AA40" s="1">
        <f>CEILING(Elf!$B27 / IF(Elf!$D27 &lt; 10.8, $AB$6, $AB$6 / (Elf!$D27 / 10.8)),1)</f>
        <v>10</v>
      </c>
      <c r="AB40" s="1">
        <f>CEILING(Beastgirl!$B27 / IF(Beastgirl!$D27&lt; 10.8, $AB$6, $AB$6 / (Beastgirl!$D27 / 10.8)),1)</f>
        <v>16</v>
      </c>
      <c r="AC40" s="1">
        <f>CEILING(Warrior!$B27 / IF(Warrior!$D27&lt; 10.8, $AB$6, $AB$6 / (Warrior!$D27 / 10.8)),1)</f>
        <v>11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18</v>
      </c>
      <c r="E41" s="1">
        <f>CEILING(Elf!$B28 / IF(Elf!$D28&lt; 10.8, $F$6,$F$6 / (Elf!$D28 / 10.8)),1)</f>
        <v>20</v>
      </c>
      <c r="F41" s="1">
        <f>CEILING(Beastgirl!$B28 / IF(Beastgirl!$D28&lt; 10.8, $F$6, $F$6 / (Beastgirl!$D28/ 10.8)),1)</f>
        <v>34</v>
      </c>
      <c r="G41" s="1">
        <f>CEILING(Warrior!$B28 / IF(Warrior!$D28&lt; 10.8, $F$6, $F$6 / (Warrior!$D28 / 10.8)),1)</f>
        <v>23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12</v>
      </c>
      <c r="P41" s="1">
        <f>CEILING(Elf!$B28/ IF(Elf!$D28 &lt; 10.8, $Q$6, $Q$6 / (Elf!$D28 / 10.8)),1)</f>
        <v>14</v>
      </c>
      <c r="Q41" s="1">
        <f>CEILING(Beastgirl!$B28/ IF(Beastgirl!$D28&lt; 10.8, $Q$6, $Q$6 / (Beastgirl!$D28 / 10.8)),1)</f>
        <v>23</v>
      </c>
      <c r="R41" s="1">
        <f>CEILING(Warrior!$B28 / IF(Warrior!$D28&lt; 10.8, $Q$6, $Q$6 / (Warrior!$D28/ 10.8)),1)</f>
        <v>16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9</v>
      </c>
      <c r="AA41" s="1">
        <f>CEILING(Elf!$B28 / IF(Elf!$D28 &lt; 10.8, $AB$6, $AB$6 / (Elf!$D28 / 10.8)),1)</f>
        <v>10</v>
      </c>
      <c r="AB41" s="1">
        <f>CEILING(Beastgirl!$B28 / IF(Beastgirl!$D28&lt; 10.8, $AB$6, $AB$6 / (Beastgirl!$D28 / 10.8)),1)</f>
        <v>17</v>
      </c>
      <c r="AC41" s="1">
        <f>CEILING(Warrior!$B28 / IF(Warrior!$D28&lt; 10.8, $AB$6, $AB$6 / (Warrior!$D28 / 10.8)),1)</f>
        <v>12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20</v>
      </c>
      <c r="E42" s="1">
        <f>CEILING(Elf!$B29 / IF(Elf!$D29&lt; 10.8, $F$6,$F$6 / (Elf!$D29 / 10.8)),1)</f>
        <v>21</v>
      </c>
      <c r="F42" s="1">
        <f>CEILING(Beastgirl!$B29 / IF(Beastgirl!$D29&lt; 10.8, $F$6, $F$6 / (Beastgirl!$D29/ 10.8)),1)</f>
        <v>36</v>
      </c>
      <c r="G42" s="1">
        <f>CEILING(Warrior!$B29 / IF(Warrior!$D29&lt; 10.8, $F$6, $F$6 / (Warrior!$D29 / 10.8)),1)</f>
        <v>25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13</v>
      </c>
      <c r="P42" s="1">
        <f>CEILING(Elf!$B29/ IF(Elf!$D29 &lt; 10.8, $Q$6, $Q$6 / (Elf!$D29 / 10.8)),1)</f>
        <v>14</v>
      </c>
      <c r="Q42" s="1">
        <f>CEILING(Beastgirl!$B29/ IF(Beastgirl!$D29&lt; 10.8, $Q$6, $Q$6 / (Beastgirl!$D29 / 10.8)),1)</f>
        <v>24</v>
      </c>
      <c r="R42" s="1">
        <f>CEILING(Warrior!$B29 / IF(Warrior!$D29&lt; 10.8, $Q$6, $Q$6 / (Warrior!$D29/ 10.8)),1)</f>
        <v>17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10</v>
      </c>
      <c r="AA42" s="1">
        <f>CEILING(Elf!$B29 / IF(Elf!$D29 &lt; 10.8, $AB$6, $AB$6 / (Elf!$D29 / 10.8)),1)</f>
        <v>11</v>
      </c>
      <c r="AB42" s="1">
        <f>CEILING(Beastgirl!$B29 / IF(Beastgirl!$D29&lt; 10.8, $AB$6, $AB$6 / (Beastgirl!$D29 / 10.8)),1)</f>
        <v>18</v>
      </c>
      <c r="AC42" s="1">
        <f>CEILING(Warrior!$B29 / IF(Warrior!$D29&lt; 10.8, $AB$6, $AB$6 / (Warrior!$D29 / 10.8)),1)</f>
        <v>13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21</v>
      </c>
      <c r="E43" s="1">
        <f>CEILING(Elf!$B30 / IF(Elf!$D30&lt; 10.8, $F$6,$F$6 / (Elf!$D30 / 10.8)),1)</f>
        <v>23</v>
      </c>
      <c r="F43" s="1">
        <f>CEILING(Beastgirl!$B30 / IF(Beastgirl!$D30&lt; 10.8, $F$6, $F$6 / (Beastgirl!$D30/ 10.8)),1)</f>
        <v>38</v>
      </c>
      <c r="G43" s="1">
        <f>CEILING(Warrior!$B30 / IF(Warrior!$D30&lt; 10.8, $F$6, $F$6 / (Warrior!$D30 / 10.8)),1)</f>
        <v>27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14</v>
      </c>
      <c r="P43" s="1">
        <f>CEILING(Elf!$B30/ IF(Elf!$D30 &lt; 10.8, $Q$6, $Q$6 / (Elf!$D30 / 10.8)),1)</f>
        <v>15</v>
      </c>
      <c r="Q43" s="1">
        <f>CEILING(Beastgirl!$B30/ IF(Beastgirl!$D30&lt; 10.8, $Q$6, $Q$6 / (Beastgirl!$D30 / 10.8)),1)</f>
        <v>26</v>
      </c>
      <c r="R43" s="1">
        <f>CEILING(Warrior!$B30 / IF(Warrior!$D30&lt; 10.8, $Q$6, $Q$6 / (Warrior!$D30/ 10.8)),1)</f>
        <v>18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11</v>
      </c>
      <c r="AA43" s="1">
        <f>CEILING(Elf!$B30 / IF(Elf!$D30 &lt; 10.8, $AB$6, $AB$6 / (Elf!$D30 / 10.8)),1)</f>
        <v>12</v>
      </c>
      <c r="AB43" s="1">
        <f>CEILING(Beastgirl!$B30 / IF(Beastgirl!$D30&lt; 10.8, $AB$6, $AB$6 / (Beastgirl!$D30 / 10.8)),1)</f>
        <v>19</v>
      </c>
      <c r="AC43" s="1">
        <f>CEILING(Warrior!$B30 / IF(Warrior!$D30&lt; 10.8, $AB$6, $AB$6 / (Warrior!$D30 / 10.8)),1)</f>
        <v>14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22</v>
      </c>
      <c r="E44" s="1">
        <f>CEILING(Elf!$B31 / IF(Elf!$D31&lt; 10.8, $F$6,$F$6 / (Elf!$D31 / 10.8)),1)</f>
        <v>24</v>
      </c>
      <c r="F44" s="1">
        <f>CEILING(Beastgirl!$B31 / IF(Beastgirl!$D31&lt; 10.8, $F$6, $F$6 / (Beastgirl!$D31/ 10.8)),1)</f>
        <v>40</v>
      </c>
      <c r="G44" s="1">
        <f>CEILING(Warrior!$B31 / IF(Warrior!$D31&lt; 10.8, $F$6, $F$6 / (Warrior!$D31 / 10.8)),1)</f>
        <v>28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15</v>
      </c>
      <c r="P44" s="1">
        <f>CEILING(Elf!$B31/ IF(Elf!$D31 &lt; 10.8, $Q$6, $Q$6 / (Elf!$D31 / 10.8)),1)</f>
        <v>16</v>
      </c>
      <c r="Q44" s="1">
        <f>CEILING(Beastgirl!$B31/ IF(Beastgirl!$D31&lt; 10.8, $Q$6, $Q$6 / (Beastgirl!$D31 / 10.8)),1)</f>
        <v>27</v>
      </c>
      <c r="R44" s="1">
        <f>CEILING(Warrior!$B31 / IF(Warrior!$D31&lt; 10.8, $Q$6, $Q$6 / (Warrior!$D31/ 10.8)),1)</f>
        <v>19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11</v>
      </c>
      <c r="AA44" s="1">
        <f>CEILING(Elf!$B31 / IF(Elf!$D31 &lt; 10.8, $AB$6, $AB$6 / (Elf!$D31 / 10.8)),1)</f>
        <v>12</v>
      </c>
      <c r="AB44" s="1">
        <f>CEILING(Beastgirl!$B31 / IF(Beastgirl!$D31&lt; 10.8, $AB$6, $AB$6 / (Beastgirl!$D31 / 10.8)),1)</f>
        <v>20</v>
      </c>
      <c r="AC44" s="1">
        <f>CEILING(Warrior!$B31 / IF(Warrior!$D31&lt; 10.8, $AB$6, $AB$6 / (Warrior!$D31 / 10.8)),1)</f>
        <v>14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24</v>
      </c>
      <c r="E45" s="1">
        <f>CEILING(Elf!$B32 / IF(Elf!$D32&lt; 10.8, $F$6,$F$6 / (Elf!$D32 / 10.8)),1)</f>
        <v>26</v>
      </c>
      <c r="F45" s="1">
        <f>CEILING(Beastgirl!$B32 / IF(Beastgirl!$D32&lt; 10.8, $F$6, $F$6 / (Beastgirl!$D32/ 10.8)),1)</f>
        <v>43</v>
      </c>
      <c r="G45" s="1">
        <f>CEILING(Warrior!$B32 / IF(Warrior!$D32&lt; 10.8, $F$6, $F$6 / (Warrior!$D32 / 10.8)),1)</f>
        <v>30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16</v>
      </c>
      <c r="P45" s="1">
        <f>CEILING(Elf!$B32/ IF(Elf!$D32 &lt; 10.8, $Q$6, $Q$6 / (Elf!$D32 / 10.8)),1)</f>
        <v>18</v>
      </c>
      <c r="Q45" s="1">
        <f>CEILING(Beastgirl!$B32/ IF(Beastgirl!$D32&lt; 10.8, $Q$6, $Q$6 / (Beastgirl!$D32 / 10.8)),1)</f>
        <v>29</v>
      </c>
      <c r="R45" s="1">
        <f>CEILING(Warrior!$B32 / IF(Warrior!$D32&lt; 10.8, $Q$6, $Q$6 / (Warrior!$D32/ 10.8)),1)</f>
        <v>20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12</v>
      </c>
      <c r="AA45" s="1">
        <f>CEILING(Elf!$B32 / IF(Elf!$D32 &lt; 10.8, $AB$6, $AB$6 / (Elf!$D32 / 10.8)),1)</f>
        <v>13</v>
      </c>
      <c r="AB45" s="1">
        <f>CEILING(Beastgirl!$B32 / IF(Beastgirl!$D32&lt; 10.8, $AB$6, $AB$6 / (Beastgirl!$D32 / 10.8)),1)</f>
        <v>22</v>
      </c>
      <c r="AC45" s="1">
        <f>CEILING(Warrior!$B32 / IF(Warrior!$D32&lt; 10.8, $AB$6, $AB$6 / (Warrior!$D32 / 10.8)),1)</f>
        <v>15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21:G21"/>
    <mergeCell ref="N21:R21"/>
    <mergeCell ref="Y21:AC21"/>
    <mergeCell ref="C34:G34"/>
    <mergeCell ref="N34:R34"/>
    <mergeCell ref="Y34:AC34"/>
    <mergeCell ref="A1:K1"/>
    <mergeCell ref="L1:V1"/>
    <mergeCell ref="W1:AF1"/>
    <mergeCell ref="C8:G8"/>
    <mergeCell ref="N8:R8"/>
    <mergeCell ref="Y8:AC8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D5E9-F96D-4BA5-A430-164355E47076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777343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3</v>
      </c>
      <c r="C3" s="1"/>
      <c r="D3" s="1">
        <v>8</v>
      </c>
      <c r="E3" s="1">
        <v>12</v>
      </c>
      <c r="F3" s="1">
        <v>7</v>
      </c>
      <c r="G3" s="1">
        <v>6</v>
      </c>
      <c r="H3" s="1">
        <v>8</v>
      </c>
      <c r="I3" s="1">
        <v>13</v>
      </c>
      <c r="J3" s="1">
        <v>16</v>
      </c>
      <c r="K3" s="1"/>
      <c r="L3" s="4">
        <v>1</v>
      </c>
      <c r="M3" s="1">
        <f>Table596183195[[#This Row],[HP]] * 1.5</f>
        <v>4.5</v>
      </c>
      <c r="N3" s="1"/>
      <c r="O3" s="1">
        <f>Table596183195[[#This Row],[DEF]] * 1.5</f>
        <v>12</v>
      </c>
      <c r="P3" s="1">
        <f>Table596183195[[#This Row],[AGI]] * 1.5</f>
        <v>18</v>
      </c>
      <c r="Q3" s="1">
        <f>Table596183195[[#This Row],[STR]] * 1.5</f>
        <v>10.5</v>
      </c>
      <c r="R3" s="1">
        <f>Table596183195[[#This Row],[INT]] * 1.5</f>
        <v>9</v>
      </c>
      <c r="S3" s="1">
        <f xml:space="preserve"> Table596183195[[#This Row],[DEX]] * 1.5</f>
        <v>12</v>
      </c>
      <c r="T3" s="1">
        <f>Table596183195[[#This Row],[XP Given]]*1.25</f>
        <v>16.25</v>
      </c>
      <c r="U3" s="1"/>
      <c r="V3" s="1"/>
      <c r="W3" s="4">
        <v>1</v>
      </c>
      <c r="X3" s="1">
        <f>Table596183195[[#This Row],[HP]] * 2</f>
        <v>6</v>
      </c>
      <c r="Y3" s="1"/>
      <c r="Z3" s="1">
        <f>Table596183195[[#This Row],[DEF]] * 2</f>
        <v>16</v>
      </c>
      <c r="AA3" s="1">
        <f>Table596183195[[#This Row],[AGI]] * 2</f>
        <v>24</v>
      </c>
      <c r="AB3" s="1">
        <f>Table596183195[[#This Row],[STR]] * 2</f>
        <v>14</v>
      </c>
      <c r="AC3" s="1">
        <f>Table596183195[[#This Row],[INT]] * 2</f>
        <v>12</v>
      </c>
      <c r="AD3" s="1">
        <f xml:space="preserve"> Table596183195[[#This Row],[DEX]] * 2</f>
        <v>16</v>
      </c>
      <c r="AE3" s="1">
        <f>Table596183195[[#This Row],[XP Given]]*1.5</f>
        <v>19.5</v>
      </c>
      <c r="AF3" s="1"/>
    </row>
    <row r="4" spans="1:32" x14ac:dyDescent="0.3">
      <c r="A4" s="4">
        <v>24</v>
      </c>
      <c r="B4" s="1">
        <f>$B$3 + ((Table596183195[[#This Row],[LV]] / 10) + $B$3 / 8) * Table596183195[[#This Row],[LV]]</f>
        <v>69.599999999999994</v>
      </c>
      <c r="C4" s="1"/>
      <c r="D4" s="1">
        <f>$D$3 + ($D$3 / 4) * Table596183195[[#This Row],[LV]]</f>
        <v>56</v>
      </c>
      <c r="E4" s="1">
        <f>$E$3 + ($E$3 / 4) * Table596183195[[#This Row],[LV]]</f>
        <v>84</v>
      </c>
      <c r="F4" s="1">
        <f>$F$3 + ($F$3 / 4) * Table596183195[[#This Row],[LV]]</f>
        <v>49</v>
      </c>
      <c r="G4" s="1">
        <f>$G$3 + ($G$3 / 4) * Table596183195[[#This Row],[LV]]</f>
        <v>42</v>
      </c>
      <c r="H4" s="1">
        <f>$H$3 + ($H$3 / 4) * Table596183195[[#This Row],[LV]]</f>
        <v>56</v>
      </c>
      <c r="I4" s="1">
        <f>$I$3 + $I$3 * Table596183195[[#This Row],[LV]] *25 / 100</f>
        <v>91</v>
      </c>
      <c r="J4" s="1">
        <f>$J$3 + $J$3 * Table596183195[[#This Row],[LV]] * 25 / 100</f>
        <v>112</v>
      </c>
      <c r="K4" s="1"/>
      <c r="L4" s="4">
        <v>24</v>
      </c>
      <c r="M4" s="1">
        <f>$M$3 + ((Table5997184196[[#This Row],[LV]] / 10) + $M$3 / 8) * Table5997184196[[#This Row],[LV]]</f>
        <v>75.599999999999994</v>
      </c>
      <c r="N4" s="1"/>
      <c r="O4" s="1">
        <f>$O$3 + ($O$3 / 4) * Table5997184196[[#This Row],[LV]]</f>
        <v>84</v>
      </c>
      <c r="P4" s="1">
        <f>$P$3 + ($P$3 / 4) * Table5997184196[[#This Row],[LV]]</f>
        <v>126</v>
      </c>
      <c r="Q4" s="1">
        <f>$Q$3 + ($Q$3 / 4) * Table5997184196[[#This Row],[LV]]</f>
        <v>73.5</v>
      </c>
      <c r="R4" s="1">
        <f>$R$3 + ($R$3 / 4) * Table5997184196[[#This Row],[LV]]</f>
        <v>63</v>
      </c>
      <c r="S4" s="1">
        <f>$S$3 + ($S$3 / 4) * Table5997184196[[#This Row],[LV]]</f>
        <v>84</v>
      </c>
      <c r="T4" s="1">
        <f>Table596183195[[#This Row],[XP Given]]*1.25</f>
        <v>113.75</v>
      </c>
      <c r="U4" s="1">
        <f>Table596183195[[#This Row],[Gold Given]]*1.25</f>
        <v>140</v>
      </c>
      <c r="V4" s="1"/>
      <c r="W4" s="4">
        <v>24</v>
      </c>
      <c r="X4" s="1">
        <f>$X$3 + ((Table591098185197[[#This Row],[LV]] / 10) + $X$3 / 8) * Table591098185197[[#This Row],[LV]]</f>
        <v>81.599999999999994</v>
      </c>
      <c r="Y4" s="1"/>
      <c r="Z4" s="1">
        <f>$Z$3 + ($Z$3 / 4) * Table591098185197[[#This Row],[LV]]</f>
        <v>112</v>
      </c>
      <c r="AA4" s="1">
        <f>$AA$3 + ($AA$3 / 4) * Table591098185197[[#This Row],[LV]]</f>
        <v>168</v>
      </c>
      <c r="AB4" s="1">
        <f>$AB$3 + ($AB$3 / 4) * Table591098185197[[#This Row],[LV]]</f>
        <v>98</v>
      </c>
      <c r="AC4" s="1">
        <f>$AC$3 + ($AC$3 / 4) * Table591098185197[[#This Row],[LV]]</f>
        <v>84</v>
      </c>
      <c r="AD4" s="1">
        <f>$AD$3 + ($AD$3 / 4) * Table591098185197[[#This Row],[LV]]</f>
        <v>112</v>
      </c>
      <c r="AE4" s="1">
        <f>Table596183195[[#This Row],[XP Given]]*1.5</f>
        <v>136.5</v>
      </c>
      <c r="AF4" s="1">
        <f>Table596183195[[#This Row],[Gold Given]]*1.5</f>
        <v>168</v>
      </c>
    </row>
    <row r="5" spans="1:32" x14ac:dyDescent="0.3">
      <c r="A5" s="4">
        <v>25</v>
      </c>
      <c r="B5" s="1">
        <f>$B$3 + ((Table596183195[[#This Row],[LV]] / 10) + $B$3 / 8) * Table596183195[[#This Row],[LV]]</f>
        <v>74.875</v>
      </c>
      <c r="C5" s="1"/>
      <c r="D5" s="1">
        <f>$D$3 + ($D$3 / 4) * Table596183195[[#This Row],[LV]]</f>
        <v>58</v>
      </c>
      <c r="E5" s="1">
        <f>$E$3 + ($E$3 / 4) * Table596183195[[#This Row],[LV]]</f>
        <v>87</v>
      </c>
      <c r="F5" s="1">
        <f>$F$3 + ($F$3 / 4) * Table596183195[[#This Row],[LV]]</f>
        <v>50.75</v>
      </c>
      <c r="G5" s="1">
        <f>$G$3 + ($G$3 / 4) * Table596183195[[#This Row],[LV]]</f>
        <v>43.5</v>
      </c>
      <c r="H5" s="1">
        <f>$H$3 + ($H$3 / 4) * Table596183195[[#This Row],[LV]]</f>
        <v>58</v>
      </c>
      <c r="I5" s="1">
        <f>$I$3 + $I$3 * Table596183195[[#This Row],[LV]] *25 / 100</f>
        <v>94.25</v>
      </c>
      <c r="J5" s="1">
        <f>$J$3 + $J$3 * Table596183195[[#This Row],[LV]] * 25 / 100</f>
        <v>116</v>
      </c>
      <c r="K5" s="1"/>
      <c r="L5" s="4">
        <v>25</v>
      </c>
      <c r="M5" s="1">
        <f>$M$3 + ((Table5997184196[[#This Row],[LV]] / 10) + $M$3 / 8) * Table5997184196[[#This Row],[LV]]</f>
        <v>81.0625</v>
      </c>
      <c r="N5" s="1"/>
      <c r="O5" s="1">
        <f>$O$3 + ($O$3 / 4) * Table5997184196[[#This Row],[LV]]</f>
        <v>87</v>
      </c>
      <c r="P5" s="1">
        <f>$P$3 + ($P$3 / 4) * Table5997184196[[#This Row],[LV]]</f>
        <v>130.5</v>
      </c>
      <c r="Q5" s="1">
        <f>$Q$3 + ($Q$3 / 4) * Table5997184196[[#This Row],[LV]]</f>
        <v>76.125</v>
      </c>
      <c r="R5" s="1">
        <f>$R$3 + ($R$3 / 4) * Table5997184196[[#This Row],[LV]]</f>
        <v>65.25</v>
      </c>
      <c r="S5" s="1">
        <f>$S$3 + ($S$3 / 4) * Table5997184196[[#This Row],[LV]]</f>
        <v>87</v>
      </c>
      <c r="T5" s="1">
        <f>Table596183195[[#This Row],[XP Given]]*1.25</f>
        <v>117.8125</v>
      </c>
      <c r="U5" s="1">
        <f>Table596183195[[#This Row],[Gold Given]]*1.25</f>
        <v>145</v>
      </c>
      <c r="V5" s="1"/>
      <c r="W5" s="4">
        <v>25</v>
      </c>
      <c r="X5" s="1">
        <f>$X$3 + ((Table591098185197[[#This Row],[LV]] / 10) + $X$3 / 8) * Table591098185197[[#This Row],[LV]]</f>
        <v>87.25</v>
      </c>
      <c r="Y5" s="1"/>
      <c r="Z5" s="1">
        <f>$Z$3 + ($Z$3 / 4) * Table591098185197[[#This Row],[LV]]</f>
        <v>116</v>
      </c>
      <c r="AA5" s="1">
        <f>$AA$3 + ($AA$3 / 4) * Table591098185197[[#This Row],[LV]]</f>
        <v>174</v>
      </c>
      <c r="AB5" s="1">
        <f>$AB$3 + ($AB$3 / 4) * Table591098185197[[#This Row],[LV]]</f>
        <v>101.5</v>
      </c>
      <c r="AC5" s="1">
        <f>$AC$3 + ($AC$3 / 4) * Table591098185197[[#This Row],[LV]]</f>
        <v>87</v>
      </c>
      <c r="AD5" s="1">
        <f>$AD$3 + ($AD$3 / 4) * Table591098185197[[#This Row],[LV]]</f>
        <v>116</v>
      </c>
      <c r="AE5" s="1">
        <f>Table596183195[[#This Row],[XP Given]]*1.5</f>
        <v>141.375</v>
      </c>
      <c r="AF5" s="1">
        <f>Table596183195[[#This Row],[Gold Given]]*1.5</f>
        <v>174</v>
      </c>
    </row>
    <row r="6" spans="1:32" x14ac:dyDescent="0.3">
      <c r="A6" s="4">
        <v>26</v>
      </c>
      <c r="B6" s="1">
        <f>$B$3 + ((Table596183195[[#This Row],[LV]] / 10) + $B$3 / 8) * Table596183195[[#This Row],[LV]]</f>
        <v>80.350000000000009</v>
      </c>
      <c r="C6" s="1"/>
      <c r="D6" s="1">
        <f>$D$3 + ($D$3 / 4) * Table596183195[[#This Row],[LV]]</f>
        <v>60</v>
      </c>
      <c r="E6" s="1">
        <f>$E$3 + ($E$3 / 4) * Table596183195[[#This Row],[LV]]</f>
        <v>90</v>
      </c>
      <c r="F6" s="1">
        <f>$F$3 + ($F$3 / 4) * Table596183195[[#This Row],[LV]]</f>
        <v>52.5</v>
      </c>
      <c r="G6" s="1">
        <f>$G$3 + ($G$3 / 4) * Table596183195[[#This Row],[LV]]</f>
        <v>45</v>
      </c>
      <c r="H6" s="1">
        <f>$H$3 + ($H$3 / 4) * Table596183195[[#This Row],[LV]]</f>
        <v>60</v>
      </c>
      <c r="I6" s="1">
        <f>$I$3 + $I$3 * Table596183195[[#This Row],[LV]] *25 / 100</f>
        <v>97.5</v>
      </c>
      <c r="J6" s="1">
        <f>$J$3 + $J$3 * Table596183195[[#This Row],[LV]] * 25 / 100</f>
        <v>120</v>
      </c>
      <c r="K6" s="1"/>
      <c r="L6" s="4">
        <v>26</v>
      </c>
      <c r="M6" s="1">
        <f>$M$3 + ((Table5997184196[[#This Row],[LV]] / 10) + $M$3 / 8) * Table5997184196[[#This Row],[LV]]</f>
        <v>86.725000000000009</v>
      </c>
      <c r="N6" s="1"/>
      <c r="O6" s="1">
        <f>$O$3 + ($O$3 / 4) * Table5997184196[[#This Row],[LV]]</f>
        <v>90</v>
      </c>
      <c r="P6" s="1">
        <f>$P$3 + ($P$3 / 4) * Table5997184196[[#This Row],[LV]]</f>
        <v>135</v>
      </c>
      <c r="Q6" s="1">
        <f>$Q$3 + ($Q$3 / 4) * Table5997184196[[#This Row],[LV]]</f>
        <v>78.75</v>
      </c>
      <c r="R6" s="1">
        <f>$R$3 + ($R$3 / 4) * Table5997184196[[#This Row],[LV]]</f>
        <v>67.5</v>
      </c>
      <c r="S6" s="1">
        <f>$S$3 + ($S$3 / 4) * Table5997184196[[#This Row],[LV]]</f>
        <v>90</v>
      </c>
      <c r="T6" s="1">
        <f>Table596183195[[#This Row],[XP Given]]*1.25</f>
        <v>121.875</v>
      </c>
      <c r="U6" s="1">
        <f>Table596183195[[#This Row],[Gold Given]]*1.25</f>
        <v>150</v>
      </c>
      <c r="V6" s="1"/>
      <c r="W6" s="4">
        <v>26</v>
      </c>
      <c r="X6" s="1">
        <f>$X$3 + ((Table591098185197[[#This Row],[LV]] / 10) + $X$3 / 8) * Table591098185197[[#This Row],[LV]]</f>
        <v>93.100000000000009</v>
      </c>
      <c r="Y6" s="1"/>
      <c r="Z6" s="1">
        <f>$Z$3 + ($Z$3 / 4) * Table591098185197[[#This Row],[LV]]</f>
        <v>120</v>
      </c>
      <c r="AA6" s="1">
        <f>$AA$3 + ($AA$3 / 4) * Table591098185197[[#This Row],[LV]]</f>
        <v>180</v>
      </c>
      <c r="AB6" s="1">
        <f>$AB$3 + ($AB$3 / 4) * Table591098185197[[#This Row],[LV]]</f>
        <v>105</v>
      </c>
      <c r="AC6" s="1">
        <f>$AC$3 + ($AC$3 / 4) * Table591098185197[[#This Row],[LV]]</f>
        <v>90</v>
      </c>
      <c r="AD6" s="1">
        <f>$AD$3 + ($AD$3 / 4) * Table591098185197[[#This Row],[LV]]</f>
        <v>120</v>
      </c>
      <c r="AE6" s="1">
        <f>Table596183195[[#This Row],[XP Given]]*1.5</f>
        <v>146.25</v>
      </c>
      <c r="AF6" s="1">
        <f>Table596183195[[#This Row],[Gold Given]]*1.5</f>
        <v>180</v>
      </c>
    </row>
    <row r="8" spans="1:32" ht="25.8" x14ac:dyDescent="0.3">
      <c r="C8" s="53" t="s">
        <v>57</v>
      </c>
      <c r="D8" s="53"/>
      <c r="E8" s="53"/>
      <c r="F8" s="53"/>
      <c r="G8" s="53"/>
      <c r="H8" s="7"/>
      <c r="N8" s="53" t="s">
        <v>57</v>
      </c>
      <c r="O8" s="53"/>
      <c r="P8" s="53"/>
      <c r="Q8" s="53"/>
      <c r="R8" s="53"/>
      <c r="S8" s="7"/>
      <c r="T8" s="7"/>
      <c r="U8" s="7"/>
      <c r="V8" s="7"/>
      <c r="Y8" s="53" t="s">
        <v>57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8</v>
      </c>
      <c r="E10" s="1">
        <f>CEILING(Elf!$B23 / IF(Elf!$D23 &lt; 10.8, $F$4, $F$4 / (Elf!$D23 / 10.8)),1)</f>
        <v>8</v>
      </c>
      <c r="F10" s="1">
        <f>CEILING(Beastgirl!$B23/ IF(Beastgirl!$D23&lt; 10.8,$F$4, $F$4 / (Beastgirl!$D23 / 10.8)),1)</f>
        <v>15</v>
      </c>
      <c r="G10" s="1">
        <f>CEILING(Warrior!$B23/ IF(Warrior!$D23&lt; 10.8, $F$4, $F$4 / (Warrior!$D23 / 10.8)),1)</f>
        <v>10</v>
      </c>
      <c r="N10" s="1">
        <v>21</v>
      </c>
      <c r="O10" s="1">
        <f>CEILING(Demon!$B23 / IF(Demon!$D23&lt; 10.8, $Q$4, $Q$4 / (Demon!$D23 / 10.8)),1)</f>
        <v>5</v>
      </c>
      <c r="P10" s="1">
        <f>CEILING(Elf!$B23 / IF(Elf!$D23 &lt; 10.8, $Q$4, $Q$4 / (Elf!$D23 / 10.8)),1)</f>
        <v>6</v>
      </c>
      <c r="Q10" s="1">
        <f>CEILING(Beastgirl!$B23 / IF(Beastgirl!$D23&lt; 10.8, $Q$4, $Q$4 / (Beastgirl!$D23 / 10.8)),1)</f>
        <v>10</v>
      </c>
      <c r="R10" s="1">
        <f>CEILING(Warrior!$B23 / IF(Warrior!$D23&lt; 10.8, $Q$4, $Q$4 / (Warrior!$D23 / 10.8)),1)</f>
        <v>7</v>
      </c>
      <c r="Y10" s="1">
        <v>21</v>
      </c>
      <c r="Z10" s="1">
        <f>CEILING(Demon!$B23 / IF(Demon!$D23&lt; 10.8, $AB$4, $AB$4 / (Demon!$D23 / 10.8)),1)</f>
        <v>4</v>
      </c>
      <c r="AA10" s="1">
        <f>CEILING(Elf!$B23 / IF(Elf!$D23 &lt; 10.8, $AB$4, $AB$4 / (Elf!$D23 / 10.8)),1)</f>
        <v>4</v>
      </c>
      <c r="AB10" s="1">
        <f>CEILING(Beastgirl!$B23 / IF(Beastgirl!$D23&lt; 10.8, $AB$4, $AB$4 / (Beastgirl!$D23 / 10.8)),1)</f>
        <v>8</v>
      </c>
      <c r="AC10" s="1">
        <f>CEILING(Warrior!$B23 / IF(Warrior!$D23&lt; 10.8, $AB$4, $AB$4 / (Warrior!$D23 / 10.8)),1)</f>
        <v>5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8</v>
      </c>
      <c r="E11" s="1">
        <f>CEILING(Elf!$B24 / IF(Elf!$D24 &lt; 10.8, $F$4, $F$4 / (Elf!$D24 / 10.8)),1)</f>
        <v>9</v>
      </c>
      <c r="F11" s="1">
        <f>CEILING(Beastgirl!$B24/ IF(Beastgirl!$D24&lt; 10.8,$F$4, $F$4 / (Beastgirl!$D24 / 10.8)),1)</f>
        <v>16</v>
      </c>
      <c r="G11" s="1">
        <f>CEILING(Warrior!$B24/ IF(Warrior!$D24&lt; 10.8, $F$4, $F$4 / (Warrior!$D24 / 10.8)),1)</f>
        <v>11</v>
      </c>
      <c r="N11" s="1">
        <v>22</v>
      </c>
      <c r="O11" s="1">
        <f>CEILING(Demon!$B24 / IF(Demon!$D24&lt; 10.8, $Q$4, $Q$4 / (Demon!$D24 / 10.8)),1)</f>
        <v>6</v>
      </c>
      <c r="P11" s="1">
        <f>CEILING(Elf!$B24 / IF(Elf!$D24 &lt; 10.8, $Q$4, $Q$4 / (Elf!$D24 / 10.8)),1)</f>
        <v>6</v>
      </c>
      <c r="Q11" s="1">
        <f>CEILING(Beastgirl!$B24 / IF(Beastgirl!$D24&lt; 10.8, $Q$4, $Q$4 / (Beastgirl!$D24 / 10.8)),1)</f>
        <v>11</v>
      </c>
      <c r="R11" s="1">
        <f>CEILING(Warrior!$B24 / IF(Warrior!$D24&lt; 10.8, $Q$4, $Q$4 / (Warrior!$D24 / 10.8)),1)</f>
        <v>8</v>
      </c>
      <c r="Y11" s="1">
        <v>22</v>
      </c>
      <c r="Z11" s="1">
        <f>CEILING(Demon!$B24 / IF(Demon!$D24&lt; 10.8, $AB$4, $AB$4 / (Demon!$D24 / 10.8)),1)</f>
        <v>4</v>
      </c>
      <c r="AA11" s="1">
        <f>CEILING(Elf!$B24 / IF(Elf!$D24 &lt; 10.8, $AB$4, $AB$4 / (Elf!$D24 / 10.8)),1)</f>
        <v>5</v>
      </c>
      <c r="AB11" s="1">
        <f>CEILING(Beastgirl!$B24 / IF(Beastgirl!$D24&lt; 10.8, $AB$4, $AB$4 / (Beastgirl!$D24 / 10.8)),1)</f>
        <v>8</v>
      </c>
      <c r="AC11" s="1">
        <f>CEILING(Warrior!$B24 / IF(Warrior!$D24&lt; 10.8, $AB$4, $AB$4 / (Warrior!$D24 / 10.8)),1)</f>
        <v>6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9</v>
      </c>
      <c r="E12" s="1">
        <f>CEILING(Elf!$B25 / IF(Elf!$D25 &lt; 10.8, $F$4, $F$4 / (Elf!$D25 / 10.8)),1)</f>
        <v>10</v>
      </c>
      <c r="F12" s="1">
        <f>CEILING(Beastgirl!$B25/ IF(Beastgirl!$D25&lt; 10.8,$F$4, $F$4 / (Beastgirl!$D25 / 10.8)),1)</f>
        <v>17</v>
      </c>
      <c r="G12" s="1">
        <f>CEILING(Warrior!$B25/ IF(Warrior!$D25&lt; 10.8, $F$4, $F$4 / (Warrior!$D25 / 10.8)),1)</f>
        <v>12</v>
      </c>
      <c r="N12" s="1">
        <v>23</v>
      </c>
      <c r="O12" s="1">
        <f>CEILING(Demon!$B25 / IF(Demon!$D25&lt; 10.8, $Q$4, $Q$4 / (Demon!$D25 / 10.8)),1)</f>
        <v>6</v>
      </c>
      <c r="P12" s="1">
        <f>CEILING(Elf!$B25 / IF(Elf!$D25 &lt; 10.8, $Q$4, $Q$4 / (Elf!$D25 / 10.8)),1)</f>
        <v>7</v>
      </c>
      <c r="Q12" s="1">
        <f>CEILING(Beastgirl!$B25 / IF(Beastgirl!$D25&lt; 10.8, $Q$4, $Q$4 / (Beastgirl!$D25 / 10.8)),1)</f>
        <v>11</v>
      </c>
      <c r="R12" s="1">
        <f>CEILING(Warrior!$B25 / IF(Warrior!$D25&lt; 10.8, $Q$4, $Q$4 / (Warrior!$D25 / 10.8)),1)</f>
        <v>8</v>
      </c>
      <c r="Y12" s="1">
        <v>23</v>
      </c>
      <c r="Z12" s="1">
        <f>CEILING(Demon!$B25 / IF(Demon!$D25&lt; 10.8, $AB$4, $AB$4 / (Demon!$D25 / 10.8)),1)</f>
        <v>5</v>
      </c>
      <c r="AA12" s="1">
        <f>CEILING(Elf!$B25 / IF(Elf!$D25 &lt; 10.8, $AB$4, $AB$4 / (Elf!$D25 / 10.8)),1)</f>
        <v>5</v>
      </c>
      <c r="AB12" s="1">
        <f>CEILING(Beastgirl!$B25 / IF(Beastgirl!$D25&lt; 10.8, $AB$4, $AB$4 / (Beastgirl!$D25 / 10.8)),1)</f>
        <v>9</v>
      </c>
      <c r="AC12" s="1">
        <f>CEILING(Warrior!$B25 / IF(Warrior!$D25&lt; 10.8, $AB$4, $AB$4 / (Warrior!$D25 / 10.8)),1)</f>
        <v>6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10</v>
      </c>
      <c r="E13" s="1">
        <f>CEILING(Elf!$B26 / IF(Elf!$D26 &lt; 10.8, $F$4, $F$4 / (Elf!$D26 / 10.8)),1)</f>
        <v>11</v>
      </c>
      <c r="F13" s="1">
        <f>CEILING(Beastgirl!$B26/ IF(Beastgirl!$D26&lt; 10.8,$F$4, $F$4 / (Beastgirl!$D26 / 10.8)),1)</f>
        <v>18</v>
      </c>
      <c r="G13" s="1">
        <f>CEILING(Warrior!$B26/ IF(Warrior!$D26&lt; 10.8, $F$4, $F$4 / (Warrior!$D26 / 10.8)),1)</f>
        <v>13</v>
      </c>
      <c r="N13" s="1">
        <v>24</v>
      </c>
      <c r="O13" s="1">
        <f>CEILING(Demon!$B26 / IF(Demon!$D26&lt; 10.8, $Q$4, $Q$4 / (Demon!$D26 / 10.8)),1)</f>
        <v>7</v>
      </c>
      <c r="P13" s="1">
        <f>CEILING(Elf!$B26 / IF(Elf!$D26 &lt; 10.8, $Q$4, $Q$4 / (Elf!$D26 / 10.8)),1)</f>
        <v>7</v>
      </c>
      <c r="Q13" s="1">
        <f>CEILING(Beastgirl!$B26 / IF(Beastgirl!$D26&lt; 10.8, $Q$4, $Q$4 / (Beastgirl!$D26 / 10.8)),1)</f>
        <v>12</v>
      </c>
      <c r="R13" s="1">
        <f>CEILING(Warrior!$B26 / IF(Warrior!$D26&lt; 10.8, $Q$4, $Q$4 / (Warrior!$D26 / 10.8)),1)</f>
        <v>9</v>
      </c>
      <c r="Y13" s="1">
        <v>24</v>
      </c>
      <c r="Z13" s="1">
        <f>CEILING(Demon!$B26 / IF(Demon!$D26&lt; 10.8, $AB$4, $AB$4 / (Demon!$D26 / 10.8)),1)</f>
        <v>5</v>
      </c>
      <c r="AA13" s="1">
        <f>CEILING(Elf!$B26 / IF(Elf!$D26 &lt; 10.8, $AB$4, $AB$4 / (Elf!$D26 / 10.8)),1)</f>
        <v>6</v>
      </c>
      <c r="AB13" s="1">
        <f>CEILING(Beastgirl!$B26 / IF(Beastgirl!$D26&lt; 10.8, $AB$4, $AB$4 / (Beastgirl!$D26 / 10.8)),1)</f>
        <v>9</v>
      </c>
      <c r="AC13" s="1">
        <f>CEILING(Warrior!$B26 / IF(Warrior!$D26&lt; 10.8, $AB$4, $AB$4 / (Warrior!$D26 / 10.8)),1)</f>
        <v>7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14</v>
      </c>
      <c r="E14" s="1">
        <f>CEILING(Elf!$B27 / IF(Elf!$D27 &lt; 10.8, $F$4, $F$4 / (Elf!$D27 / 10.8)),1)</f>
        <v>16</v>
      </c>
      <c r="F14" s="1">
        <f>CEILING(Beastgirl!$B27/ IF(Beastgirl!$D27&lt; 10.8,$F$4, $F$4 / (Beastgirl!$D27 / 10.8)),1)</f>
        <v>26</v>
      </c>
      <c r="G14" s="1">
        <f>CEILING(Warrior!$B27/ IF(Warrior!$D27&lt; 10.8, $F$4, $F$4 / (Warrior!$D27 / 10.8)),1)</f>
        <v>18</v>
      </c>
      <c r="N14" s="1">
        <v>25</v>
      </c>
      <c r="O14" s="1">
        <f>CEILING(Demon!$B27 / IF(Demon!$D27&lt; 10.8, $Q$4, $Q$4 / (Demon!$D27 / 10.8)),1)</f>
        <v>10</v>
      </c>
      <c r="P14" s="1">
        <f>CEILING(Elf!$B27 / IF(Elf!$D27 &lt; 10.8, $Q$4, $Q$4 / (Elf!$D27 / 10.8)),1)</f>
        <v>11</v>
      </c>
      <c r="Q14" s="1">
        <f>CEILING(Beastgirl!$B27 / IF(Beastgirl!$D27&lt; 10.8, $Q$4, $Q$4 / (Beastgirl!$D27 / 10.8)),1)</f>
        <v>18</v>
      </c>
      <c r="R14" s="1">
        <f>CEILING(Warrior!$B27 / IF(Warrior!$D27&lt; 10.8, $Q$4, $Q$4 / (Warrior!$D27 / 10.8)),1)</f>
        <v>12</v>
      </c>
      <c r="Y14" s="1">
        <v>25</v>
      </c>
      <c r="Z14" s="1">
        <f>CEILING(Demon!$B27 / IF(Demon!$D27&lt; 10.8, $AB$4, $AB$4 / (Demon!$D27 / 10.8)),1)</f>
        <v>7</v>
      </c>
      <c r="AA14" s="1">
        <f>CEILING(Elf!$B27 / IF(Elf!$D27 &lt; 10.8, $AB$4, $AB$4 / (Elf!$D27 / 10.8)),1)</f>
        <v>8</v>
      </c>
      <c r="AB14" s="1">
        <f>CEILING(Beastgirl!$B27 / IF(Beastgirl!$D27&lt; 10.8, $AB$4, $AB$4 / (Beastgirl!$D27 / 10.8)),1)</f>
        <v>13</v>
      </c>
      <c r="AC14" s="1">
        <f>CEILING(Warrior!$B27 / IF(Warrior!$D27&lt; 10.8, $AB$4, $AB$4 / (Warrior!$D27 / 10.8)),1)</f>
        <v>9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15</v>
      </c>
      <c r="E15" s="1">
        <f>CEILING(Elf!$B28 / IF(Elf!$D28 &lt; 10.8, $F$4, $F$4 / (Elf!$D28 / 10.8)),1)</f>
        <v>17</v>
      </c>
      <c r="F15" s="1">
        <f>CEILING(Beastgirl!$B28/ IF(Beastgirl!$D28&lt; 10.8,$F$4, $F$4 / (Beastgirl!$D28 / 10.8)),1)</f>
        <v>28</v>
      </c>
      <c r="G15" s="1">
        <f>CEILING(Warrior!$B28/ IF(Warrior!$D28&lt; 10.8, $F$4, $F$4 / (Warrior!$D28 / 10.8)),1)</f>
        <v>19</v>
      </c>
      <c r="N15" s="1">
        <v>26</v>
      </c>
      <c r="O15" s="1">
        <f>CEILING(Demon!$B28 / IF(Demon!$D28&lt; 10.8, $Q$4, $Q$4 / (Demon!$D28 / 10.8)),1)</f>
        <v>10</v>
      </c>
      <c r="P15" s="1">
        <f>CEILING(Elf!$B28 / IF(Elf!$D28 &lt; 10.8, $Q$4, $Q$4 / (Elf!$D28 / 10.8)),1)</f>
        <v>11</v>
      </c>
      <c r="Q15" s="1">
        <f>CEILING(Beastgirl!$B28 / IF(Beastgirl!$D28&lt; 10.8, $Q$4, $Q$4 / (Beastgirl!$D28 / 10.8)),1)</f>
        <v>19</v>
      </c>
      <c r="R15" s="1">
        <f>CEILING(Warrior!$B28 / IF(Warrior!$D28&lt; 10.8, $Q$4, $Q$4 / (Warrior!$D28 / 10.8)),1)</f>
        <v>13</v>
      </c>
      <c r="Y15" s="1">
        <v>26</v>
      </c>
      <c r="Z15" s="1">
        <f>CEILING(Demon!$B28 / IF(Demon!$D28&lt; 10.8, $AB$4, $AB$4 / (Demon!$D28 / 10.8)),1)</f>
        <v>8</v>
      </c>
      <c r="AA15" s="1">
        <f>CEILING(Elf!$B28 / IF(Elf!$D28 &lt; 10.8, $AB$4, $AB$4 / (Elf!$D28 / 10.8)),1)</f>
        <v>9</v>
      </c>
      <c r="AB15" s="1">
        <f>CEILING(Beastgirl!$B28 / IF(Beastgirl!$D28&lt; 10.8, $AB$4, $AB$4 / (Beastgirl!$D28 / 10.8)),1)</f>
        <v>14</v>
      </c>
      <c r="AC15" s="1">
        <f>CEILING(Warrior!$B28 / IF(Warrior!$D28&lt; 10.8, $AB$4, $AB$4 / (Warrior!$D28 / 10.8)),1)</f>
        <v>10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16</v>
      </c>
      <c r="E16" s="1">
        <f>CEILING(Elf!$B29 / IF(Elf!$D29 &lt; 10.8, $F$4, $F$4 / (Elf!$D29 / 10.8)),1)</f>
        <v>18</v>
      </c>
      <c r="F16" s="1">
        <f>CEILING(Beastgirl!$B29/ IF(Beastgirl!$D29&lt; 10.8,$F$4, $F$4 / (Beastgirl!$D29 / 10.8)),1)</f>
        <v>30</v>
      </c>
      <c r="G16" s="1">
        <f>CEILING(Warrior!$B29/ IF(Warrior!$D29&lt; 10.8, $F$4, $F$4 / (Warrior!$D29 / 10.8)),1)</f>
        <v>21</v>
      </c>
      <c r="N16" s="1">
        <v>27</v>
      </c>
      <c r="O16" s="1">
        <f>CEILING(Demon!$B29 / IF(Demon!$D29&lt; 10.8, $Q$4, $Q$4 / (Demon!$D29 / 10.8)),1)</f>
        <v>11</v>
      </c>
      <c r="P16" s="1">
        <f>CEILING(Elf!$B29 / IF(Elf!$D29 &lt; 10.8, $Q$4, $Q$4 / (Elf!$D29 / 10.8)),1)</f>
        <v>12</v>
      </c>
      <c r="Q16" s="1">
        <f>CEILING(Beastgirl!$B29 / IF(Beastgirl!$D29&lt; 10.8, $Q$4, $Q$4 / (Beastgirl!$D29 / 10.8)),1)</f>
        <v>20</v>
      </c>
      <c r="R16" s="1">
        <f>CEILING(Warrior!$B29 / IF(Warrior!$D29&lt; 10.8, $Q$4, $Q$4 / (Warrior!$D29 / 10.8)),1)</f>
        <v>14</v>
      </c>
      <c r="Y16" s="1">
        <v>27</v>
      </c>
      <c r="Z16" s="1">
        <f>CEILING(Demon!$B29 / IF(Demon!$D29&lt; 10.8, $AB$4, $AB$4 / (Demon!$D29 / 10.8)),1)</f>
        <v>8</v>
      </c>
      <c r="AA16" s="1">
        <f>CEILING(Elf!$B29 / IF(Elf!$D29 &lt; 10.8, $AB$4, $AB$4 / (Elf!$D29 / 10.8)),1)</f>
        <v>9</v>
      </c>
      <c r="AB16" s="1">
        <f>CEILING(Beastgirl!$B29 / IF(Beastgirl!$D29&lt; 10.8, $AB$4, $AB$4 / (Beastgirl!$D29 / 10.8)),1)</f>
        <v>15</v>
      </c>
      <c r="AC16" s="1">
        <f>CEILING(Warrior!$B29 / IF(Warrior!$D29&lt; 10.8, $AB$4, $AB$4 / (Warrior!$D29 / 10.8)),1)</f>
        <v>11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17</v>
      </c>
      <c r="E17" s="1">
        <f>CEILING(Elf!$B30 / IF(Elf!$D30 &lt; 10.8, $F$4, $F$4 / (Elf!$D30 / 10.8)),1)</f>
        <v>19</v>
      </c>
      <c r="F17" s="1">
        <f>CEILING(Beastgirl!$B30/ IF(Beastgirl!$D30&lt; 10.8,$F$4, $F$4 / (Beastgirl!$D30 / 10.8)),1)</f>
        <v>31</v>
      </c>
      <c r="G17" s="1">
        <f>CEILING(Warrior!$B30/ IF(Warrior!$D30&lt; 10.8, $F$4, $F$4 / (Warrior!$D30 / 10.8)),1)</f>
        <v>22</v>
      </c>
      <c r="N17" s="1">
        <v>28</v>
      </c>
      <c r="O17" s="1">
        <f>CEILING(Demon!$B30 / IF(Demon!$D30&lt; 10.8, $Q$4, $Q$4 / (Demon!$D30 / 10.8)),1)</f>
        <v>12</v>
      </c>
      <c r="P17" s="1">
        <f>CEILING(Elf!$B30 / IF(Elf!$D30 &lt; 10.8, $Q$4, $Q$4 / (Elf!$D30 / 10.8)),1)</f>
        <v>13</v>
      </c>
      <c r="Q17" s="1">
        <f>CEILING(Beastgirl!$B30 / IF(Beastgirl!$D30&lt; 10.8, $Q$4, $Q$4 / (Beastgirl!$D30 / 10.8)),1)</f>
        <v>21</v>
      </c>
      <c r="R17" s="1">
        <f>CEILING(Warrior!$B30 / IF(Warrior!$D30&lt; 10.8, $Q$4, $Q$4 / (Warrior!$D30 / 10.8)),1)</f>
        <v>15</v>
      </c>
      <c r="Y17" s="1">
        <v>28</v>
      </c>
      <c r="Z17" s="1">
        <f>CEILING(Demon!$B30 / IF(Demon!$D30&lt; 10.8, $AB$4, $AB$4 / (Demon!$D30 / 10.8)),1)</f>
        <v>9</v>
      </c>
      <c r="AA17" s="1">
        <f>CEILING(Elf!$B30 / IF(Elf!$D30 &lt; 10.8, $AB$4, $AB$4 / (Elf!$D30 / 10.8)),1)</f>
        <v>10</v>
      </c>
      <c r="AB17" s="1">
        <f>CEILING(Beastgirl!$B30 / IF(Beastgirl!$D30&lt; 10.8, $AB$4, $AB$4 / (Beastgirl!$D30 / 10.8)),1)</f>
        <v>16</v>
      </c>
      <c r="AC17" s="1">
        <f>CEILING(Warrior!$B30 / IF(Warrior!$D30&lt; 10.8, $AB$4, $AB$4 / (Warrior!$D30 / 10.8)),1)</f>
        <v>11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18</v>
      </c>
      <c r="E18" s="1">
        <f>CEILING(Elf!$B31 / IF(Elf!$D31 &lt; 10.8, $F$4, $F$4 / (Elf!$D31 / 10.8)),1)</f>
        <v>20</v>
      </c>
      <c r="F18" s="1">
        <f>CEILING(Beastgirl!$B31/ IF(Beastgirl!$D31&lt; 10.8,$F$4, $F$4 / (Beastgirl!$D31 / 10.8)),1)</f>
        <v>33</v>
      </c>
      <c r="G18" s="1">
        <f>CEILING(Warrior!$B31/ IF(Warrior!$D31&lt; 10.8, $F$4, $F$4 / (Warrior!$D31 / 10.8)),1)</f>
        <v>24</v>
      </c>
      <c r="N18" s="1">
        <v>29</v>
      </c>
      <c r="O18" s="1">
        <f>CEILING(Demon!$B31 / IF(Demon!$D31&lt; 10.8, $Q$4, $Q$4 / (Demon!$D31 / 10.8)),1)</f>
        <v>12</v>
      </c>
      <c r="P18" s="1">
        <f>CEILING(Elf!$B31 / IF(Elf!$D31 &lt; 10.8, $Q$4, $Q$4 / (Elf!$D31 / 10.8)),1)</f>
        <v>14</v>
      </c>
      <c r="Q18" s="1">
        <f>CEILING(Beastgirl!$B31 / IF(Beastgirl!$D31&lt; 10.8, $Q$4, $Q$4 / (Beastgirl!$D31 / 10.8)),1)</f>
        <v>22</v>
      </c>
      <c r="R18" s="1">
        <f>CEILING(Warrior!$B31 / IF(Warrior!$D31&lt; 10.8, $Q$4, $Q$4 / (Warrior!$D31 / 10.8)),1)</f>
        <v>16</v>
      </c>
      <c r="Y18" s="1">
        <v>29</v>
      </c>
      <c r="Z18" s="1">
        <f>CEILING(Demon!$B31 / IF(Demon!$D31&lt; 10.8, $AB$4, $AB$4 / (Demon!$D31 / 10.8)),1)</f>
        <v>9</v>
      </c>
      <c r="AA18" s="1">
        <f>CEILING(Elf!$B31 / IF(Elf!$D31 &lt; 10.8, $AB$4, $AB$4 / (Elf!$D31 / 10.8)),1)</f>
        <v>10</v>
      </c>
      <c r="AB18" s="1">
        <f>CEILING(Beastgirl!$B31 / IF(Beastgirl!$D31&lt; 10.8, $AB$4, $AB$4 / (Beastgirl!$D31 / 10.8)),1)</f>
        <v>17</v>
      </c>
      <c r="AC18" s="1">
        <f>CEILING(Warrior!$B31 / IF(Warrior!$D31&lt; 10.8, $AB$4, $AB$4 / (Warrior!$D31 / 10.8)),1)</f>
        <v>12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20</v>
      </c>
      <c r="E19" s="1">
        <f>CEILING(Elf!$B32 / IF(Elf!$D32 &lt; 10.8, $F$4, $F$4 / (Elf!$D32 / 10.8)),1)</f>
        <v>22</v>
      </c>
      <c r="F19" s="1">
        <f>CEILING(Beastgirl!$B32/ IF(Beastgirl!$D32&lt; 10.8,$F$4, $F$4 / (Beastgirl!$D32 / 10.8)),1)</f>
        <v>36</v>
      </c>
      <c r="G19" s="1">
        <f>CEILING(Warrior!$B32/ IF(Warrior!$D32&lt; 10.8, $F$4, $F$4 / (Warrior!$D32 / 10.8)),1)</f>
        <v>25</v>
      </c>
      <c r="N19" s="1">
        <v>30</v>
      </c>
      <c r="O19" s="1">
        <f>CEILING(Demon!$B32 / IF(Demon!$D32&lt; 10.8, $Q$4, $Q$4 / (Demon!$D32 / 10.8)),1)</f>
        <v>13</v>
      </c>
      <c r="P19" s="1">
        <f>CEILING(Elf!$B32 / IF(Elf!$D32 &lt; 10.8, $Q$4, $Q$4 / (Elf!$D32 / 10.8)),1)</f>
        <v>15</v>
      </c>
      <c r="Q19" s="1">
        <f>CEILING(Beastgirl!$B32 / IF(Beastgirl!$D32&lt; 10.8, $Q$4, $Q$4 / (Beastgirl!$D32 / 10.8)),1)</f>
        <v>24</v>
      </c>
      <c r="R19" s="1">
        <f>CEILING(Warrior!$B32 / IF(Warrior!$D32&lt; 10.8, $Q$4, $Q$4 / (Warrior!$D32 / 10.8)),1)</f>
        <v>17</v>
      </c>
      <c r="Y19" s="1">
        <v>30</v>
      </c>
      <c r="Z19" s="1">
        <f>CEILING(Demon!$B32 / IF(Demon!$D32&lt; 10.8, $AB$4, $AB$4 / (Demon!$D32 / 10.8)),1)</f>
        <v>10</v>
      </c>
      <c r="AA19" s="1">
        <f>CEILING(Elf!$B32 / IF(Elf!$D32 &lt; 10.8, $AB$4, $AB$4 / (Elf!$D32 / 10.8)),1)</f>
        <v>11</v>
      </c>
      <c r="AB19" s="1">
        <f>CEILING(Beastgirl!$B32 / IF(Beastgirl!$D32&lt; 10.8, $AB$4, $AB$4 / (Beastgirl!$D32 / 10.8)),1)</f>
        <v>18</v>
      </c>
      <c r="AC19" s="1">
        <f>CEILING(Warrior!$B32 / IF(Warrior!$D32&lt; 10.8, $AB$4, $AB$4 / (Warrior!$D32 / 10.8)),1)</f>
        <v>13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58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58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58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8</v>
      </c>
      <c r="E23" s="1">
        <f>CEILING(Elf!$B23 / IF(Elf!$D23 &lt; 10.8, $F$5,$F$5 / (Elf!$D23/ 10.8)),1)</f>
        <v>8</v>
      </c>
      <c r="F23" s="1">
        <f>CEILING(Beastgirl!$B23/ IF(Beastgirl!$D23&lt; 10.8, $F$5, $F$5 / (Beastgirl!$D23 / 10.8)),1)</f>
        <v>14</v>
      </c>
      <c r="G23" s="1">
        <f>CEILING(Warrior!$B23 / IF(Warrior!$D23&lt; 10.8, $F$5, $F$5 / (Warrior!$D23 / 10.8)),1)</f>
        <v>10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5</v>
      </c>
      <c r="P23" s="1">
        <f>CEILING(Elf!$B23/ IF(Elf!$D23 &lt; 10.8, $Q$5, $Q$5 / (Elf!$D23 / 10.8)),1)</f>
        <v>6</v>
      </c>
      <c r="Q23" s="1">
        <f>CEILING(Beastgirl!$B23 / IF(Beastgirl!$D23&lt; 10.8, $Q$5, $Q$5 / (Beastgirl!$D23 / 10.8)),1)</f>
        <v>10</v>
      </c>
      <c r="R23" s="1">
        <f>CEILING(Warrior!$B23 / IF(Warrior!$D23&lt; 10.8, $Q$5, $Q$5 / (Warrior!$D23 / 10.8)),1)</f>
        <v>7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4</v>
      </c>
      <c r="AA23" s="1">
        <f>CEILING(Elf!$B23 / IF(Elf!$D23 &lt; 10.8, $AB$5, $AB$5 / (Elf!$D23 / 10.8)),1)</f>
        <v>4</v>
      </c>
      <c r="AB23" s="1">
        <f>CEILING(Beastgirl!$B23 / IF(Beastgirl!$D23&lt; 10.8, $AB$5, $AB$5 / (Beastgirl!$D23 / 10.8)),1)</f>
        <v>7</v>
      </c>
      <c r="AC23" s="1">
        <f>CEILING(Warrior!$B23 / IF(Warrior!$D23&lt; 10.8, $AB$5, $AB$5 / (Warrior!$D23 / 10.8)),1)</f>
        <v>5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8</v>
      </c>
      <c r="E24" s="1">
        <f>CEILING(Elf!$B24 / IF(Elf!$D24 &lt; 10.8, $F$5,$F$5 / (Elf!$D24/ 10.8)),1)</f>
        <v>9</v>
      </c>
      <c r="F24" s="1">
        <f>CEILING(Beastgirl!$B24/ IF(Beastgirl!$D24&lt; 10.8, $F$5, $F$5 / (Beastgirl!$D24 / 10.8)),1)</f>
        <v>15</v>
      </c>
      <c r="G24" s="1">
        <f>CEILING(Warrior!$B24 / IF(Warrior!$D24&lt; 10.8, $F$5, $F$5 / (Warrior!$D24 / 10.8)),1)</f>
        <v>11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6</v>
      </c>
      <c r="P24" s="1">
        <f>CEILING(Elf!$B24/ IF(Elf!$D24 &lt; 10.8, $Q$5, $Q$5 / (Elf!$D24 / 10.8)),1)</f>
        <v>6</v>
      </c>
      <c r="Q24" s="1">
        <f>CEILING(Beastgirl!$B24 / IF(Beastgirl!$D24&lt; 10.8, $Q$5, $Q$5 / (Beastgirl!$D24 / 10.8)),1)</f>
        <v>10</v>
      </c>
      <c r="R24" s="1">
        <f>CEILING(Warrior!$B24 / IF(Warrior!$D24&lt; 10.8, $Q$5, $Q$5 / (Warrior!$D24 / 10.8)),1)</f>
        <v>7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4</v>
      </c>
      <c r="AA24" s="1">
        <f>CEILING(Elf!$B24 / IF(Elf!$D24 &lt; 10.8, $AB$5, $AB$5 / (Elf!$D24 / 10.8)),1)</f>
        <v>5</v>
      </c>
      <c r="AB24" s="1">
        <f>CEILING(Beastgirl!$B24 / IF(Beastgirl!$D24&lt; 10.8, $AB$5, $AB$5 / (Beastgirl!$D24 / 10.8)),1)</f>
        <v>8</v>
      </c>
      <c r="AC24" s="1">
        <f>CEILING(Warrior!$B24 / IF(Warrior!$D24&lt; 10.8, $AB$5, $AB$5 / (Warrior!$D24 / 10.8)),1)</f>
        <v>6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9</v>
      </c>
      <c r="E25" s="1">
        <f>CEILING(Elf!$B25 / IF(Elf!$D25 &lt; 10.8, $F$5,$F$5 / (Elf!$D25/ 10.8)),1)</f>
        <v>10</v>
      </c>
      <c r="F25" s="1">
        <f>CEILING(Beastgirl!$B25/ IF(Beastgirl!$D25&lt; 10.8, $F$5, $F$5 / (Beastgirl!$D25 / 10.8)),1)</f>
        <v>16</v>
      </c>
      <c r="G25" s="1">
        <f>CEILING(Warrior!$B25 / IF(Warrior!$D25&lt; 10.8, $F$5, $F$5 / (Warrior!$D25 / 10.8)),1)</f>
        <v>12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6</v>
      </c>
      <c r="P25" s="1">
        <f>CEILING(Elf!$B25/ IF(Elf!$D25 &lt; 10.8, $Q$5, $Q$5 / (Elf!$D25 / 10.8)),1)</f>
        <v>7</v>
      </c>
      <c r="Q25" s="1">
        <f>CEILING(Beastgirl!$B25 / IF(Beastgirl!$D25&lt; 10.8, $Q$5, $Q$5 / (Beastgirl!$D25 / 10.8)),1)</f>
        <v>11</v>
      </c>
      <c r="R25" s="1">
        <f>CEILING(Warrior!$B25 / IF(Warrior!$D25&lt; 10.8, $Q$5, $Q$5 / (Warrior!$D25 / 10.8)),1)</f>
        <v>8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5</v>
      </c>
      <c r="AA25" s="1">
        <f>CEILING(Elf!$B25 / IF(Elf!$D25 &lt; 10.8, $AB$5, $AB$5 / (Elf!$D25 / 10.8)),1)</f>
        <v>5</v>
      </c>
      <c r="AB25" s="1">
        <f>CEILING(Beastgirl!$B25 / IF(Beastgirl!$D25&lt; 10.8, $AB$5, $AB$5 / (Beastgirl!$D25 / 10.8)),1)</f>
        <v>8</v>
      </c>
      <c r="AC25" s="1">
        <f>CEILING(Warrior!$B25 / IF(Warrior!$D25&lt; 10.8, $AB$5, $AB$5 / (Warrior!$D25 / 10.8)),1)</f>
        <v>6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10</v>
      </c>
      <c r="E26" s="1">
        <f>CEILING(Elf!$B26 / IF(Elf!$D26 &lt; 10.8, $F$5,$F$5 / (Elf!$D26/ 10.8)),1)</f>
        <v>11</v>
      </c>
      <c r="F26" s="1">
        <f>CEILING(Beastgirl!$B26/ IF(Beastgirl!$D26&lt; 10.8, $F$5, $F$5 / (Beastgirl!$D26 / 10.8)),1)</f>
        <v>18</v>
      </c>
      <c r="G26" s="1">
        <f>CEILING(Warrior!$B26 / IF(Warrior!$D26&lt; 10.8, $F$5, $F$5 / (Warrior!$D26 / 10.8)),1)</f>
        <v>13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7</v>
      </c>
      <c r="P26" s="1">
        <f>CEILING(Elf!$B26/ IF(Elf!$D26 &lt; 10.8, $Q$5, $Q$5 / (Elf!$D26 / 10.8)),1)</f>
        <v>7</v>
      </c>
      <c r="Q26" s="1">
        <f>CEILING(Beastgirl!$B26 / IF(Beastgirl!$D26&lt; 10.8, $Q$5, $Q$5 / (Beastgirl!$D26 / 10.8)),1)</f>
        <v>12</v>
      </c>
      <c r="R26" s="1">
        <f>CEILING(Warrior!$B26 / IF(Warrior!$D26&lt; 10.8, $Q$5, $Q$5 / (Warrior!$D26 / 10.8)),1)</f>
        <v>9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5</v>
      </c>
      <c r="AA26" s="1">
        <f>CEILING(Elf!$B26 / IF(Elf!$D26 &lt; 10.8, $AB$5, $AB$5 / (Elf!$D26 / 10.8)),1)</f>
        <v>6</v>
      </c>
      <c r="AB26" s="1">
        <f>CEILING(Beastgirl!$B26 / IF(Beastgirl!$D26&lt; 10.8, $AB$5, $AB$5 / (Beastgirl!$D26 / 10.8)),1)</f>
        <v>9</v>
      </c>
      <c r="AC26" s="1">
        <f>CEILING(Warrior!$B26 / IF(Warrior!$D26&lt; 10.8, $AB$5, $AB$5 / (Warrior!$D26 / 10.8)),1)</f>
        <v>7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14</v>
      </c>
      <c r="E27" s="1">
        <f>CEILING(Elf!$B27 / IF(Elf!$D27 &lt; 10.8, $F$5,$F$5 / (Elf!$D27/ 10.8)),1)</f>
        <v>15</v>
      </c>
      <c r="F27" s="1">
        <f>CEILING(Beastgirl!$B27/ IF(Beastgirl!$D27&lt; 10.8, $F$5, $F$5 / (Beastgirl!$D27 / 10.8)),1)</f>
        <v>25</v>
      </c>
      <c r="G27" s="1">
        <f>CEILING(Warrior!$B27 / IF(Warrior!$D27&lt; 10.8, $F$5, $F$5 / (Warrior!$D27 / 10.8)),1)</f>
        <v>18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9</v>
      </c>
      <c r="P27" s="1">
        <f>CEILING(Elf!$B27/ IF(Elf!$D27 &lt; 10.8, $Q$5, $Q$5 / (Elf!$D27 / 10.8)),1)</f>
        <v>10</v>
      </c>
      <c r="Q27" s="1">
        <f>CEILING(Beastgirl!$B27 / IF(Beastgirl!$D27&lt; 10.8, $Q$5, $Q$5 / (Beastgirl!$D27 / 10.8)),1)</f>
        <v>17</v>
      </c>
      <c r="R27" s="1">
        <f>CEILING(Warrior!$B27 / IF(Warrior!$D27&lt; 10.8, $Q$5, $Q$5 / (Warrior!$D27 / 10.8)),1)</f>
        <v>12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7</v>
      </c>
      <c r="AA27" s="1">
        <f>CEILING(Elf!$B27 / IF(Elf!$D27 &lt; 10.8, $AB$5, $AB$5 / (Elf!$D27 / 10.8)),1)</f>
        <v>8</v>
      </c>
      <c r="AB27" s="1">
        <f>CEILING(Beastgirl!$B27 / IF(Beastgirl!$D27&lt; 10.8, $AB$5, $AB$5 / (Beastgirl!$D27 / 10.8)),1)</f>
        <v>13</v>
      </c>
      <c r="AC27" s="1">
        <f>CEILING(Warrior!$B27 / IF(Warrior!$D27&lt; 10.8, $AB$5, $AB$5 / (Warrior!$D27 / 10.8)),1)</f>
        <v>9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15</v>
      </c>
      <c r="E28" s="1">
        <f>CEILING(Elf!$B28 / IF(Elf!$D28 &lt; 10.8, $F$5,$F$5 / (Elf!$D28/ 10.8)),1)</f>
        <v>16</v>
      </c>
      <c r="F28" s="1">
        <f>CEILING(Beastgirl!$B28/ IF(Beastgirl!$D28&lt; 10.8, $F$5, $F$5 / (Beastgirl!$D28 / 10.8)),1)</f>
        <v>27</v>
      </c>
      <c r="G28" s="1">
        <f>CEILING(Warrior!$B28 / IF(Warrior!$D28&lt; 10.8, $F$5, $F$5 / (Warrior!$D28 / 10.8)),1)</f>
        <v>19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10</v>
      </c>
      <c r="P28" s="1">
        <f>CEILING(Elf!$B28/ IF(Elf!$D28 &lt; 10.8, $Q$5, $Q$5 / (Elf!$D28 / 10.8)),1)</f>
        <v>11</v>
      </c>
      <c r="Q28" s="1">
        <f>CEILING(Beastgirl!$B28 / IF(Beastgirl!$D28&lt; 10.8, $Q$5, $Q$5 / (Beastgirl!$D28 / 10.8)),1)</f>
        <v>18</v>
      </c>
      <c r="R28" s="1">
        <f>CEILING(Warrior!$B28 / IF(Warrior!$D28&lt; 10.8, $Q$5, $Q$5 / (Warrior!$D28 / 10.8)),1)</f>
        <v>13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8</v>
      </c>
      <c r="AA28" s="1">
        <f>CEILING(Elf!$B28 / IF(Elf!$D28 &lt; 10.8, $AB$5, $AB$5 / (Elf!$D28 / 10.8)),1)</f>
        <v>8</v>
      </c>
      <c r="AB28" s="1">
        <f>CEILING(Beastgirl!$B28 / IF(Beastgirl!$D28&lt; 10.8, $AB$5, $AB$5 / (Beastgirl!$D28 / 10.8)),1)</f>
        <v>14</v>
      </c>
      <c r="AC28" s="1">
        <f>CEILING(Warrior!$B28 / IF(Warrior!$D28&lt; 10.8, $AB$5, $AB$5 / (Warrior!$D28 / 10.8)),1)</f>
        <v>10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16</v>
      </c>
      <c r="E29" s="1">
        <f>CEILING(Elf!$B29 / IF(Elf!$D29 &lt; 10.8, $F$5,$F$5 / (Elf!$D29/ 10.8)),1)</f>
        <v>17</v>
      </c>
      <c r="F29" s="1">
        <f>CEILING(Beastgirl!$B29/ IF(Beastgirl!$D29&lt; 10.8, $F$5, $F$5 / (Beastgirl!$D29 / 10.8)),1)</f>
        <v>29</v>
      </c>
      <c r="G29" s="1">
        <f>CEILING(Warrior!$B29 / IF(Warrior!$D29&lt; 10.8, $F$5, $F$5 / (Warrior!$D29 / 10.8)),1)</f>
        <v>20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11</v>
      </c>
      <c r="P29" s="1">
        <f>CEILING(Elf!$B29/ IF(Elf!$D29 &lt; 10.8, $Q$5, $Q$5 / (Elf!$D29 / 10.8)),1)</f>
        <v>12</v>
      </c>
      <c r="Q29" s="1">
        <f>CEILING(Beastgirl!$B29 / IF(Beastgirl!$D29&lt; 10.8, $Q$5, $Q$5 / (Beastgirl!$D29 / 10.8)),1)</f>
        <v>19</v>
      </c>
      <c r="R29" s="1">
        <f>CEILING(Warrior!$B29 / IF(Warrior!$D29&lt; 10.8, $Q$5, $Q$5 / (Warrior!$D29 / 10.8)),1)</f>
        <v>14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8</v>
      </c>
      <c r="AA29" s="1">
        <f>CEILING(Elf!$B29 / IF(Elf!$D29 &lt; 10.8, $AB$5, $AB$5 / (Elf!$D29 / 10.8)),1)</f>
        <v>9</v>
      </c>
      <c r="AB29" s="1">
        <f>CEILING(Beastgirl!$B29 / IF(Beastgirl!$D29&lt; 10.8, $AB$5, $AB$5 / (Beastgirl!$D29 / 10.8)),1)</f>
        <v>15</v>
      </c>
      <c r="AC29" s="1">
        <f>CEILING(Warrior!$B29 / IF(Warrior!$D29&lt; 10.8, $AB$5, $AB$5 / (Warrior!$D29 / 10.8)),1)</f>
        <v>10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17</v>
      </c>
      <c r="E30" s="1">
        <f>CEILING(Elf!$B30 / IF(Elf!$D30 &lt; 10.8, $F$5,$F$5 / (Elf!$D30/ 10.8)),1)</f>
        <v>18</v>
      </c>
      <c r="F30" s="1">
        <f>CEILING(Beastgirl!$B30/ IF(Beastgirl!$D30&lt; 10.8, $F$5, $F$5 / (Beastgirl!$D30 / 10.8)),1)</f>
        <v>30</v>
      </c>
      <c r="G30" s="1">
        <f>CEILING(Warrior!$B30 / IF(Warrior!$D30&lt; 10.8, $F$5, $F$5 / (Warrior!$D30 / 10.8)),1)</f>
        <v>21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11</v>
      </c>
      <c r="P30" s="1">
        <f>CEILING(Elf!$B30/ IF(Elf!$D30 &lt; 10.8, $Q$5, $Q$5 / (Elf!$D30 / 10.8)),1)</f>
        <v>12</v>
      </c>
      <c r="Q30" s="1">
        <f>CEILING(Beastgirl!$B30 / IF(Beastgirl!$D30&lt; 10.8, $Q$5, $Q$5 / (Beastgirl!$D30 / 10.8)),1)</f>
        <v>20</v>
      </c>
      <c r="R30" s="1">
        <f>CEILING(Warrior!$B30 / IF(Warrior!$D30&lt; 10.8, $Q$5, $Q$5 / (Warrior!$D30 / 10.8)),1)</f>
        <v>14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9</v>
      </c>
      <c r="AA30" s="1">
        <f>CEILING(Elf!$B30 / IF(Elf!$D30 &lt; 10.8, $AB$5, $AB$5 / (Elf!$D30 / 10.8)),1)</f>
        <v>9</v>
      </c>
      <c r="AB30" s="1">
        <f>CEILING(Beastgirl!$B30 / IF(Beastgirl!$D30&lt; 10.8, $AB$5, $AB$5 / (Beastgirl!$D30 / 10.8)),1)</f>
        <v>15</v>
      </c>
      <c r="AC30" s="1">
        <f>CEILING(Warrior!$B30 / IF(Warrior!$D30&lt; 10.8, $AB$5, $AB$5 / (Warrior!$D30 / 10.8)),1)</f>
        <v>11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18</v>
      </c>
      <c r="E31" s="1">
        <f>CEILING(Elf!$B31 / IF(Elf!$D31 &lt; 10.8, $F$5,$F$5 / (Elf!$D31/ 10.8)),1)</f>
        <v>20</v>
      </c>
      <c r="F31" s="1">
        <f>CEILING(Beastgirl!$B31/ IF(Beastgirl!$D31&lt; 10.8, $F$5, $F$5 / (Beastgirl!$D31 / 10.8)),1)</f>
        <v>32</v>
      </c>
      <c r="G31" s="1">
        <f>CEILING(Warrior!$B31 / IF(Warrior!$D31&lt; 10.8, $F$5, $F$5 / (Warrior!$D31 / 10.8)),1)</f>
        <v>23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12</v>
      </c>
      <c r="P31" s="1">
        <f>CEILING(Elf!$B31/ IF(Elf!$D31 &lt; 10.8, $Q$5, $Q$5 / (Elf!$D31 / 10.8)),1)</f>
        <v>13</v>
      </c>
      <c r="Q31" s="1">
        <f>CEILING(Beastgirl!$B31 / IF(Beastgirl!$D31&lt; 10.8, $Q$5, $Q$5 / (Beastgirl!$D31 / 10.8)),1)</f>
        <v>22</v>
      </c>
      <c r="R31" s="1">
        <f>CEILING(Warrior!$B31 / IF(Warrior!$D31&lt; 10.8, $Q$5, $Q$5 / (Warrior!$D31 / 10.8)),1)</f>
        <v>15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9</v>
      </c>
      <c r="AA31" s="1">
        <f>CEILING(Elf!$B31 / IF(Elf!$D31 &lt; 10.8, $AB$5, $AB$5 / (Elf!$D31 / 10.8)),1)</f>
        <v>10</v>
      </c>
      <c r="AB31" s="1">
        <f>CEILING(Beastgirl!$B31 / IF(Beastgirl!$D31&lt; 10.8, $AB$5, $AB$5 / (Beastgirl!$D31 / 10.8)),1)</f>
        <v>16</v>
      </c>
      <c r="AC31" s="1">
        <f>CEILING(Warrior!$B31 / IF(Warrior!$D31&lt; 10.8, $AB$5, $AB$5 / (Warrior!$D31 / 10.8)),1)</f>
        <v>12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19</v>
      </c>
      <c r="E32" s="1">
        <f>CEILING(Elf!$B32 / IF(Elf!$D32 &lt; 10.8, $F$5,$F$5 / (Elf!$D32/ 10.8)),1)</f>
        <v>21</v>
      </c>
      <c r="F32" s="1">
        <f>CEILING(Beastgirl!$B32/ IF(Beastgirl!$D32&lt; 10.8, $F$5, $F$5 / (Beastgirl!$D32 / 10.8)),1)</f>
        <v>34</v>
      </c>
      <c r="G32" s="1">
        <f>CEILING(Warrior!$B32 / IF(Warrior!$D32&lt; 10.8, $F$5, $F$5 / (Warrior!$D32 / 10.8)),1)</f>
        <v>24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13</v>
      </c>
      <c r="P32" s="1">
        <f>CEILING(Elf!$B32/ IF(Elf!$D32 &lt; 10.8, $Q$5, $Q$5 / (Elf!$D32 / 10.8)),1)</f>
        <v>14</v>
      </c>
      <c r="Q32" s="1">
        <f>CEILING(Beastgirl!$B32 / IF(Beastgirl!$D32&lt; 10.8, $Q$5, $Q$5 / (Beastgirl!$D32 / 10.8)),1)</f>
        <v>23</v>
      </c>
      <c r="R32" s="1">
        <f>CEILING(Warrior!$B32 / IF(Warrior!$D32&lt; 10.8, $Q$5, $Q$5 / (Warrior!$D32 / 10.8)),1)</f>
        <v>16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10</v>
      </c>
      <c r="AA32" s="1">
        <f>CEILING(Elf!$B32 / IF(Elf!$D32 &lt; 10.8, $AB$5, $AB$5 / (Elf!$D32 / 10.8)),1)</f>
        <v>11</v>
      </c>
      <c r="AB32" s="1">
        <f>CEILING(Beastgirl!$B32 / IF(Beastgirl!$D32&lt; 10.8, $AB$5, $AB$5 / (Beastgirl!$D32 / 10.8)),1)</f>
        <v>17</v>
      </c>
      <c r="AC32" s="1">
        <f>CEILING(Warrior!$B32 / IF(Warrior!$D32&lt; 10.8, $AB$5, $AB$5 / (Warrior!$D32 / 10.8)),1)</f>
        <v>12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59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59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59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7</v>
      </c>
      <c r="E36" s="1">
        <f>CEILING(Elf!$B23 / IF(Elf!$D23&lt; 10.8, $F$6,$F$6 / (Elf!$D23 / 10.8)),1)</f>
        <v>8</v>
      </c>
      <c r="F36" s="1">
        <f>CEILING(Beastgirl!$B23 / IF(Beastgirl!$D23&lt; 10.8, $F$6, $F$6 / (Beastgirl!$D23 / 10.8)),1)</f>
        <v>14</v>
      </c>
      <c r="G36" s="1">
        <f>CEILING(Warrior!$B23 / IF(Warrior!$D23&lt; 10.8, $F$6, $F$6 / (Warrior!$D23 / 10.8)),1)</f>
        <v>10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5</v>
      </c>
      <c r="P36" s="1">
        <f>CEILING(Elf!$B23/ IF(Elf!$D23 &lt; 10.8, $Q$6, $Q$6 / (Elf!$D23 / 10.8)),1)</f>
        <v>5</v>
      </c>
      <c r="Q36" s="1">
        <f>CEILING(Beastgirl!$B23/ IF(Beastgirl!$D23&lt; 10.8, $Q$6, $Q$6 / (Beastgirl!$D23 / 10.8)),1)</f>
        <v>9</v>
      </c>
      <c r="R36" s="1">
        <f>CEILING(Warrior!$B23/ IF(Warrior!$D23&lt; 10.8, $Q$6, $Q$6 / (Warrior!$D23 / 10.8)),1)</f>
        <v>7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4</v>
      </c>
      <c r="AA36" s="1">
        <f>CEILING(Elf!$B23 / IF(Elf!$D23 &lt; 10.8, $AB$6, $AB$6 / (Elf!$D23 / 10.8)),1)</f>
        <v>4</v>
      </c>
      <c r="AB36" s="1">
        <f>CEILING(Beastgirl!$B23 / IF(Beastgirl!$D23&lt; 10.8, $AB$6, $AB$6 / (Beastgirl!$D23 / 10.8)),1)</f>
        <v>7</v>
      </c>
      <c r="AC36" s="1">
        <f>CEILING(Warrior!$B23 / IF(Warrior!$D23&lt; 10.8, $AB$6, $AB$6 / (Warrior!$D23 / 10.8)),1)</f>
        <v>5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8</v>
      </c>
      <c r="E37" s="1">
        <f>CEILING(Elf!$B24 / IF(Elf!$D24&lt; 10.8, $F$6,$F$6 / (Elf!$D24 / 10.8)),1)</f>
        <v>9</v>
      </c>
      <c r="F37" s="1">
        <f>CEILING(Beastgirl!$B24 / IF(Beastgirl!$D24&lt; 10.8, $F$6, $F$6 / (Beastgirl!$D24 / 10.8)),1)</f>
        <v>15</v>
      </c>
      <c r="G37" s="1">
        <f>CEILING(Warrior!$B24 / IF(Warrior!$D24&lt; 10.8, $F$6, $F$6 / (Warrior!$D24 / 10.8)),1)</f>
        <v>10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5</v>
      </c>
      <c r="P37" s="1">
        <f>CEILING(Elf!$B24/ IF(Elf!$D24 &lt; 10.8, $Q$6, $Q$6 / (Elf!$D24 / 10.8)),1)</f>
        <v>6</v>
      </c>
      <c r="Q37" s="1">
        <f>CEILING(Beastgirl!$B24/ IF(Beastgirl!$D24&lt; 10.8, $Q$6, $Q$6 / (Beastgirl!$D24 / 10.8)),1)</f>
        <v>10</v>
      </c>
      <c r="R37" s="1">
        <f>CEILING(Warrior!$B24/ IF(Warrior!$D24&lt; 10.8, $Q$6, $Q$6 / (Warrior!$D24 / 10.8)),1)</f>
        <v>7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4</v>
      </c>
      <c r="AA37" s="1">
        <f>CEILING(Elf!$B24 / IF(Elf!$D24 &lt; 10.8, $AB$6, $AB$6 / (Elf!$D24 / 10.8)),1)</f>
        <v>5</v>
      </c>
      <c r="AB37" s="1">
        <f>CEILING(Beastgirl!$B24 / IF(Beastgirl!$D24&lt; 10.8, $AB$6, $AB$6 / (Beastgirl!$D24 / 10.8)),1)</f>
        <v>8</v>
      </c>
      <c r="AC37" s="1">
        <f>CEILING(Warrior!$B24 / IF(Warrior!$D24&lt; 10.8, $AB$6, $AB$6 / (Warrior!$D24 / 10.8)),1)</f>
        <v>5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9</v>
      </c>
      <c r="E38" s="1">
        <f>CEILING(Elf!$B25 / IF(Elf!$D25&lt; 10.8, $F$6,$F$6 / (Elf!$D25 / 10.8)),1)</f>
        <v>9</v>
      </c>
      <c r="F38" s="1">
        <f>CEILING(Beastgirl!$B25 / IF(Beastgirl!$D25&lt; 10.8, $F$6, $F$6 / (Beastgirl!$D25 / 10.8)),1)</f>
        <v>16</v>
      </c>
      <c r="G38" s="1">
        <f>CEILING(Warrior!$B25 / IF(Warrior!$D25&lt; 10.8, $F$6, $F$6 / (Warrior!$D25 / 10.8)),1)</f>
        <v>11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6</v>
      </c>
      <c r="P38" s="1">
        <f>CEILING(Elf!$B25/ IF(Elf!$D25 &lt; 10.8, $Q$6, $Q$6 / (Elf!$D25 / 10.8)),1)</f>
        <v>6</v>
      </c>
      <c r="Q38" s="1">
        <f>CEILING(Beastgirl!$B25/ IF(Beastgirl!$D25&lt; 10.8, $Q$6, $Q$6 / (Beastgirl!$D25 / 10.8)),1)</f>
        <v>11</v>
      </c>
      <c r="R38" s="1">
        <f>CEILING(Warrior!$B25/ IF(Warrior!$D25&lt; 10.8, $Q$6, $Q$6 / (Warrior!$D25 / 10.8)),1)</f>
        <v>8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5</v>
      </c>
      <c r="AA38" s="1">
        <f>CEILING(Elf!$B25 / IF(Elf!$D25 &lt; 10.8, $AB$6, $AB$6 / (Elf!$D25 / 10.8)),1)</f>
        <v>5</v>
      </c>
      <c r="AB38" s="1">
        <f>CEILING(Beastgirl!$B25 / IF(Beastgirl!$D25&lt; 10.8, $AB$6, $AB$6 / (Beastgirl!$D25 / 10.8)),1)</f>
        <v>8</v>
      </c>
      <c r="AC38" s="1">
        <f>CEILING(Warrior!$B25 / IF(Warrior!$D25&lt; 10.8, $AB$6, $AB$6 / (Warrior!$D25 / 10.8)),1)</f>
        <v>6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9</v>
      </c>
      <c r="E39" s="1">
        <f>CEILING(Elf!$B26 / IF(Elf!$D26&lt; 10.8, $F$6,$F$6 / (Elf!$D26 / 10.8)),1)</f>
        <v>10</v>
      </c>
      <c r="F39" s="1">
        <f>CEILING(Beastgirl!$B26 / IF(Beastgirl!$D26&lt; 10.8, $F$6, $F$6 / (Beastgirl!$D26 / 10.8)),1)</f>
        <v>17</v>
      </c>
      <c r="G39" s="1">
        <f>CEILING(Warrior!$B26 / IF(Warrior!$D26&lt; 10.8, $F$6, $F$6 / (Warrior!$D26 / 10.8)),1)</f>
        <v>12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6</v>
      </c>
      <c r="P39" s="1">
        <f>CEILING(Elf!$B26/ IF(Elf!$D26 &lt; 10.8, $Q$6, $Q$6 / (Elf!$D26 / 10.8)),1)</f>
        <v>7</v>
      </c>
      <c r="Q39" s="1">
        <f>CEILING(Beastgirl!$B26/ IF(Beastgirl!$D26&lt; 10.8, $Q$6, $Q$6 / (Beastgirl!$D26 / 10.8)),1)</f>
        <v>12</v>
      </c>
      <c r="R39" s="1">
        <f>CEILING(Warrior!$B26/ IF(Warrior!$D26&lt; 10.8, $Q$6, $Q$6 / (Warrior!$D26 / 10.8)),1)</f>
        <v>8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5</v>
      </c>
      <c r="AA39" s="1">
        <f>CEILING(Elf!$B26 / IF(Elf!$D26 &lt; 10.8, $AB$6, $AB$6 / (Elf!$D26 / 10.8)),1)</f>
        <v>5</v>
      </c>
      <c r="AB39" s="1">
        <f>CEILING(Beastgirl!$B26 / IF(Beastgirl!$D26&lt; 10.8, $AB$6, $AB$6 / (Beastgirl!$D26 / 10.8)),1)</f>
        <v>9</v>
      </c>
      <c r="AC39" s="1">
        <f>CEILING(Warrior!$B26 / IF(Warrior!$D26&lt; 10.8, $AB$6, $AB$6 / (Warrior!$D26 / 10.8)),1)</f>
        <v>6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13</v>
      </c>
      <c r="E40" s="1">
        <f>CEILING(Elf!$B27 / IF(Elf!$D27&lt; 10.8, $F$6,$F$6 / (Elf!$D27 / 10.8)),1)</f>
        <v>15</v>
      </c>
      <c r="F40" s="1">
        <f>CEILING(Beastgirl!$B27 / IF(Beastgirl!$D27&lt; 10.8, $F$6, $F$6 / (Beastgirl!$D27 / 10.8)),1)</f>
        <v>24</v>
      </c>
      <c r="G40" s="1">
        <f>CEILING(Warrior!$B27 / IF(Warrior!$D27&lt; 10.8, $F$6, $F$6 / (Warrior!$D27 / 10.8)),1)</f>
        <v>17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9</v>
      </c>
      <c r="P40" s="1">
        <f>CEILING(Elf!$B27/ IF(Elf!$D27 &lt; 10.8, $Q$6, $Q$6 / (Elf!$D27 / 10.8)),1)</f>
        <v>10</v>
      </c>
      <c r="Q40" s="1">
        <f>CEILING(Beastgirl!$B27/ IF(Beastgirl!$D27&lt; 10.8, $Q$6, $Q$6 / (Beastgirl!$D27 / 10.8)),1)</f>
        <v>16</v>
      </c>
      <c r="R40" s="1">
        <f>CEILING(Warrior!$B27/ IF(Warrior!$D27&lt; 10.8, $Q$6, $Q$6 / (Warrior!$D27 / 10.8)),1)</f>
        <v>12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7</v>
      </c>
      <c r="AA40" s="1">
        <f>CEILING(Elf!$B27 / IF(Elf!$D27 &lt; 10.8, $AB$6, $AB$6 / (Elf!$D27 / 10.8)),1)</f>
        <v>8</v>
      </c>
      <c r="AB40" s="1">
        <f>CEILING(Beastgirl!$B27 / IF(Beastgirl!$D27&lt; 10.8, $AB$6, $AB$6 / (Beastgirl!$D27 / 10.8)),1)</f>
        <v>12</v>
      </c>
      <c r="AC40" s="1">
        <f>CEILING(Warrior!$B27 / IF(Warrior!$D27&lt; 10.8, $AB$6, $AB$6 / (Warrior!$D27 / 10.8)),1)</f>
        <v>9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14</v>
      </c>
      <c r="E41" s="1">
        <f>CEILING(Elf!$B28 / IF(Elf!$D28&lt; 10.8, $F$6,$F$6 / (Elf!$D28 / 10.8)),1)</f>
        <v>16</v>
      </c>
      <c r="F41" s="1">
        <f>CEILING(Beastgirl!$B28 / IF(Beastgirl!$D28&lt; 10.8, $F$6, $F$6 / (Beastgirl!$D28 / 10.8)),1)</f>
        <v>26</v>
      </c>
      <c r="G41" s="1">
        <f>CEILING(Warrior!$B28 / IF(Warrior!$D28&lt; 10.8, $F$6, $F$6 / (Warrior!$D28 / 10.8)),1)</f>
        <v>18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10</v>
      </c>
      <c r="P41" s="1">
        <f>CEILING(Elf!$B28/ IF(Elf!$D28 &lt; 10.8, $Q$6, $Q$6 / (Elf!$D28 / 10.8)),1)</f>
        <v>11</v>
      </c>
      <c r="Q41" s="1">
        <f>CEILING(Beastgirl!$B28/ IF(Beastgirl!$D28&lt; 10.8, $Q$6, $Q$6 / (Beastgirl!$D28 / 10.8)),1)</f>
        <v>17</v>
      </c>
      <c r="R41" s="1">
        <f>CEILING(Warrior!$B28/ IF(Warrior!$D28&lt; 10.8, $Q$6, $Q$6 / (Warrior!$D28 / 10.8)),1)</f>
        <v>12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7</v>
      </c>
      <c r="AA41" s="1">
        <f>CEILING(Elf!$B28 / IF(Elf!$D28 &lt; 10.8, $AB$6, $AB$6 / (Elf!$D28 / 10.8)),1)</f>
        <v>8</v>
      </c>
      <c r="AB41" s="1">
        <f>CEILING(Beastgirl!$B28 / IF(Beastgirl!$D28&lt; 10.8, $AB$6, $AB$6 / (Beastgirl!$D28 / 10.8)),1)</f>
        <v>13</v>
      </c>
      <c r="AC41" s="1">
        <f>CEILING(Warrior!$B28 / IF(Warrior!$D28&lt; 10.8, $AB$6, $AB$6 / (Warrior!$D28 / 10.8)),1)</f>
        <v>9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15</v>
      </c>
      <c r="E42" s="1">
        <f>CEILING(Elf!$B29 / IF(Elf!$D29&lt; 10.8, $F$6,$F$6 / (Elf!$D29 / 10.8)),1)</f>
        <v>17</v>
      </c>
      <c r="F42" s="1">
        <f>CEILING(Beastgirl!$B29 / IF(Beastgirl!$D29&lt; 10.8, $F$6, $F$6 / (Beastgirl!$D29 / 10.8)),1)</f>
        <v>28</v>
      </c>
      <c r="G42" s="1">
        <f>CEILING(Warrior!$B29 / IF(Warrior!$D29&lt; 10.8, $F$6, $F$6 / (Warrior!$D29 / 10.8)),1)</f>
        <v>19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10</v>
      </c>
      <c r="P42" s="1">
        <f>CEILING(Elf!$B29/ IF(Elf!$D29 &lt; 10.8, $Q$6, $Q$6 / (Elf!$D29 / 10.8)),1)</f>
        <v>11</v>
      </c>
      <c r="Q42" s="1">
        <f>CEILING(Beastgirl!$B29/ IF(Beastgirl!$D29&lt; 10.8, $Q$6, $Q$6 / (Beastgirl!$D29 / 10.8)),1)</f>
        <v>19</v>
      </c>
      <c r="R42" s="1">
        <f>CEILING(Warrior!$B29/ IF(Warrior!$D29&lt; 10.8, $Q$6, $Q$6 / (Warrior!$D29 / 10.8)),1)</f>
        <v>13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8</v>
      </c>
      <c r="AA42" s="1">
        <f>CEILING(Elf!$B29 / IF(Elf!$D29 &lt; 10.8, $AB$6, $AB$6 / (Elf!$D29 / 10.8)),1)</f>
        <v>9</v>
      </c>
      <c r="AB42" s="1">
        <f>CEILING(Beastgirl!$B29 / IF(Beastgirl!$D29&lt; 10.8, $AB$6, $AB$6 / (Beastgirl!$D29 / 10.8)),1)</f>
        <v>14</v>
      </c>
      <c r="AC42" s="1">
        <f>CEILING(Warrior!$B29 / IF(Warrior!$D29&lt; 10.8, $AB$6, $AB$6 / (Warrior!$D29 / 10.8)),1)</f>
        <v>10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16</v>
      </c>
      <c r="E43" s="1">
        <f>CEILING(Elf!$B30 / IF(Elf!$D30&lt; 10.8, $F$6,$F$6 / (Elf!$D30 / 10.8)),1)</f>
        <v>18</v>
      </c>
      <c r="F43" s="1">
        <f>CEILING(Beastgirl!$B30 / IF(Beastgirl!$D30&lt; 10.8, $F$6, $F$6 / (Beastgirl!$D30 / 10.8)),1)</f>
        <v>29</v>
      </c>
      <c r="G43" s="1">
        <f>CEILING(Warrior!$B30 / IF(Warrior!$D30&lt; 10.8, $F$6, $F$6 / (Warrior!$D30 / 10.8)),1)</f>
        <v>21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11</v>
      </c>
      <c r="P43" s="1">
        <f>CEILING(Elf!$B30/ IF(Elf!$D30 &lt; 10.8, $Q$6, $Q$6 / (Elf!$D30 / 10.8)),1)</f>
        <v>12</v>
      </c>
      <c r="Q43" s="1">
        <f>CEILING(Beastgirl!$B30/ IF(Beastgirl!$D30&lt; 10.8, $Q$6, $Q$6 / (Beastgirl!$D30 / 10.8)),1)</f>
        <v>20</v>
      </c>
      <c r="R43" s="1">
        <f>CEILING(Warrior!$B30/ IF(Warrior!$D30&lt; 10.8, $Q$6, $Q$6 / (Warrior!$D30 / 10.8)),1)</f>
        <v>14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8</v>
      </c>
      <c r="AA43" s="1">
        <f>CEILING(Elf!$B30 / IF(Elf!$D30 &lt; 10.8, $AB$6, $AB$6 / (Elf!$D30 / 10.8)),1)</f>
        <v>9</v>
      </c>
      <c r="AB43" s="1">
        <f>CEILING(Beastgirl!$B30 / IF(Beastgirl!$D30&lt; 10.8, $AB$6, $AB$6 / (Beastgirl!$D30 / 10.8)),1)</f>
        <v>15</v>
      </c>
      <c r="AC43" s="1">
        <f>CEILING(Warrior!$B30 / IF(Warrior!$D30&lt; 10.8, $AB$6, $AB$6 / (Warrior!$D30 / 10.8)),1)</f>
        <v>11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17</v>
      </c>
      <c r="E44" s="1">
        <f>CEILING(Elf!$B31 / IF(Elf!$D31&lt; 10.8, $F$6,$F$6 / (Elf!$D31 / 10.8)),1)</f>
        <v>19</v>
      </c>
      <c r="F44" s="1">
        <f>CEILING(Beastgirl!$B31 / IF(Beastgirl!$D31&lt; 10.8, $F$6, $F$6 / (Beastgirl!$D31 / 10.8)),1)</f>
        <v>31</v>
      </c>
      <c r="G44" s="1">
        <f>CEILING(Warrior!$B31 / IF(Warrior!$D31&lt; 10.8, $F$6, $F$6 / (Warrior!$D31 / 10.8)),1)</f>
        <v>22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12</v>
      </c>
      <c r="P44" s="1">
        <f>CEILING(Elf!$B31/ IF(Elf!$D31 &lt; 10.8, $Q$6, $Q$6 / (Elf!$D31 / 10.8)),1)</f>
        <v>13</v>
      </c>
      <c r="Q44" s="1">
        <f>CEILING(Beastgirl!$B31/ IF(Beastgirl!$D31&lt; 10.8, $Q$6, $Q$6 / (Beastgirl!$D31 / 10.8)),1)</f>
        <v>21</v>
      </c>
      <c r="R44" s="1">
        <f>CEILING(Warrior!$B31/ IF(Warrior!$D31&lt; 10.8, $Q$6, $Q$6 / (Warrior!$D31 / 10.8)),1)</f>
        <v>15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9</v>
      </c>
      <c r="AA44" s="1">
        <f>CEILING(Elf!$B31 / IF(Elf!$D31 &lt; 10.8, $AB$6, $AB$6 / (Elf!$D31 / 10.8)),1)</f>
        <v>10</v>
      </c>
      <c r="AB44" s="1">
        <f>CEILING(Beastgirl!$B31 / IF(Beastgirl!$D31&lt; 10.8, $AB$6, $AB$6 / (Beastgirl!$D31 / 10.8)),1)</f>
        <v>16</v>
      </c>
      <c r="AC44" s="1">
        <f>CEILING(Warrior!$B31 / IF(Warrior!$D31&lt; 10.8, $AB$6, $AB$6 / (Warrior!$D31 / 10.8)),1)</f>
        <v>11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18</v>
      </c>
      <c r="E45" s="1">
        <f>CEILING(Elf!$B32 / IF(Elf!$D32&lt; 10.8, $F$6,$F$6 / (Elf!$D32 / 10.8)),1)</f>
        <v>20</v>
      </c>
      <c r="F45" s="1">
        <f>CEILING(Beastgirl!$B32 / IF(Beastgirl!$D32&lt; 10.8, $F$6, $F$6 / (Beastgirl!$D32 / 10.8)),1)</f>
        <v>33</v>
      </c>
      <c r="G45" s="1">
        <f>CEILING(Warrior!$B32 / IF(Warrior!$D32&lt; 10.8, $F$6, $F$6 / (Warrior!$D32 / 10.8)),1)</f>
        <v>23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12</v>
      </c>
      <c r="P45" s="1">
        <f>CEILING(Elf!$B32/ IF(Elf!$D32 &lt; 10.8, $Q$6, $Q$6 / (Elf!$D32 / 10.8)),1)</f>
        <v>14</v>
      </c>
      <c r="Q45" s="1">
        <f>CEILING(Beastgirl!$B32/ IF(Beastgirl!$D32&lt; 10.8, $Q$6, $Q$6 / (Beastgirl!$D32 / 10.8)),1)</f>
        <v>22</v>
      </c>
      <c r="R45" s="1">
        <f>CEILING(Warrior!$B32/ IF(Warrior!$D32&lt; 10.8, $Q$6, $Q$6 / (Warrior!$D32 / 10.8)),1)</f>
        <v>16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9</v>
      </c>
      <c r="AA45" s="1">
        <f>CEILING(Elf!$B32 / IF(Elf!$D32 &lt; 10.8, $AB$6, $AB$6 / (Elf!$D32 / 10.8)),1)</f>
        <v>10</v>
      </c>
      <c r="AB45" s="1">
        <f>CEILING(Beastgirl!$B32 / IF(Beastgirl!$D32&lt; 10.8, $AB$6, $AB$6 / (Beastgirl!$D32 / 10.8)),1)</f>
        <v>17</v>
      </c>
      <c r="AC45" s="1">
        <f>CEILING(Warrior!$B32 / IF(Warrior!$D32&lt; 10.8, $AB$6, $AB$6 / (Warrior!$D32 / 10.8)),1)</f>
        <v>12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21:G21"/>
    <mergeCell ref="N21:R21"/>
    <mergeCell ref="Y21:AC21"/>
    <mergeCell ref="C34:G34"/>
    <mergeCell ref="N34:R34"/>
    <mergeCell ref="Y34:AC34"/>
    <mergeCell ref="A1:K1"/>
    <mergeCell ref="L1:V1"/>
    <mergeCell ref="W1:AF1"/>
    <mergeCell ref="C8:G8"/>
    <mergeCell ref="N8:R8"/>
    <mergeCell ref="Y8:AC8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80AC-0701-4938-9575-E466E0CED8C5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</v>
      </c>
      <c r="C3" s="1"/>
      <c r="D3" s="1">
        <v>10</v>
      </c>
      <c r="E3" s="1">
        <v>8</v>
      </c>
      <c r="F3" s="1">
        <v>10</v>
      </c>
      <c r="G3" s="1">
        <v>8</v>
      </c>
      <c r="H3" s="1">
        <v>12</v>
      </c>
      <c r="I3" s="1">
        <v>18</v>
      </c>
      <c r="J3" s="1">
        <v>16</v>
      </c>
      <c r="K3" s="1"/>
      <c r="L3" s="4">
        <v>1</v>
      </c>
      <c r="M3" s="1">
        <f>Table596183195207[[#This Row],[HP]] * 1.5</f>
        <v>1.5</v>
      </c>
      <c r="N3" s="1"/>
      <c r="O3" s="1">
        <f>Table596183195207[[#This Row],[DEF]] * 1.5</f>
        <v>15</v>
      </c>
      <c r="P3" s="1">
        <f>Table596183195207[[#This Row],[AGI]] * 1.5</f>
        <v>12</v>
      </c>
      <c r="Q3" s="1">
        <f>Table596183195207[[#This Row],[STR]] * 1.5</f>
        <v>15</v>
      </c>
      <c r="R3" s="1">
        <f>Table596183195207[[#This Row],[INT]] * 1.5</f>
        <v>12</v>
      </c>
      <c r="S3" s="1">
        <f xml:space="preserve"> Table596183195207[[#This Row],[DEX]] * 1.5</f>
        <v>18</v>
      </c>
      <c r="T3" s="1">
        <f>Table596183195207[[#This Row],[XP Given]]*1.25</f>
        <v>22.5</v>
      </c>
      <c r="U3" s="1"/>
      <c r="V3" s="1"/>
      <c r="W3" s="4">
        <v>1</v>
      </c>
      <c r="X3" s="1">
        <f>Table596183195207[[#This Row],[HP]] * 2</f>
        <v>2</v>
      </c>
      <c r="Y3" s="1"/>
      <c r="Z3" s="1">
        <f>Table596183195207[[#This Row],[DEF]] * 2</f>
        <v>20</v>
      </c>
      <c r="AA3" s="1">
        <f>Table596183195207[[#This Row],[AGI]] * 2</f>
        <v>16</v>
      </c>
      <c r="AB3" s="1">
        <f>Table596183195207[[#This Row],[STR]] * 2</f>
        <v>20</v>
      </c>
      <c r="AC3" s="1">
        <f>Table596183195207[[#This Row],[INT]] * 2</f>
        <v>16</v>
      </c>
      <c r="AD3" s="1">
        <f xml:space="preserve"> Table596183195207[[#This Row],[DEX]] * 2</f>
        <v>24</v>
      </c>
      <c r="AE3" s="1">
        <f>Table596183195207[[#This Row],[XP Given]]* 1.5</f>
        <v>27</v>
      </c>
      <c r="AF3" s="1"/>
    </row>
    <row r="4" spans="1:32" x14ac:dyDescent="0.3">
      <c r="A4" s="4">
        <v>27</v>
      </c>
      <c r="B4" s="1">
        <f>$B$3 + ((Table596183195207[[#This Row],[LV]] / 10) + $B$3 / 8) * Table596183195207[[#This Row],[LV]]</f>
        <v>77.275000000000006</v>
      </c>
      <c r="C4" s="1"/>
      <c r="D4" s="1">
        <f>$D$3 + ($D$3 / 4) * Table596183195207[[#This Row],[LV]]</f>
        <v>77.5</v>
      </c>
      <c r="E4" s="1">
        <f>$E$3 + ($E$3 / 4) * Table596183195207[[#This Row],[LV]]</f>
        <v>62</v>
      </c>
      <c r="F4" s="1">
        <f>$F$3 + ($F$3 / 4) * Table596183195207[[#This Row],[LV]]</f>
        <v>77.5</v>
      </c>
      <c r="G4" s="1">
        <f>$G$3 + ($G$3 / 4) * Table596183195207[[#This Row],[LV]]</f>
        <v>62</v>
      </c>
      <c r="H4" s="1">
        <f>$H$3 + ($H$3 / 4) * Table596183195207[[#This Row],[LV]]</f>
        <v>93</v>
      </c>
      <c r="I4" s="1">
        <f>$I$3 + $I$3 * Table596183195207[[#This Row],[LV]] *25 / 100</f>
        <v>139.5</v>
      </c>
      <c r="J4" s="1">
        <f>$J$3 + $J$3 * Table596183195207[[#This Row],[LV]] * 25 / 100</f>
        <v>124</v>
      </c>
      <c r="K4" s="1"/>
      <c r="L4" s="4">
        <v>27</v>
      </c>
      <c r="M4" s="1">
        <f>$M$3 + ((Table5997184196208[[#This Row],[LV]] / 10) + $M$3 / 8) * Table5997184196208[[#This Row],[LV]]</f>
        <v>79.462500000000006</v>
      </c>
      <c r="N4" s="1"/>
      <c r="O4" s="1">
        <f>$O$3 + ($O$3 / 4) * Table5997184196208[[#This Row],[LV]]</f>
        <v>116.25</v>
      </c>
      <c r="P4" s="1">
        <f>$P$3 + ($P$3 / 4) * Table5997184196208[[#This Row],[LV]]</f>
        <v>93</v>
      </c>
      <c r="Q4" s="1">
        <f>$Q$3 + ($Q$3 / 4) * Table5997184196208[[#This Row],[LV]]</f>
        <v>116.25</v>
      </c>
      <c r="R4" s="1">
        <f>$R$3 + ($R$3 / 4) * Table5997184196208[[#This Row],[LV]]</f>
        <v>93</v>
      </c>
      <c r="S4" s="1">
        <f>$S$3 + ($S$3 / 4) * Table5997184196208[[#This Row],[LV]]</f>
        <v>139.5</v>
      </c>
      <c r="T4" s="1">
        <f>Table596183195207[[#This Row],[XP Given]]*1.25</f>
        <v>174.375</v>
      </c>
      <c r="U4" s="1">
        <f>Table596183195207[[#This Row],[Gold Given]]*1.25</f>
        <v>155</v>
      </c>
      <c r="V4" s="1"/>
      <c r="W4" s="4">
        <v>27</v>
      </c>
      <c r="X4" s="1">
        <f>$X$3 + ((Table591098185197209[[#This Row],[LV]] / 10) + $X$3 / 8) * Table591098185197209[[#This Row],[LV]]</f>
        <v>81.650000000000006</v>
      </c>
      <c r="Y4" s="1"/>
      <c r="Z4" s="1">
        <f>$Z$3 + ($Z$3 / 4) * Table591098185197209[[#This Row],[LV]]</f>
        <v>155</v>
      </c>
      <c r="AA4" s="1">
        <f>$AA$3 + ($AA$3 / 4) * Table591098185197209[[#This Row],[LV]]</f>
        <v>124</v>
      </c>
      <c r="AB4" s="1">
        <f>$AB$3 + ($AB$3 / 4) * Table591098185197209[[#This Row],[LV]]</f>
        <v>155</v>
      </c>
      <c r="AC4" s="1">
        <f>$AC$3 + ($AC$3 / 4) * Table591098185197209[[#This Row],[LV]]</f>
        <v>124</v>
      </c>
      <c r="AD4" s="1">
        <f>$AD$3 + ($AD$3 / 4) * Table591098185197209[[#This Row],[LV]]</f>
        <v>186</v>
      </c>
      <c r="AE4" s="1">
        <f>Table596183195207[[#This Row],[XP Given]]* 1.5</f>
        <v>209.25</v>
      </c>
      <c r="AF4" s="1">
        <f>Table596183195207[[#This Row],[Gold Given]]*1.5</f>
        <v>186</v>
      </c>
    </row>
    <row r="5" spans="1:32" x14ac:dyDescent="0.3">
      <c r="A5" s="4">
        <v>28</v>
      </c>
      <c r="B5" s="1">
        <f>$B$3 + ((Table596183195207[[#This Row],[LV]] / 10) + $B$3 / 8) * Table596183195207[[#This Row],[LV]]</f>
        <v>82.899999999999991</v>
      </c>
      <c r="C5" s="1"/>
      <c r="D5" s="1">
        <f>$D$3 + ($D$3 / 4) * Table596183195207[[#This Row],[LV]]</f>
        <v>80</v>
      </c>
      <c r="E5" s="1">
        <f>$E$3 + ($E$3 / 4) * Table596183195207[[#This Row],[LV]]</f>
        <v>64</v>
      </c>
      <c r="F5" s="1">
        <f>$F$3 + ($F$3 / 4) * Table596183195207[[#This Row],[LV]]</f>
        <v>80</v>
      </c>
      <c r="G5" s="1">
        <f>$G$3 + ($G$3 / 4) * Table596183195207[[#This Row],[LV]]</f>
        <v>64</v>
      </c>
      <c r="H5" s="1">
        <f>$H$3 + ($H$3 / 4) * Table596183195207[[#This Row],[LV]]</f>
        <v>96</v>
      </c>
      <c r="I5" s="1">
        <f>$I$3 + $I$3 * Table596183195207[[#This Row],[LV]] *25 / 100</f>
        <v>144</v>
      </c>
      <c r="J5" s="1">
        <f>$J$3 + $J$3 * Table596183195207[[#This Row],[LV]] * 25 / 100</f>
        <v>128</v>
      </c>
      <c r="K5" s="1"/>
      <c r="L5" s="4">
        <v>28</v>
      </c>
      <c r="M5" s="1">
        <f>$M$3 + ((Table5997184196208[[#This Row],[LV]] / 10) + $M$3 / 8) * Table5997184196208[[#This Row],[LV]]</f>
        <v>85.149999999999991</v>
      </c>
      <c r="N5" s="1"/>
      <c r="O5" s="1">
        <f>$O$3 + ($O$3 / 4) * Table5997184196208[[#This Row],[LV]]</f>
        <v>120</v>
      </c>
      <c r="P5" s="1">
        <f>$P$3 + ($P$3 / 4) * Table5997184196208[[#This Row],[LV]]</f>
        <v>96</v>
      </c>
      <c r="Q5" s="1">
        <f>$Q$3 + ($Q$3 / 4) * Table5997184196208[[#This Row],[LV]]</f>
        <v>120</v>
      </c>
      <c r="R5" s="1">
        <f>$R$3 + ($R$3 / 4) * Table5997184196208[[#This Row],[LV]]</f>
        <v>96</v>
      </c>
      <c r="S5" s="1">
        <f>$S$3 + ($S$3 / 4) * Table5997184196208[[#This Row],[LV]]</f>
        <v>144</v>
      </c>
      <c r="T5" s="1">
        <f>Table596183195207[[#This Row],[XP Given]]*1.25</f>
        <v>180</v>
      </c>
      <c r="U5" s="1">
        <f>Table596183195207[[#This Row],[Gold Given]]*1.25</f>
        <v>160</v>
      </c>
      <c r="V5" s="1"/>
      <c r="W5" s="4">
        <v>28</v>
      </c>
      <c r="X5" s="1">
        <f>$X$3 + ((Table591098185197209[[#This Row],[LV]] / 10) + $X$3 / 8) * Table591098185197209[[#This Row],[LV]]</f>
        <v>87.399999999999991</v>
      </c>
      <c r="Y5" s="1"/>
      <c r="Z5" s="1">
        <f>$Z$3 + ($Z$3 / 4) * Table591098185197209[[#This Row],[LV]]</f>
        <v>160</v>
      </c>
      <c r="AA5" s="1">
        <f>$AA$3 + ($AA$3 / 4) * Table591098185197209[[#This Row],[LV]]</f>
        <v>128</v>
      </c>
      <c r="AB5" s="1">
        <f>$AB$3 + ($AB$3 / 4) * Table591098185197209[[#This Row],[LV]]</f>
        <v>160</v>
      </c>
      <c r="AC5" s="1">
        <f>$AC$3 + ($AC$3 / 4) * Table591098185197209[[#This Row],[LV]]</f>
        <v>128</v>
      </c>
      <c r="AD5" s="1">
        <f>$AD$3 + ($AD$3 / 4) * Table591098185197209[[#This Row],[LV]]</f>
        <v>192</v>
      </c>
      <c r="AE5" s="1">
        <f>Table596183195207[[#This Row],[XP Given]]* 1.5</f>
        <v>216</v>
      </c>
      <c r="AF5" s="1">
        <f>Table596183195207[[#This Row],[Gold Given]]*1.5</f>
        <v>192</v>
      </c>
    </row>
    <row r="6" spans="1:32" x14ac:dyDescent="0.3">
      <c r="A6" s="4">
        <v>29</v>
      </c>
      <c r="B6" s="1">
        <f>$B$3 + ((Table596183195207[[#This Row],[LV]] / 10) + $B$3 / 8) * Table596183195207[[#This Row],[LV]]</f>
        <v>88.724999999999994</v>
      </c>
      <c r="C6" s="1"/>
      <c r="D6" s="1">
        <f>$D$3 + ($D$3 / 4) * Table596183195207[[#This Row],[LV]]</f>
        <v>82.5</v>
      </c>
      <c r="E6" s="1">
        <f>$E$3 + ($E$3 / 4) * Table596183195207[[#This Row],[LV]]</f>
        <v>66</v>
      </c>
      <c r="F6" s="1">
        <f>$F$3 + ($F$3 / 4) * Table596183195207[[#This Row],[LV]]</f>
        <v>82.5</v>
      </c>
      <c r="G6" s="1">
        <f>$G$3 + ($G$3 / 4) * Table596183195207[[#This Row],[LV]]</f>
        <v>66</v>
      </c>
      <c r="H6" s="1">
        <f>$H$3 + ($H$3 / 4) * Table596183195207[[#This Row],[LV]]</f>
        <v>99</v>
      </c>
      <c r="I6" s="1">
        <f>$I$3 + $I$3 * Table596183195207[[#This Row],[LV]] *25 / 100</f>
        <v>148.5</v>
      </c>
      <c r="J6" s="1">
        <f>$J$3 + $J$3 * Table596183195207[[#This Row],[LV]] * 25 / 100</f>
        <v>132</v>
      </c>
      <c r="K6" s="1"/>
      <c r="L6" s="4">
        <v>29</v>
      </c>
      <c r="M6" s="1">
        <f>$M$3 + ((Table5997184196208[[#This Row],[LV]] / 10) + $M$3 / 8) * Table5997184196208[[#This Row],[LV]]</f>
        <v>91.037499999999994</v>
      </c>
      <c r="N6" s="1"/>
      <c r="O6" s="1">
        <f>$O$3 + ($O$3 / 4) * Table5997184196208[[#This Row],[LV]]</f>
        <v>123.75</v>
      </c>
      <c r="P6" s="1">
        <f>$P$3 + ($P$3 / 4) * Table5997184196208[[#This Row],[LV]]</f>
        <v>99</v>
      </c>
      <c r="Q6" s="1">
        <f>$Q$3 + ($Q$3 / 4) * Table5997184196208[[#This Row],[LV]]</f>
        <v>123.75</v>
      </c>
      <c r="R6" s="1">
        <f>$R$3 + ($R$3 / 4) * Table5997184196208[[#This Row],[LV]]</f>
        <v>99</v>
      </c>
      <c r="S6" s="1">
        <f>$S$3 + ($S$3 / 4) * Table5997184196208[[#This Row],[LV]]</f>
        <v>148.5</v>
      </c>
      <c r="T6" s="1">
        <f>Table596183195207[[#This Row],[XP Given]]*1.25</f>
        <v>185.625</v>
      </c>
      <c r="U6" s="1">
        <f>Table596183195207[[#This Row],[Gold Given]]*1.25</f>
        <v>165</v>
      </c>
      <c r="V6" s="1"/>
      <c r="W6" s="4">
        <v>29</v>
      </c>
      <c r="X6" s="1">
        <f>$X$3 + ((Table591098185197209[[#This Row],[LV]] / 10) + $X$3 / 8) * Table591098185197209[[#This Row],[LV]]</f>
        <v>93.35</v>
      </c>
      <c r="Y6" s="1"/>
      <c r="Z6" s="1">
        <f>$Z$3 + ($Z$3 / 4) * Table591098185197209[[#This Row],[LV]]</f>
        <v>165</v>
      </c>
      <c r="AA6" s="1">
        <f>$AA$3 + ($AA$3 / 4) * Table591098185197209[[#This Row],[LV]]</f>
        <v>132</v>
      </c>
      <c r="AB6" s="1">
        <f>$AB$3 + ($AB$3 / 4) * Table591098185197209[[#This Row],[LV]]</f>
        <v>165</v>
      </c>
      <c r="AC6" s="1">
        <f>$AC$3 + ($AC$3 / 4) * Table591098185197209[[#This Row],[LV]]</f>
        <v>132</v>
      </c>
      <c r="AD6" s="1">
        <f>$AD$3 + ($AD$3 / 4) * Table591098185197209[[#This Row],[LV]]</f>
        <v>198</v>
      </c>
      <c r="AE6" s="1">
        <f>Table596183195207[[#This Row],[XP Given]]* 1.5</f>
        <v>222.75</v>
      </c>
      <c r="AF6" s="1">
        <f>Table596183195207[[#This Row],[Gold Given]]*1.5</f>
        <v>198</v>
      </c>
    </row>
    <row r="8" spans="1:32" ht="25.8" x14ac:dyDescent="0.3">
      <c r="C8" s="53" t="s">
        <v>60</v>
      </c>
      <c r="D8" s="53"/>
      <c r="E8" s="53"/>
      <c r="F8" s="53"/>
      <c r="G8" s="53"/>
      <c r="H8" s="7"/>
      <c r="N8" s="53" t="s">
        <v>60</v>
      </c>
      <c r="O8" s="53"/>
      <c r="P8" s="53"/>
      <c r="Q8" s="53"/>
      <c r="R8" s="53"/>
      <c r="S8" s="7"/>
      <c r="T8" s="7"/>
      <c r="U8" s="7"/>
      <c r="V8" s="7"/>
      <c r="Y8" s="53" t="s">
        <v>60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5</v>
      </c>
      <c r="E10" s="1">
        <f>CEILING(Elf!$B23 / IF(Elf!$D23 &lt; 10.8, $F$4, $F$4 / (Elf!$D23/ 10.8)),1)</f>
        <v>6</v>
      </c>
      <c r="F10" s="1">
        <f>CEILING(Beastgirl!$B23/ IF(Beastgirl!$D23&lt; 10.8,$F$4, $F$4 / (Beastgirl!$D23 / 10.8)),1)</f>
        <v>9</v>
      </c>
      <c r="G10" s="1">
        <f>CEILING(Warrior!$B23/ IF(Warrior!$D23&lt; 10.8, $F$4, $F$4 / (Warrior!$D23 / 10.8)),1)</f>
        <v>7</v>
      </c>
      <c r="I10" s="1">
        <v>127</v>
      </c>
      <c r="N10" s="1">
        <v>21</v>
      </c>
      <c r="O10" s="1">
        <f>CEILING(Demon!$B23 / IF(Demon!$D23&lt; 10.8, $Q$4, $Q$4 / (Demon!$D23 / 10.8)),1)</f>
        <v>4</v>
      </c>
      <c r="P10" s="1">
        <f>CEILING(Elf!$B23 / IF(Elf!$D23 &lt; 10.8, $Q$4, $Q$4 / (Elf!$D23/ 10.8)),1)</f>
        <v>4</v>
      </c>
      <c r="Q10" s="1">
        <f>CEILING(Beastgirl!$B23 / IF(Beastgirl!$D23&lt; 10.8, $Q$4, $Q$4 / (Beastgirl!$D23/ 10.8)),1)</f>
        <v>6</v>
      </c>
      <c r="R10" s="1">
        <f>CEILING(Warrior!$B23 / IF(Warrior!$D23&lt; 10.8, $Q$4, $Q$4 / (Warrior!$D23 / 10.8)),1)</f>
        <v>5</v>
      </c>
      <c r="Y10" s="1">
        <v>21</v>
      </c>
      <c r="Z10" s="1">
        <f>CEILING(Demon!$B23 / IF(Demon!$D23&lt; 10.8, $AB$4, $AB$4 / (Demon!$D23 / 10.8)),1)</f>
        <v>3</v>
      </c>
      <c r="AA10" s="1">
        <f>CEILING(Elf!$B23 / IF(Elf!$D23 &lt; 10.8, $AB$4, $AB$4 / (Elf!$D23 / 10.8)),1)</f>
        <v>3</v>
      </c>
      <c r="AB10" s="1">
        <f>CEILING(Beastgirl!$B23 / IF(Beastgirl!$D23&lt; 10.8, $AB$4, $AB$4 / (Beastgirl!$D23 / 10.8)),1)</f>
        <v>5</v>
      </c>
      <c r="AC10" s="1">
        <f>CEILING(Warrior!$B23 / IF(Warrior!$D23&lt; 10.8, $AB$4, $AB$4 / (Warrior!$D23 / 10.8)),1)</f>
        <v>4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6</v>
      </c>
      <c r="E11" s="1">
        <f>CEILING(Elf!$B24 / IF(Elf!$D24 &lt; 10.8, $F$4, $F$4 / (Elf!$D24/ 10.8)),1)</f>
        <v>6</v>
      </c>
      <c r="F11" s="1">
        <f>CEILING(Beastgirl!$B24/ IF(Beastgirl!$D24&lt; 10.8,$F$4, $F$4 / (Beastgirl!$D24 / 10.8)),1)</f>
        <v>10</v>
      </c>
      <c r="G11" s="1">
        <f>CEILING(Warrior!$B24/ IF(Warrior!$D24&lt; 10.8, $F$4, $F$4 / (Warrior!$D24 / 10.8)),1)</f>
        <v>7</v>
      </c>
      <c r="I11" s="1">
        <v>141</v>
      </c>
      <c r="N11" s="1">
        <v>22</v>
      </c>
      <c r="O11" s="1">
        <f>CEILING(Demon!$B24 / IF(Demon!$D24&lt; 10.8, $Q$4, $Q$4 / (Demon!$D24 / 10.8)),1)</f>
        <v>4</v>
      </c>
      <c r="P11" s="1">
        <f>CEILING(Elf!$B24 / IF(Elf!$D24 &lt; 10.8, $Q$4, $Q$4 / (Elf!$D24/ 10.8)),1)</f>
        <v>4</v>
      </c>
      <c r="Q11" s="1">
        <f>CEILING(Beastgirl!$B24 / IF(Beastgirl!$D24&lt; 10.8, $Q$4, $Q$4 / (Beastgirl!$D24/ 10.8)),1)</f>
        <v>7</v>
      </c>
      <c r="R11" s="1">
        <f>CEILING(Warrior!$B24 / IF(Warrior!$D24&lt; 10.8, $Q$4, $Q$4 / (Warrior!$D24 / 10.8)),1)</f>
        <v>5</v>
      </c>
      <c r="Y11" s="1">
        <v>22</v>
      </c>
      <c r="Z11" s="1">
        <f>CEILING(Demon!$B24 / IF(Demon!$D24&lt; 10.8, $AB$4, $AB$4 / (Demon!$D24 / 10.8)),1)</f>
        <v>3</v>
      </c>
      <c r="AA11" s="1">
        <f>CEILING(Elf!$B24 / IF(Elf!$D24 &lt; 10.8, $AB$4, $AB$4 / (Elf!$D24 / 10.8)),1)</f>
        <v>3</v>
      </c>
      <c r="AB11" s="1">
        <f>CEILING(Beastgirl!$B24 / IF(Beastgirl!$D24&lt; 10.8, $AB$4, $AB$4 / (Beastgirl!$D24 / 10.8)),1)</f>
        <v>5</v>
      </c>
      <c r="AC11" s="1">
        <f>CEILING(Warrior!$B24 / IF(Warrior!$D24&lt; 10.8, $AB$4, $AB$4 / (Warrior!$D24 / 10.8)),1)</f>
        <v>4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6</v>
      </c>
      <c r="E12" s="1">
        <f>CEILING(Elf!$B25 / IF(Elf!$D25 &lt; 10.8, $F$4, $F$4 / (Elf!$D25/ 10.8)),1)</f>
        <v>7</v>
      </c>
      <c r="F12" s="1">
        <f>CEILING(Beastgirl!$B25/ IF(Beastgirl!$D25&lt; 10.8,$F$4, $F$4 / (Beastgirl!$D25 / 10.8)),1)</f>
        <v>11</v>
      </c>
      <c r="G12" s="1">
        <f>CEILING(Warrior!$B25/ IF(Warrior!$D25&lt; 10.8, $F$4, $F$4 / (Warrior!$D25 / 10.8)),1)</f>
        <v>8</v>
      </c>
      <c r="I12" s="1">
        <v>156</v>
      </c>
      <c r="N12" s="1">
        <v>23</v>
      </c>
      <c r="O12" s="1">
        <f>CEILING(Demon!$B25 / IF(Demon!$D25&lt; 10.8, $Q$4, $Q$4 / (Demon!$D25 / 10.8)),1)</f>
        <v>4</v>
      </c>
      <c r="P12" s="1">
        <f>CEILING(Elf!$B25 / IF(Elf!$D25 &lt; 10.8, $Q$4, $Q$4 / (Elf!$D25/ 10.8)),1)</f>
        <v>5</v>
      </c>
      <c r="Q12" s="1">
        <f>CEILING(Beastgirl!$B25 / IF(Beastgirl!$D25&lt; 10.8, $Q$4, $Q$4 / (Beastgirl!$D25/ 10.8)),1)</f>
        <v>7</v>
      </c>
      <c r="R12" s="1">
        <f>CEILING(Warrior!$B25 / IF(Warrior!$D25&lt; 10.8, $Q$4, $Q$4 / (Warrior!$D25 / 10.8)),1)</f>
        <v>5</v>
      </c>
      <c r="Y12" s="1">
        <v>23</v>
      </c>
      <c r="Z12" s="1">
        <f>CEILING(Demon!$B25 / IF(Demon!$D25&lt; 10.8, $AB$4, $AB$4 / (Demon!$D25 / 10.8)),1)</f>
        <v>3</v>
      </c>
      <c r="AA12" s="1">
        <f>CEILING(Elf!$B25 / IF(Elf!$D25 &lt; 10.8, $AB$4, $AB$4 / (Elf!$D25 / 10.8)),1)</f>
        <v>4</v>
      </c>
      <c r="AB12" s="1">
        <f>CEILING(Beastgirl!$B25 / IF(Beastgirl!$D25&lt; 10.8, $AB$4, $AB$4 / (Beastgirl!$D25 / 10.8)),1)</f>
        <v>6</v>
      </c>
      <c r="AC12" s="1">
        <f>CEILING(Warrior!$B25 / IF(Warrior!$D25&lt; 10.8, $AB$4, $AB$4 / (Warrior!$D25 / 10.8)),1)</f>
        <v>4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6</v>
      </c>
      <c r="E13" s="1">
        <f>CEILING(Elf!$B26 / IF(Elf!$D26 &lt; 10.8, $F$4, $F$4 / (Elf!$D26/ 10.8)),1)</f>
        <v>7</v>
      </c>
      <c r="F13" s="1">
        <f>CEILING(Beastgirl!$B26/ IF(Beastgirl!$D26&lt; 10.8,$F$4, $F$4 / (Beastgirl!$D26 / 10.8)),1)</f>
        <v>12</v>
      </c>
      <c r="G13" s="1">
        <f>CEILING(Warrior!$B26/ IF(Warrior!$D26&lt; 10.8, $F$4, $F$4 / (Warrior!$D26 / 10.8)),1)</f>
        <v>8</v>
      </c>
      <c r="N13" s="1">
        <v>24</v>
      </c>
      <c r="O13" s="1">
        <f>CEILING(Demon!$B26 / IF(Demon!$D26&lt; 10.8, $Q$4, $Q$4 / (Demon!$D26 / 10.8)),1)</f>
        <v>4</v>
      </c>
      <c r="P13" s="1">
        <f>CEILING(Elf!$B26 / IF(Elf!$D26 &lt; 10.8, $Q$4, $Q$4 / (Elf!$D26/ 10.8)),1)</f>
        <v>5</v>
      </c>
      <c r="Q13" s="1">
        <f>CEILING(Beastgirl!$B26 / IF(Beastgirl!$D26&lt; 10.8, $Q$4, $Q$4 / (Beastgirl!$D26/ 10.8)),1)</f>
        <v>8</v>
      </c>
      <c r="R13" s="1">
        <f>CEILING(Warrior!$B26 / IF(Warrior!$D26&lt; 10.8, $Q$4, $Q$4 / (Warrior!$D26 / 10.8)),1)</f>
        <v>6</v>
      </c>
      <c r="Y13" s="1">
        <v>24</v>
      </c>
      <c r="Z13" s="1">
        <f>CEILING(Demon!$B26 / IF(Demon!$D26&lt; 10.8, $AB$4, $AB$4 / (Demon!$D26 / 10.8)),1)</f>
        <v>3</v>
      </c>
      <c r="AA13" s="1">
        <f>CEILING(Elf!$B26 / IF(Elf!$D26 &lt; 10.8, $AB$4, $AB$4 / (Elf!$D26 / 10.8)),1)</f>
        <v>4</v>
      </c>
      <c r="AB13" s="1">
        <f>CEILING(Beastgirl!$B26 / IF(Beastgirl!$D26&lt; 10.8, $AB$4, $AB$4 / (Beastgirl!$D26 / 10.8)),1)</f>
        <v>6</v>
      </c>
      <c r="AC13" s="1">
        <f>CEILING(Warrior!$B26 / IF(Warrior!$D26&lt; 10.8, $AB$4, $AB$4 / (Warrior!$D26 / 10.8)),1)</f>
        <v>4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9</v>
      </c>
      <c r="E14" s="1">
        <f>CEILING(Elf!$B27 / IF(Elf!$D27 &lt; 10.8, $F$4, $F$4 / (Elf!$D27/ 10.8)),1)</f>
        <v>10</v>
      </c>
      <c r="F14" s="1">
        <f>CEILING(Beastgirl!$B27/ IF(Beastgirl!$D27&lt; 10.8,$F$4, $F$4 / (Beastgirl!$D27 / 10.8)),1)</f>
        <v>17</v>
      </c>
      <c r="G14" s="1">
        <f>CEILING(Warrior!$B27/ IF(Warrior!$D27&lt; 10.8, $F$4, $F$4 / (Warrior!$D27 / 10.8)),1)</f>
        <v>12</v>
      </c>
      <c r="N14" s="1">
        <v>25</v>
      </c>
      <c r="O14" s="1">
        <f>CEILING(Demon!$B27 / IF(Demon!$D27&lt; 10.8, $Q$4, $Q$4 / (Demon!$D27 / 10.8)),1)</f>
        <v>6</v>
      </c>
      <c r="P14" s="1">
        <f>CEILING(Elf!$B27 / IF(Elf!$D27 &lt; 10.8, $Q$4, $Q$4 / (Elf!$D27/ 10.8)),1)</f>
        <v>7</v>
      </c>
      <c r="Q14" s="1">
        <f>CEILING(Beastgirl!$B27 / IF(Beastgirl!$D27&lt; 10.8, $Q$4, $Q$4 / (Beastgirl!$D27/ 10.8)),1)</f>
        <v>11</v>
      </c>
      <c r="R14" s="1">
        <f>CEILING(Warrior!$B27 / IF(Warrior!$D27&lt; 10.8, $Q$4, $Q$4 / (Warrior!$D27 / 10.8)),1)</f>
        <v>8</v>
      </c>
      <c r="Y14" s="1">
        <v>25</v>
      </c>
      <c r="Z14" s="1">
        <f>CEILING(Demon!$B27 / IF(Demon!$D27&lt; 10.8, $AB$4, $AB$4 / (Demon!$D27 / 10.8)),1)</f>
        <v>5</v>
      </c>
      <c r="AA14" s="1">
        <f>CEILING(Elf!$B27 / IF(Elf!$D27 &lt; 10.8, $AB$4, $AB$4 / (Elf!$D27 / 10.8)),1)</f>
        <v>5</v>
      </c>
      <c r="AB14" s="1">
        <f>CEILING(Beastgirl!$B27 / IF(Beastgirl!$D27&lt; 10.8, $AB$4, $AB$4 / (Beastgirl!$D27 / 10.8)),1)</f>
        <v>9</v>
      </c>
      <c r="AC14" s="1">
        <f>CEILING(Warrior!$B27 / IF(Warrior!$D27&lt; 10.8, $AB$4, $AB$4 / (Warrior!$D27 / 10.8)),1)</f>
        <v>6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10</v>
      </c>
      <c r="E15" s="1">
        <f>CEILING(Elf!$B28 / IF(Elf!$D28 &lt; 10.8, $F$4, $F$4 / (Elf!$D28/ 10.8)),1)</f>
        <v>11</v>
      </c>
      <c r="F15" s="1">
        <f>CEILING(Beastgirl!$B28/ IF(Beastgirl!$D28&lt; 10.8,$F$4, $F$4 / (Beastgirl!$D28 / 10.8)),1)</f>
        <v>18</v>
      </c>
      <c r="G15" s="1">
        <f>CEILING(Warrior!$B28/ IF(Warrior!$D28&lt; 10.8, $F$4, $F$4 / (Warrior!$D28 / 10.8)),1)</f>
        <v>13</v>
      </c>
      <c r="N15" s="1">
        <v>26</v>
      </c>
      <c r="O15" s="1">
        <f>CEILING(Demon!$B28 / IF(Demon!$D28&lt; 10.8, $Q$4, $Q$4 / (Demon!$D28 / 10.8)),1)</f>
        <v>7</v>
      </c>
      <c r="P15" s="1">
        <f>CEILING(Elf!$B28 / IF(Elf!$D28 &lt; 10.8, $Q$4, $Q$4 / (Elf!$D28/ 10.8)),1)</f>
        <v>7</v>
      </c>
      <c r="Q15" s="1">
        <f>CEILING(Beastgirl!$B28 / IF(Beastgirl!$D28&lt; 10.8, $Q$4, $Q$4 / (Beastgirl!$D28/ 10.8)),1)</f>
        <v>12</v>
      </c>
      <c r="R15" s="1">
        <f>CEILING(Warrior!$B28 / IF(Warrior!$D28&lt; 10.8, $Q$4, $Q$4 / (Warrior!$D28 / 10.8)),1)</f>
        <v>9</v>
      </c>
      <c r="Y15" s="1">
        <v>26</v>
      </c>
      <c r="Z15" s="1">
        <f>CEILING(Demon!$B28 / IF(Demon!$D28&lt; 10.8, $AB$4, $AB$4 / (Demon!$D28 / 10.8)),1)</f>
        <v>5</v>
      </c>
      <c r="AA15" s="1">
        <f>CEILING(Elf!$B28 / IF(Elf!$D28 &lt; 10.8, $AB$4, $AB$4 / (Elf!$D28 / 10.8)),1)</f>
        <v>6</v>
      </c>
      <c r="AB15" s="1">
        <f>CEILING(Beastgirl!$B28 / IF(Beastgirl!$D28&lt; 10.8, $AB$4, $AB$4 / (Beastgirl!$D28 / 10.8)),1)</f>
        <v>9</v>
      </c>
      <c r="AC15" s="1">
        <f>CEILING(Warrior!$B28 / IF(Warrior!$D28&lt; 10.8, $AB$4, $AB$4 / (Warrior!$D28 / 10.8)),1)</f>
        <v>7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10</v>
      </c>
      <c r="E16" s="1">
        <f>CEILING(Elf!$B29 / IF(Elf!$D29 &lt; 10.8, $F$4, $F$4 / (Elf!$D29/ 10.8)),1)</f>
        <v>11</v>
      </c>
      <c r="F16" s="1">
        <f>CEILING(Beastgirl!$B29/ IF(Beastgirl!$D29&lt; 10.8,$F$4, $F$4 / (Beastgirl!$D29 / 10.8)),1)</f>
        <v>19</v>
      </c>
      <c r="G16" s="1">
        <f>CEILING(Warrior!$B29/ IF(Warrior!$D29&lt; 10.8, $F$4, $F$4 / (Warrior!$D29 / 10.8)),1)</f>
        <v>13</v>
      </c>
      <c r="N16" s="1">
        <v>27</v>
      </c>
      <c r="O16" s="1">
        <f>CEILING(Demon!$B29 / IF(Demon!$D29&lt; 10.8, $Q$4, $Q$4 / (Demon!$D29 / 10.8)),1)</f>
        <v>7</v>
      </c>
      <c r="P16" s="1">
        <f>CEILING(Elf!$B29 / IF(Elf!$D29 &lt; 10.8, $Q$4, $Q$4 / (Elf!$D29/ 10.8)),1)</f>
        <v>8</v>
      </c>
      <c r="Q16" s="1">
        <f>CEILING(Beastgirl!$B29 / IF(Beastgirl!$D29&lt; 10.8, $Q$4, $Q$4 / (Beastgirl!$D29/ 10.8)),1)</f>
        <v>13</v>
      </c>
      <c r="R16" s="1">
        <f>CEILING(Warrior!$B29 / IF(Warrior!$D29&lt; 10.8, $Q$4, $Q$4 / (Warrior!$D29 / 10.8)),1)</f>
        <v>9</v>
      </c>
      <c r="Y16" s="1">
        <v>27</v>
      </c>
      <c r="Z16" s="1">
        <f>CEILING(Demon!$B29 / IF(Demon!$D29&lt; 10.8, $AB$4, $AB$4 / (Demon!$D29 / 10.8)),1)</f>
        <v>5</v>
      </c>
      <c r="AA16" s="1">
        <f>CEILING(Elf!$B29 / IF(Elf!$D29 &lt; 10.8, $AB$4, $AB$4 / (Elf!$D29 / 10.8)),1)</f>
        <v>6</v>
      </c>
      <c r="AB16" s="1">
        <f>CEILING(Beastgirl!$B29 / IF(Beastgirl!$D29&lt; 10.8, $AB$4, $AB$4 / (Beastgirl!$D29 / 10.8)),1)</f>
        <v>10</v>
      </c>
      <c r="AC16" s="1">
        <f>CEILING(Warrior!$B29 / IF(Warrior!$D29&lt; 10.8, $AB$4, $AB$4 / (Warrior!$D29 / 10.8)),1)</f>
        <v>7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11</v>
      </c>
      <c r="E17" s="1">
        <f>CEILING(Elf!$B30 / IF(Elf!$D30 &lt; 10.8, $F$4, $F$4 / (Elf!$D30/ 10.8)),1)</f>
        <v>12</v>
      </c>
      <c r="F17" s="1">
        <f>CEILING(Beastgirl!$B30/ IF(Beastgirl!$D30&lt; 10.8,$F$4, $F$4 / (Beastgirl!$D30 / 10.8)),1)</f>
        <v>20</v>
      </c>
      <c r="G17" s="1">
        <f>CEILING(Warrior!$B30/ IF(Warrior!$D30&lt; 10.8, $F$4, $F$4 / (Warrior!$D30 / 10.8)),1)</f>
        <v>14</v>
      </c>
      <c r="N17" s="1">
        <v>28</v>
      </c>
      <c r="O17" s="1">
        <f>CEILING(Demon!$B30 / IF(Demon!$D30&lt; 10.8, $Q$4, $Q$4 / (Demon!$D30 / 10.8)),1)</f>
        <v>8</v>
      </c>
      <c r="P17" s="1">
        <f>CEILING(Elf!$B30 / IF(Elf!$D30 &lt; 10.8, $Q$4, $Q$4 / (Elf!$D30/ 10.8)),1)</f>
        <v>8</v>
      </c>
      <c r="Q17" s="1">
        <f>CEILING(Beastgirl!$B30 / IF(Beastgirl!$D30&lt; 10.8, $Q$4, $Q$4 / (Beastgirl!$D30/ 10.8)),1)</f>
        <v>14</v>
      </c>
      <c r="R17" s="1">
        <f>CEILING(Warrior!$B30 / IF(Warrior!$D30&lt; 10.8, $Q$4, $Q$4 / (Warrior!$D30 / 10.8)),1)</f>
        <v>10</v>
      </c>
      <c r="Y17" s="1">
        <v>28</v>
      </c>
      <c r="Z17" s="1">
        <f>CEILING(Demon!$B30 / IF(Demon!$D30&lt; 10.8, $AB$4, $AB$4 / (Demon!$D30 / 10.8)),1)</f>
        <v>6</v>
      </c>
      <c r="AA17" s="1">
        <f>CEILING(Elf!$B30 / IF(Elf!$D30 &lt; 10.8, $AB$4, $AB$4 / (Elf!$D30 / 10.8)),1)</f>
        <v>6</v>
      </c>
      <c r="AB17" s="1">
        <f>CEILING(Beastgirl!$B30 / IF(Beastgirl!$D30&lt; 10.8, $AB$4, $AB$4 / (Beastgirl!$D30 / 10.8)),1)</f>
        <v>10</v>
      </c>
      <c r="AC17" s="1">
        <f>CEILING(Warrior!$B30 / IF(Warrior!$D30&lt; 10.8, $AB$4, $AB$4 / (Warrior!$D30 / 10.8)),1)</f>
        <v>7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12</v>
      </c>
      <c r="E18" s="1">
        <f>CEILING(Elf!$B31 / IF(Elf!$D31 &lt; 10.8, $F$4, $F$4 / (Elf!$D31/ 10.8)),1)</f>
        <v>13</v>
      </c>
      <c r="F18" s="1">
        <f>CEILING(Beastgirl!$B31/ IF(Beastgirl!$D31&lt; 10.8,$F$4, $F$4 / (Beastgirl!$D31 / 10.8)),1)</f>
        <v>21</v>
      </c>
      <c r="G18" s="1">
        <f>CEILING(Warrior!$B31/ IF(Warrior!$D31&lt; 10.8, $F$4, $F$4 / (Warrior!$D31 / 10.8)),1)</f>
        <v>15</v>
      </c>
      <c r="N18" s="1">
        <v>29</v>
      </c>
      <c r="O18" s="1">
        <f>CEILING(Demon!$B31 / IF(Demon!$D31&lt; 10.8, $Q$4, $Q$4 / (Demon!$D31 / 10.8)),1)</f>
        <v>8</v>
      </c>
      <c r="P18" s="1">
        <f>CEILING(Elf!$B31 / IF(Elf!$D31 &lt; 10.8, $Q$4, $Q$4 / (Elf!$D31/ 10.8)),1)</f>
        <v>9</v>
      </c>
      <c r="Q18" s="1">
        <f>CEILING(Beastgirl!$B31 / IF(Beastgirl!$D31&lt; 10.8, $Q$4, $Q$4 / (Beastgirl!$D31/ 10.8)),1)</f>
        <v>14</v>
      </c>
      <c r="R18" s="1">
        <f>CEILING(Warrior!$B31 / IF(Warrior!$D31&lt; 10.8, $Q$4, $Q$4 / (Warrior!$D31 / 10.8)),1)</f>
        <v>10</v>
      </c>
      <c r="Y18" s="1">
        <v>29</v>
      </c>
      <c r="Z18" s="1">
        <f>CEILING(Demon!$B31 / IF(Demon!$D31&lt; 10.8, $AB$4, $AB$4 / (Demon!$D31 / 10.8)),1)</f>
        <v>6</v>
      </c>
      <c r="AA18" s="1">
        <f>CEILING(Elf!$B31 / IF(Elf!$D31 &lt; 10.8, $AB$4, $AB$4 / (Elf!$D31 / 10.8)),1)</f>
        <v>7</v>
      </c>
      <c r="AB18" s="1">
        <f>CEILING(Beastgirl!$B31 / IF(Beastgirl!$D31&lt; 10.8, $AB$4, $AB$4 / (Beastgirl!$D31 / 10.8)),1)</f>
        <v>11</v>
      </c>
      <c r="AC18" s="1">
        <f>CEILING(Warrior!$B31 / IF(Warrior!$D31&lt; 10.8, $AB$4, $AB$4 / (Warrior!$D31 / 10.8)),1)</f>
        <v>8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13</v>
      </c>
      <c r="E19" s="1">
        <f>CEILING(Elf!$B32 / IF(Elf!$D32 &lt; 10.8, $F$4, $F$4 / (Elf!$D32/ 10.8)),1)</f>
        <v>14</v>
      </c>
      <c r="F19" s="1">
        <f>CEILING(Beastgirl!$B32/ IF(Beastgirl!$D32&lt; 10.8,$F$4, $F$4 / (Beastgirl!$D32 / 10.8)),1)</f>
        <v>23</v>
      </c>
      <c r="G19" s="1">
        <f>CEILING(Warrior!$B32/ IF(Warrior!$D32&lt; 10.8, $F$4, $F$4 / (Warrior!$D32 / 10.8)),1)</f>
        <v>16</v>
      </c>
      <c r="N19" s="1">
        <v>30</v>
      </c>
      <c r="O19" s="1">
        <f>CEILING(Demon!$B32 / IF(Demon!$D32&lt; 10.8, $Q$4, $Q$4 / (Demon!$D32 / 10.8)),1)</f>
        <v>9</v>
      </c>
      <c r="P19" s="1">
        <f>CEILING(Elf!$B32 / IF(Elf!$D32 &lt; 10.8, $Q$4, $Q$4 / (Elf!$D32/ 10.8)),1)</f>
        <v>9</v>
      </c>
      <c r="Q19" s="1">
        <f>CEILING(Beastgirl!$B32 / IF(Beastgirl!$D32&lt; 10.8, $Q$4, $Q$4 / (Beastgirl!$D32/ 10.8)),1)</f>
        <v>15</v>
      </c>
      <c r="R19" s="1">
        <f>CEILING(Warrior!$B32 / IF(Warrior!$D32&lt; 10.8, $Q$4, $Q$4 / (Warrior!$D32 / 10.8)),1)</f>
        <v>11</v>
      </c>
      <c r="Y19" s="1">
        <v>30</v>
      </c>
      <c r="Z19" s="1">
        <f>CEILING(Demon!$B32 / IF(Demon!$D32&lt; 10.8, $AB$4, $AB$4 / (Demon!$D32 / 10.8)),1)</f>
        <v>7</v>
      </c>
      <c r="AA19" s="1">
        <f>CEILING(Elf!$B32 / IF(Elf!$D32 &lt; 10.8, $AB$4, $AB$4 / (Elf!$D32 / 10.8)),1)</f>
        <v>7</v>
      </c>
      <c r="AB19" s="1">
        <f>CEILING(Beastgirl!$B32 / IF(Beastgirl!$D32&lt; 10.8, $AB$4, $AB$4 / (Beastgirl!$D32 / 10.8)),1)</f>
        <v>12</v>
      </c>
      <c r="AC19" s="1">
        <f>CEILING(Warrior!$B32 / IF(Warrior!$D32&lt; 10.8, $AB$4, $AB$4 / (Warrior!$D32 / 10.8)),1)</f>
        <v>8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61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61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61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5</v>
      </c>
      <c r="E23" s="1">
        <f>CEILING(Elf!$B23 / IF(Elf!$D23 &lt; 10.8, $F$5,$F$5 / (Elf!$D23 / 10.8)),1)</f>
        <v>5</v>
      </c>
      <c r="F23" s="1">
        <f>CEILING(Beastgirl!$B23 / IF(Beastgirl!$D23&lt; 10.8, $F$5, $F$5 / (Beastgirl!$D23 / 10.8)),1)</f>
        <v>9</v>
      </c>
      <c r="G23" s="1">
        <f>CEILING(Warrior!$B23 / IF(Warrior!$D23&lt; 10.8, $F$5, $F$5 / (Warrior!$D23/ 10.8)),1)</f>
        <v>6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3</v>
      </c>
      <c r="P23" s="1">
        <f>CEILING(Elf!$B23/ IF(Elf!$D23&lt; 10.8, $Q$5, $Q$5 / (Elf!$D23 / 10.8)),1)</f>
        <v>4</v>
      </c>
      <c r="Q23" s="1">
        <f>CEILING(Beastgirl!$B23 / IF(Beastgirl!$D23&lt; 10.8, $Q$5, $Q$5 / (Beastgirl!$D23 / 10.8)),1)</f>
        <v>6</v>
      </c>
      <c r="R23" s="1">
        <f>CEILING(Warrior!$B23 / IF(Warrior!$D23&lt; 10.8, $Q$5, $Q$5 / (Warrior!$D23 / 10.8)),1)</f>
        <v>4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3</v>
      </c>
      <c r="AA23" s="1">
        <f>CEILING(Elf!$B23 / IF(Elf!$D23 &lt; 10.8, $AB$5, $AB$5 / (Elf!$D23 / 10.8)),1)</f>
        <v>3</v>
      </c>
      <c r="AB23" s="1">
        <f>CEILING(Beastgirl!$B23 / IF(Beastgirl!$D23&lt; 10.8, $AB$5, $AB$5 / (Beastgirl!$D23 / 10.8)),1)</f>
        <v>5</v>
      </c>
      <c r="AC23" s="1">
        <f>CEILING(Warrior!$B23 / IF(Warrior!$D23&lt; 10.8, $AB$5, $AB$5 / (Warrior!$D23 / 10.8)),1)</f>
        <v>3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5</v>
      </c>
      <c r="E24" s="1">
        <f>CEILING(Elf!$B24 / IF(Elf!$D24 &lt; 10.8, $F$5,$F$5 / (Elf!$D24 / 10.8)),1)</f>
        <v>6</v>
      </c>
      <c r="F24" s="1">
        <f>CEILING(Beastgirl!$B24 / IF(Beastgirl!$D24&lt; 10.8, $F$5, $F$5 / (Beastgirl!$D24 / 10.8)),1)</f>
        <v>10</v>
      </c>
      <c r="G24" s="1">
        <f>CEILING(Warrior!$B24 / IF(Warrior!$D24&lt; 10.8, $F$5, $F$5 / (Warrior!$D24/ 10.8)),1)</f>
        <v>7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4</v>
      </c>
      <c r="P24" s="1">
        <f>CEILING(Elf!$B24/ IF(Elf!$D24&lt; 10.8, $Q$5, $Q$5 / (Elf!$D24 / 10.8)),1)</f>
        <v>4</v>
      </c>
      <c r="Q24" s="1">
        <f>CEILING(Beastgirl!$B24 / IF(Beastgirl!$D24&lt; 10.8, $Q$5, $Q$5 / (Beastgirl!$D24 / 10.8)),1)</f>
        <v>7</v>
      </c>
      <c r="R24" s="1">
        <f>CEILING(Warrior!$B24 / IF(Warrior!$D24&lt; 10.8, $Q$5, $Q$5 / (Warrior!$D24 / 10.8)),1)</f>
        <v>5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3</v>
      </c>
      <c r="AA24" s="1">
        <f>CEILING(Elf!$B24 / IF(Elf!$D24 &lt; 10.8, $AB$5, $AB$5 / (Elf!$D24 / 10.8)),1)</f>
        <v>3</v>
      </c>
      <c r="AB24" s="1">
        <f>CEILING(Beastgirl!$B24 / IF(Beastgirl!$D24&lt; 10.8, $AB$5, $AB$5 / (Beastgirl!$D24 / 10.8)),1)</f>
        <v>5</v>
      </c>
      <c r="AC24" s="1">
        <f>CEILING(Warrior!$B24 / IF(Warrior!$D24&lt; 10.8, $AB$5, $AB$5 / (Warrior!$D24 / 10.8)),1)</f>
        <v>4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6</v>
      </c>
      <c r="E25" s="1">
        <f>CEILING(Elf!$B25 / IF(Elf!$D25 &lt; 10.8, $F$5,$F$5 / (Elf!$D25 / 10.8)),1)</f>
        <v>6</v>
      </c>
      <c r="F25" s="1">
        <f>CEILING(Beastgirl!$B25 / IF(Beastgirl!$D25&lt; 10.8, $F$5, $F$5 / (Beastgirl!$D25 / 10.8)),1)</f>
        <v>11</v>
      </c>
      <c r="G25" s="1">
        <f>CEILING(Warrior!$B25 / IF(Warrior!$D25&lt; 10.8, $F$5, $F$5 / (Warrior!$D25/ 10.8)),1)</f>
        <v>8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4</v>
      </c>
      <c r="P25" s="1">
        <f>CEILING(Elf!$B25/ IF(Elf!$D25&lt; 10.8, $Q$5, $Q$5 / (Elf!$D25 / 10.8)),1)</f>
        <v>4</v>
      </c>
      <c r="Q25" s="1">
        <f>CEILING(Beastgirl!$B25 / IF(Beastgirl!$D25&lt; 10.8, $Q$5, $Q$5 / (Beastgirl!$D25 / 10.8)),1)</f>
        <v>7</v>
      </c>
      <c r="R25" s="1">
        <f>CEILING(Warrior!$B25 / IF(Warrior!$D25&lt; 10.8, $Q$5, $Q$5 / (Warrior!$D25 / 10.8)),1)</f>
        <v>5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3</v>
      </c>
      <c r="AA25" s="1">
        <f>CEILING(Elf!$B25 / IF(Elf!$D25 &lt; 10.8, $AB$5, $AB$5 / (Elf!$D25 / 10.8)),1)</f>
        <v>3</v>
      </c>
      <c r="AB25" s="1">
        <f>CEILING(Beastgirl!$B25 / IF(Beastgirl!$D25&lt; 10.8, $AB$5, $AB$5 / (Beastgirl!$D25 / 10.8)),1)</f>
        <v>6</v>
      </c>
      <c r="AC25" s="1">
        <f>CEILING(Warrior!$B25 / IF(Warrior!$D25&lt; 10.8, $AB$5, $AB$5 / (Warrior!$D25 / 10.8)),1)</f>
        <v>4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6</v>
      </c>
      <c r="E26" s="1">
        <f>CEILING(Elf!$B26 / IF(Elf!$D26 &lt; 10.8, $F$5,$F$5 / (Elf!$D26 / 10.8)),1)</f>
        <v>7</v>
      </c>
      <c r="F26" s="1">
        <f>CEILING(Beastgirl!$B26 / IF(Beastgirl!$D26&lt; 10.8, $F$5, $F$5 / (Beastgirl!$D26 / 10.8)),1)</f>
        <v>11</v>
      </c>
      <c r="G26" s="1">
        <f>CEILING(Warrior!$B26 / IF(Warrior!$D26&lt; 10.8, $F$5, $F$5 / (Warrior!$D26/ 10.8)),1)</f>
        <v>8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4</v>
      </c>
      <c r="P26" s="1">
        <f>CEILING(Elf!$B26/ IF(Elf!$D26&lt; 10.8, $Q$5, $Q$5 / (Elf!$D26 / 10.8)),1)</f>
        <v>5</v>
      </c>
      <c r="Q26" s="1">
        <f>CEILING(Beastgirl!$B26 / IF(Beastgirl!$D26&lt; 10.8, $Q$5, $Q$5 / (Beastgirl!$D26 / 10.8)),1)</f>
        <v>8</v>
      </c>
      <c r="R26" s="1">
        <f>CEILING(Warrior!$B26 / IF(Warrior!$D26&lt; 10.8, $Q$5, $Q$5 / (Warrior!$D26 / 10.8)),1)</f>
        <v>6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3</v>
      </c>
      <c r="AA26" s="1">
        <f>CEILING(Elf!$B26 / IF(Elf!$D26 &lt; 10.8, $AB$5, $AB$5 / (Elf!$D26 / 10.8)),1)</f>
        <v>4</v>
      </c>
      <c r="AB26" s="1">
        <f>CEILING(Beastgirl!$B26 / IF(Beastgirl!$D26&lt; 10.8, $AB$5, $AB$5 / (Beastgirl!$D26 / 10.8)),1)</f>
        <v>6</v>
      </c>
      <c r="AC26" s="1">
        <f>CEILING(Warrior!$B26 / IF(Warrior!$D26&lt; 10.8, $AB$5, $AB$5 / (Warrior!$D26 / 10.8)),1)</f>
        <v>4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9</v>
      </c>
      <c r="E27" s="1">
        <f>CEILING(Elf!$B27 / IF(Elf!$D27 &lt; 10.8, $F$5,$F$5 / (Elf!$D27 / 10.8)),1)</f>
        <v>10</v>
      </c>
      <c r="F27" s="1">
        <f>CEILING(Beastgirl!$B27 / IF(Beastgirl!$D27&lt; 10.8, $F$5, $F$5 / (Beastgirl!$D27 / 10.8)),1)</f>
        <v>16</v>
      </c>
      <c r="G27" s="1">
        <f>CEILING(Warrior!$B27 / IF(Warrior!$D27&lt; 10.8, $F$5, $F$5 / (Warrior!$D27/ 10.8)),1)</f>
        <v>11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6</v>
      </c>
      <c r="P27" s="1">
        <f>CEILING(Elf!$B27/ IF(Elf!$D27&lt; 10.8, $Q$5, $Q$5 / (Elf!$D27 / 10.8)),1)</f>
        <v>7</v>
      </c>
      <c r="Q27" s="1">
        <f>CEILING(Beastgirl!$B27 / IF(Beastgirl!$D27&lt; 10.8, $Q$5, $Q$5 / (Beastgirl!$D27 / 10.8)),1)</f>
        <v>11</v>
      </c>
      <c r="R27" s="1">
        <f>CEILING(Warrior!$B27 / IF(Warrior!$D27&lt; 10.8, $Q$5, $Q$5 / (Warrior!$D27 / 10.8)),1)</f>
        <v>8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5</v>
      </c>
      <c r="AA27" s="1">
        <f>CEILING(Elf!$B27 / IF(Elf!$D27 &lt; 10.8, $AB$5, $AB$5 / (Elf!$D27 / 10.8)),1)</f>
        <v>5</v>
      </c>
      <c r="AB27" s="1">
        <f>CEILING(Beastgirl!$B27 / IF(Beastgirl!$D27&lt; 10.8, $AB$5, $AB$5 / (Beastgirl!$D27 / 10.8)),1)</f>
        <v>8</v>
      </c>
      <c r="AC27" s="1">
        <f>CEILING(Warrior!$B27 / IF(Warrior!$D27&lt; 10.8, $AB$5, $AB$5 / (Warrior!$D27 / 10.8)),1)</f>
        <v>6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9</v>
      </c>
      <c r="E28" s="1">
        <f>CEILING(Elf!$B28 / IF(Elf!$D28 &lt; 10.8, $F$5,$F$5 / (Elf!$D28 / 10.8)),1)</f>
        <v>10</v>
      </c>
      <c r="F28" s="1">
        <f>CEILING(Beastgirl!$B28 / IF(Beastgirl!$D28&lt; 10.8, $F$5, $F$5 / (Beastgirl!$D28 / 10.8)),1)</f>
        <v>17</v>
      </c>
      <c r="G28" s="1">
        <f>CEILING(Warrior!$B28 / IF(Warrior!$D28&lt; 10.8, $F$5, $F$5 / (Warrior!$D28/ 10.8)),1)</f>
        <v>12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6</v>
      </c>
      <c r="P28" s="1">
        <f>CEILING(Elf!$B28/ IF(Elf!$D28&lt; 10.8, $Q$5, $Q$5 / (Elf!$D28 / 10.8)),1)</f>
        <v>7</v>
      </c>
      <c r="Q28" s="1">
        <f>CEILING(Beastgirl!$B28 / IF(Beastgirl!$D28&lt; 10.8, $Q$5, $Q$5 / (Beastgirl!$D28 / 10.8)),1)</f>
        <v>12</v>
      </c>
      <c r="R28" s="1">
        <f>CEILING(Warrior!$B28 / IF(Warrior!$D28&lt; 10.8, $Q$5, $Q$5 / (Warrior!$D28 / 10.8)),1)</f>
        <v>8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5</v>
      </c>
      <c r="AA28" s="1">
        <f>CEILING(Elf!$B28 / IF(Elf!$D28 &lt; 10.8, $AB$5, $AB$5 / (Elf!$D28 / 10.8)),1)</f>
        <v>5</v>
      </c>
      <c r="AB28" s="1">
        <f>CEILING(Beastgirl!$B28 / IF(Beastgirl!$D28&lt; 10.8, $AB$5, $AB$5 / (Beastgirl!$D28 / 10.8)),1)</f>
        <v>9</v>
      </c>
      <c r="AC28" s="1">
        <f>CEILING(Warrior!$B28 / IF(Warrior!$D28&lt; 10.8, $AB$5, $AB$5 / (Warrior!$D28 / 10.8)),1)</f>
        <v>6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10</v>
      </c>
      <c r="E29" s="1">
        <f>CEILING(Elf!$B29 / IF(Elf!$D29 &lt; 10.8, $F$5,$F$5 / (Elf!$D29 / 10.8)),1)</f>
        <v>11</v>
      </c>
      <c r="F29" s="1">
        <f>CEILING(Beastgirl!$B29 / IF(Beastgirl!$D29&lt; 10.8, $F$5, $F$5 / (Beastgirl!$D29 / 10.8)),1)</f>
        <v>18</v>
      </c>
      <c r="G29" s="1">
        <f>CEILING(Warrior!$B29 / IF(Warrior!$D29&lt; 10.8, $F$5, $F$5 / (Warrior!$D29/ 10.8)),1)</f>
        <v>13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7</v>
      </c>
      <c r="P29" s="1">
        <f>CEILING(Elf!$B29/ IF(Elf!$D29&lt; 10.8, $Q$5, $Q$5 / (Elf!$D29 / 10.8)),1)</f>
        <v>8</v>
      </c>
      <c r="Q29" s="1">
        <f>CEILING(Beastgirl!$B29 / IF(Beastgirl!$D29&lt; 10.8, $Q$5, $Q$5 / (Beastgirl!$D29 / 10.8)),1)</f>
        <v>12</v>
      </c>
      <c r="R29" s="1">
        <f>CEILING(Warrior!$B29 / IF(Warrior!$D29&lt; 10.8, $Q$5, $Q$5 / (Warrior!$D29 / 10.8)),1)</f>
        <v>9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5</v>
      </c>
      <c r="AA29" s="1">
        <f>CEILING(Elf!$B29 / IF(Elf!$D29 &lt; 10.8, $AB$5, $AB$5 / (Elf!$D29 / 10.8)),1)</f>
        <v>6</v>
      </c>
      <c r="AB29" s="1">
        <f>CEILING(Beastgirl!$B29 / IF(Beastgirl!$D29&lt; 10.8, $AB$5, $AB$5 / (Beastgirl!$D29 / 10.8)),1)</f>
        <v>9</v>
      </c>
      <c r="AC29" s="1">
        <f>CEILING(Warrior!$B29 / IF(Warrior!$D29&lt; 10.8, $AB$5, $AB$5 / (Warrior!$D29 / 10.8)),1)</f>
        <v>7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11</v>
      </c>
      <c r="E30" s="1">
        <f>CEILING(Elf!$B30 / IF(Elf!$D30 &lt; 10.8, $F$5,$F$5 / (Elf!$D30 / 10.8)),1)</f>
        <v>12</v>
      </c>
      <c r="F30" s="1">
        <f>CEILING(Beastgirl!$B30 / IF(Beastgirl!$D30&lt; 10.8, $F$5, $F$5 / (Beastgirl!$D30 / 10.8)),1)</f>
        <v>19</v>
      </c>
      <c r="G30" s="1">
        <f>CEILING(Warrior!$B30 / IF(Warrior!$D30&lt; 10.8, $F$5, $F$5 / (Warrior!$D30/ 10.8)),1)</f>
        <v>14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7</v>
      </c>
      <c r="P30" s="1">
        <f>CEILING(Elf!$B30/ IF(Elf!$D30&lt; 10.8, $Q$5, $Q$5 / (Elf!$D30 / 10.8)),1)</f>
        <v>8</v>
      </c>
      <c r="Q30" s="1">
        <f>CEILING(Beastgirl!$B30 / IF(Beastgirl!$D30&lt; 10.8, $Q$5, $Q$5 / (Beastgirl!$D30 / 10.8)),1)</f>
        <v>13</v>
      </c>
      <c r="R30" s="1">
        <f>CEILING(Warrior!$B30 / IF(Warrior!$D30&lt; 10.8, $Q$5, $Q$5 / (Warrior!$D30 / 10.8)),1)</f>
        <v>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6</v>
      </c>
      <c r="AA30" s="1">
        <f>CEILING(Elf!$B30 / IF(Elf!$D30 &lt; 10.8, $AB$5, $AB$5 / (Elf!$D30 / 10.8)),1)</f>
        <v>6</v>
      </c>
      <c r="AB30" s="1">
        <f>CEILING(Beastgirl!$B30 / IF(Beastgirl!$D30&lt; 10.8, $AB$5, $AB$5 / (Beastgirl!$D30 / 10.8)),1)</f>
        <v>10</v>
      </c>
      <c r="AC30" s="1">
        <f>CEILING(Warrior!$B30 / IF(Warrior!$D30&lt; 10.8, $AB$5, $AB$5 / (Warrior!$D30 / 10.8)),1)</f>
        <v>7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11</v>
      </c>
      <c r="E31" s="1">
        <f>CEILING(Elf!$B31 / IF(Elf!$D31 &lt; 10.8, $F$5,$F$5 / (Elf!$D31 / 10.8)),1)</f>
        <v>13</v>
      </c>
      <c r="F31" s="1">
        <f>CEILING(Beastgirl!$B31 / IF(Beastgirl!$D31&lt; 10.8, $F$5, $F$5 / (Beastgirl!$D31 / 10.8)),1)</f>
        <v>21</v>
      </c>
      <c r="G31" s="1">
        <f>CEILING(Warrior!$B31 / IF(Warrior!$D31&lt; 10.8, $F$5, $F$5 / (Warrior!$D31/ 10.8)),1)</f>
        <v>15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8</v>
      </c>
      <c r="P31" s="1">
        <f>CEILING(Elf!$B31/ IF(Elf!$D31&lt; 10.8, $Q$5, $Q$5 / (Elf!$D31 / 10.8)),1)</f>
        <v>9</v>
      </c>
      <c r="Q31" s="1">
        <f>CEILING(Beastgirl!$B31 / IF(Beastgirl!$D31&lt; 10.8, $Q$5, $Q$5 / (Beastgirl!$D31 / 10.8)),1)</f>
        <v>14</v>
      </c>
      <c r="R31" s="1">
        <f>CEILING(Warrior!$B31 / IF(Warrior!$D31&lt; 10.8, $Q$5, $Q$5 / (Warrior!$D31 / 10.8)),1)</f>
        <v>10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6</v>
      </c>
      <c r="AA31" s="1">
        <f>CEILING(Elf!$B31 / IF(Elf!$D31 &lt; 10.8, $AB$5, $AB$5 / (Elf!$D31 / 10.8)),1)</f>
        <v>7</v>
      </c>
      <c r="AB31" s="1">
        <f>CEILING(Beastgirl!$B31 / IF(Beastgirl!$D31&lt; 10.8, $AB$5, $AB$5 / (Beastgirl!$D31 / 10.8)),1)</f>
        <v>11</v>
      </c>
      <c r="AC31" s="1">
        <f>CEILING(Warrior!$B31 / IF(Warrior!$D31&lt; 10.8, $AB$5, $AB$5 / (Warrior!$D31 / 10.8)),1)</f>
        <v>8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12</v>
      </c>
      <c r="E32" s="1">
        <f>CEILING(Elf!$B32 / IF(Elf!$D32 &lt; 10.8, $F$5,$F$5 / (Elf!$D32 / 10.8)),1)</f>
        <v>13</v>
      </c>
      <c r="F32" s="1">
        <f>CEILING(Beastgirl!$B32 / IF(Beastgirl!$D32&lt; 10.8, $F$5, $F$5 / (Beastgirl!$D32 / 10.8)),1)</f>
        <v>22</v>
      </c>
      <c r="G32" s="1">
        <f>CEILING(Warrior!$B32 / IF(Warrior!$D32&lt; 10.8, $F$5, $F$5 / (Warrior!$D32/ 10.8)),1)</f>
        <v>16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8</v>
      </c>
      <c r="P32" s="1">
        <f>CEILING(Elf!$B32/ IF(Elf!$D32&lt; 10.8, $Q$5, $Q$5 / (Elf!$D32 / 10.8)),1)</f>
        <v>9</v>
      </c>
      <c r="Q32" s="1">
        <f>CEILING(Beastgirl!$B32 / IF(Beastgirl!$D32&lt; 10.8, $Q$5, $Q$5 / (Beastgirl!$D32 / 10.8)),1)</f>
        <v>15</v>
      </c>
      <c r="R32" s="1">
        <f>CEILING(Warrior!$B32 / IF(Warrior!$D32&lt; 10.8, $Q$5, $Q$5 / (Warrior!$D32 / 10.8)),1)</f>
        <v>11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6</v>
      </c>
      <c r="AA32" s="1">
        <f>CEILING(Elf!$B32 / IF(Elf!$D32 &lt; 10.8, $AB$5, $AB$5 / (Elf!$D32 / 10.8)),1)</f>
        <v>7</v>
      </c>
      <c r="AB32" s="1">
        <f>CEILING(Beastgirl!$B32 / IF(Beastgirl!$D32&lt; 10.8, $AB$5, $AB$5 / (Beastgirl!$D32 / 10.8)),1)</f>
        <v>11</v>
      </c>
      <c r="AC32" s="1">
        <f>CEILING(Warrior!$B32 / IF(Warrior!$D32&lt; 10.8, $AB$5, $AB$5 / (Warrior!$D32 / 10.8)),1)</f>
        <v>8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62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62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62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5</v>
      </c>
      <c r="E36" s="1">
        <f>CEILING(Elf!$B23 / IF(Elf!$D23&lt; 10.8, $F$6,$F$6 / (Elf!$D23 / 10.8)),1)</f>
        <v>5</v>
      </c>
      <c r="F36" s="1">
        <f>CEILING(Beastgirl!$B23 / IF(Beastgirl!$D23&lt; 10.8, $F$6, $F$6 / (Beastgirl!$D23 / 10.8)),1)</f>
        <v>9</v>
      </c>
      <c r="G36" s="1">
        <f>CEILING(Warrior!$B23 / IF(Warrior!$D23&lt; 10.8, $F$6, $F$6 / (Warrior!$D23 / 10.8)),1)</f>
        <v>6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3</v>
      </c>
      <c r="P36" s="1">
        <f>CEILING(Elf!$B23/ IF(Elf!$D23 &lt; 10.8, $Q$6, $Q$6 / (Elf!$D23 / 10.8)),1)</f>
        <v>4</v>
      </c>
      <c r="Q36" s="1">
        <f>CEILING(Beastgirl!$B23/ IF(Beastgirl!$D23&lt; 10.8, $Q$6, $Q$6 / (Beastgirl!$D23/ 10.8)),1)</f>
        <v>6</v>
      </c>
      <c r="R36" s="1">
        <f>CEILING(Warrior!$B23 / IF(Warrior!$D23&lt; 10.8, $Q$6, $Q$6 / (Warrior!$D23/ 10.8)),1)</f>
        <v>4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3</v>
      </c>
      <c r="AA36" s="1">
        <f>CEILING(Elf!$B23 / IF(Elf!$D23 &lt; 10.8, $AB$6, $AB$6 / (Elf!$D23 / 10.8)),1)</f>
        <v>3</v>
      </c>
      <c r="AB36" s="1">
        <f>CEILING(Beastgirl!$B23 / IF(Beastgirl!$D23&lt; 10.8, $AB$6, $AB$6 / (Beastgirl!$D23/ 10.8)),1)</f>
        <v>5</v>
      </c>
      <c r="AC36" s="1">
        <f>CEILING(Warrior!$B23 / IF(Warrior!$D23&lt; 10.8, $AB$6, $AB$6 / (Warrior!$D23 / 10.8)),1)</f>
        <v>3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5</v>
      </c>
      <c r="E37" s="1">
        <f>CEILING(Elf!$B24 / IF(Elf!$D24&lt; 10.8, $F$6,$F$6 / (Elf!$D24 / 10.8)),1)</f>
        <v>6</v>
      </c>
      <c r="F37" s="1">
        <f>CEILING(Beastgirl!$B24 / IF(Beastgirl!$D24&lt; 10.8, $F$6, $F$6 / (Beastgirl!$D24 / 10.8)),1)</f>
        <v>10</v>
      </c>
      <c r="G37" s="1">
        <f>CEILING(Warrior!$B24 / IF(Warrior!$D24&lt; 10.8, $F$6, $F$6 / (Warrior!$D24 / 10.8)),1)</f>
        <v>7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4</v>
      </c>
      <c r="P37" s="1">
        <f>CEILING(Elf!$B24/ IF(Elf!$D24 &lt; 10.8, $Q$6, $Q$6 / (Elf!$D24 / 10.8)),1)</f>
        <v>4</v>
      </c>
      <c r="Q37" s="1">
        <f>CEILING(Beastgirl!$B24/ IF(Beastgirl!$D24&lt; 10.8, $Q$6, $Q$6 / (Beastgirl!$D24/ 10.8)),1)</f>
        <v>7</v>
      </c>
      <c r="R37" s="1">
        <f>CEILING(Warrior!$B24 / IF(Warrior!$D24&lt; 10.8, $Q$6, $Q$6 / (Warrior!$D24/ 10.8)),1)</f>
        <v>5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3</v>
      </c>
      <c r="AA37" s="1">
        <f>CEILING(Elf!$B24 / IF(Elf!$D24 &lt; 10.8, $AB$6, $AB$6 / (Elf!$D24 / 10.8)),1)</f>
        <v>3</v>
      </c>
      <c r="AB37" s="1">
        <f>CEILING(Beastgirl!$B24 / IF(Beastgirl!$D24&lt; 10.8, $AB$6, $AB$6 / (Beastgirl!$D24/ 10.8)),1)</f>
        <v>5</v>
      </c>
      <c r="AC37" s="1">
        <f>CEILING(Warrior!$B24 / IF(Warrior!$D24&lt; 10.8, $AB$6, $AB$6 / (Warrior!$D24 / 10.8)),1)</f>
        <v>4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6</v>
      </c>
      <c r="E38" s="1">
        <f>CEILING(Elf!$B25 / IF(Elf!$D25&lt; 10.8, $F$6,$F$6 / (Elf!$D25 / 10.8)),1)</f>
        <v>6</v>
      </c>
      <c r="F38" s="1">
        <f>CEILING(Beastgirl!$B25 / IF(Beastgirl!$D25&lt; 10.8, $F$6, $F$6 / (Beastgirl!$D25 / 10.8)),1)</f>
        <v>10</v>
      </c>
      <c r="G38" s="1">
        <f>CEILING(Warrior!$B25 / IF(Warrior!$D25&lt; 10.8, $F$6, $F$6 / (Warrior!$D25 / 10.8)),1)</f>
        <v>7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4</v>
      </c>
      <c r="P38" s="1">
        <f>CEILING(Elf!$B25/ IF(Elf!$D25 &lt; 10.8, $Q$6, $Q$6 / (Elf!$D25 / 10.8)),1)</f>
        <v>4</v>
      </c>
      <c r="Q38" s="1">
        <f>CEILING(Beastgirl!$B25/ IF(Beastgirl!$D25&lt; 10.8, $Q$6, $Q$6 / (Beastgirl!$D25/ 10.8)),1)</f>
        <v>7</v>
      </c>
      <c r="R38" s="1">
        <f>CEILING(Warrior!$B25 / IF(Warrior!$D25&lt; 10.8, $Q$6, $Q$6 / (Warrior!$D25/ 10.8)),1)</f>
        <v>5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3</v>
      </c>
      <c r="AA38" s="1">
        <f>CEILING(Elf!$B25 / IF(Elf!$D25 &lt; 10.8, $AB$6, $AB$6 / (Elf!$D25 / 10.8)),1)</f>
        <v>3</v>
      </c>
      <c r="AB38" s="1">
        <f>CEILING(Beastgirl!$B25 / IF(Beastgirl!$D25&lt; 10.8, $AB$6, $AB$6 / (Beastgirl!$D25/ 10.8)),1)</f>
        <v>5</v>
      </c>
      <c r="AC38" s="1">
        <f>CEILING(Warrior!$B25 / IF(Warrior!$D25&lt; 10.8, $AB$6, $AB$6 / (Warrior!$D25 / 10.8)),1)</f>
        <v>4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6</v>
      </c>
      <c r="E39" s="1">
        <f>CEILING(Elf!$B26 / IF(Elf!$D26&lt; 10.8, $F$6,$F$6 / (Elf!$D26 / 10.8)),1)</f>
        <v>7</v>
      </c>
      <c r="F39" s="1">
        <f>CEILING(Beastgirl!$B26 / IF(Beastgirl!$D26&lt; 10.8, $F$6, $F$6 / (Beastgirl!$D26 / 10.8)),1)</f>
        <v>11</v>
      </c>
      <c r="G39" s="1">
        <f>CEILING(Warrior!$B26 / IF(Warrior!$D26&lt; 10.8, $F$6, $F$6 / (Warrior!$D26 / 10.8)),1)</f>
        <v>8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4</v>
      </c>
      <c r="P39" s="1">
        <f>CEILING(Elf!$B26/ IF(Elf!$D26 &lt; 10.8, $Q$6, $Q$6 / (Elf!$D26 / 10.8)),1)</f>
        <v>5</v>
      </c>
      <c r="Q39" s="1">
        <f>CEILING(Beastgirl!$B26/ IF(Beastgirl!$D26&lt; 10.8, $Q$6, $Q$6 / (Beastgirl!$D26/ 10.8)),1)</f>
        <v>8</v>
      </c>
      <c r="R39" s="1">
        <f>CEILING(Warrior!$B26 / IF(Warrior!$D26&lt; 10.8, $Q$6, $Q$6 / (Warrior!$D26/ 10.8)),1)</f>
        <v>5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3</v>
      </c>
      <c r="AA39" s="1">
        <f>CEILING(Elf!$B26 / IF(Elf!$D26 &lt; 10.8, $AB$6, $AB$6 / (Elf!$D26 / 10.8)),1)</f>
        <v>4</v>
      </c>
      <c r="AB39" s="1">
        <f>CEILING(Beastgirl!$B26 / IF(Beastgirl!$D26&lt; 10.8, $AB$6, $AB$6 / (Beastgirl!$D26/ 10.8)),1)</f>
        <v>6</v>
      </c>
      <c r="AC39" s="1">
        <f>CEILING(Warrior!$B26 / IF(Warrior!$D26&lt; 10.8, $AB$6, $AB$6 / (Warrior!$D26 / 10.8)),1)</f>
        <v>4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9</v>
      </c>
      <c r="E40" s="1">
        <f>CEILING(Elf!$B27 / IF(Elf!$D27&lt; 10.8, $F$6,$F$6 / (Elf!$D27 / 10.8)),1)</f>
        <v>9</v>
      </c>
      <c r="F40" s="1">
        <f>CEILING(Beastgirl!$B27 / IF(Beastgirl!$D27&lt; 10.8, $F$6, $F$6 / (Beastgirl!$D27 / 10.8)),1)</f>
        <v>16</v>
      </c>
      <c r="G40" s="1">
        <f>CEILING(Warrior!$B27 / IF(Warrior!$D27&lt; 10.8, $F$6, $F$6 / (Warrior!$D27 / 10.8)),1)</f>
        <v>11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6</v>
      </c>
      <c r="P40" s="1">
        <f>CEILING(Elf!$B27/ IF(Elf!$D27 &lt; 10.8, $Q$6, $Q$6 / (Elf!$D27 / 10.8)),1)</f>
        <v>6</v>
      </c>
      <c r="Q40" s="1">
        <f>CEILING(Beastgirl!$B27/ IF(Beastgirl!$D27&lt; 10.8, $Q$6, $Q$6 / (Beastgirl!$D27/ 10.8)),1)</f>
        <v>11</v>
      </c>
      <c r="R40" s="1">
        <f>CEILING(Warrior!$B27 / IF(Warrior!$D27&lt; 10.8, $Q$6, $Q$6 / (Warrior!$D27/ 10.8)),1)</f>
        <v>8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5</v>
      </c>
      <c r="AA40" s="1">
        <f>CEILING(Elf!$B27 / IF(Elf!$D27 &lt; 10.8, $AB$6, $AB$6 / (Elf!$D27 / 10.8)),1)</f>
        <v>5</v>
      </c>
      <c r="AB40" s="1">
        <f>CEILING(Beastgirl!$B27 / IF(Beastgirl!$D27&lt; 10.8, $AB$6, $AB$6 / (Beastgirl!$D27/ 10.8)),1)</f>
        <v>8</v>
      </c>
      <c r="AC40" s="1">
        <f>CEILING(Warrior!$B27 / IF(Warrior!$D27&lt; 10.8, $AB$6, $AB$6 / (Warrior!$D27 / 10.8)),1)</f>
        <v>6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9</v>
      </c>
      <c r="E41" s="1">
        <f>CEILING(Elf!$B28 / IF(Elf!$D28&lt; 10.8, $F$6,$F$6 / (Elf!$D28 / 10.8)),1)</f>
        <v>10</v>
      </c>
      <c r="F41" s="1">
        <f>CEILING(Beastgirl!$B28 / IF(Beastgirl!$D28&lt; 10.8, $F$6, $F$6 / (Beastgirl!$D28 / 10.8)),1)</f>
        <v>17</v>
      </c>
      <c r="G41" s="1">
        <f>CEILING(Warrior!$B28 / IF(Warrior!$D28&lt; 10.8, $F$6, $F$6 / (Warrior!$D28 / 10.8)),1)</f>
        <v>12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6</v>
      </c>
      <c r="P41" s="1">
        <f>CEILING(Elf!$B28/ IF(Elf!$D28 &lt; 10.8, $Q$6, $Q$6 / (Elf!$D28 / 10.8)),1)</f>
        <v>7</v>
      </c>
      <c r="Q41" s="1">
        <f>CEILING(Beastgirl!$B28/ IF(Beastgirl!$D28&lt; 10.8, $Q$6, $Q$6 / (Beastgirl!$D28/ 10.8)),1)</f>
        <v>11</v>
      </c>
      <c r="R41" s="1">
        <f>CEILING(Warrior!$B28 / IF(Warrior!$D28&lt; 10.8, $Q$6, $Q$6 / (Warrior!$D28/ 10.8)),1)</f>
        <v>8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5</v>
      </c>
      <c r="AA41" s="1">
        <f>CEILING(Elf!$B28 / IF(Elf!$D28 &lt; 10.8, $AB$6, $AB$6 / (Elf!$D28 / 10.8)),1)</f>
        <v>5</v>
      </c>
      <c r="AB41" s="1">
        <f>CEILING(Beastgirl!$B28 / IF(Beastgirl!$D28&lt; 10.8, $AB$6, $AB$6 / (Beastgirl!$D28/ 10.8)),1)</f>
        <v>9</v>
      </c>
      <c r="AC41" s="1">
        <f>CEILING(Warrior!$B28 / IF(Warrior!$D28&lt; 10.8, $AB$6, $AB$6 / (Warrior!$D28 / 10.8)),1)</f>
        <v>6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10</v>
      </c>
      <c r="E42" s="1">
        <f>CEILING(Elf!$B29 / IF(Elf!$D29&lt; 10.8, $F$6,$F$6 / (Elf!$D29 / 10.8)),1)</f>
        <v>11</v>
      </c>
      <c r="F42" s="1">
        <f>CEILING(Beastgirl!$B29 / IF(Beastgirl!$D29&lt; 10.8, $F$6, $F$6 / (Beastgirl!$D29 / 10.8)),1)</f>
        <v>18</v>
      </c>
      <c r="G42" s="1">
        <f>CEILING(Warrior!$B29 / IF(Warrior!$D29&lt; 10.8, $F$6, $F$6 / (Warrior!$D29 / 10.8)),1)</f>
        <v>13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7</v>
      </c>
      <c r="P42" s="1">
        <f>CEILING(Elf!$B29/ IF(Elf!$D29 &lt; 10.8, $Q$6, $Q$6 / (Elf!$D29 / 10.8)),1)</f>
        <v>7</v>
      </c>
      <c r="Q42" s="1">
        <f>CEILING(Beastgirl!$B29/ IF(Beastgirl!$D29&lt; 10.8, $Q$6, $Q$6 / (Beastgirl!$D29/ 10.8)),1)</f>
        <v>12</v>
      </c>
      <c r="R42" s="1">
        <f>CEILING(Warrior!$B29 / IF(Warrior!$D29&lt; 10.8, $Q$6, $Q$6 / (Warrior!$D29/ 10.8)),1)</f>
        <v>9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5</v>
      </c>
      <c r="AA42" s="1">
        <f>CEILING(Elf!$B29 / IF(Elf!$D29 &lt; 10.8, $AB$6, $AB$6 / (Elf!$D29 / 10.8)),1)</f>
        <v>6</v>
      </c>
      <c r="AB42" s="1">
        <f>CEILING(Beastgirl!$B29 / IF(Beastgirl!$D29&lt; 10.8, $AB$6, $AB$6 / (Beastgirl!$D29/ 10.8)),1)</f>
        <v>9</v>
      </c>
      <c r="AC42" s="1">
        <f>CEILING(Warrior!$B29 / IF(Warrior!$D29&lt; 10.8, $AB$6, $AB$6 / (Warrior!$D29 / 10.8)),1)</f>
        <v>7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10</v>
      </c>
      <c r="E43" s="1">
        <f>CEILING(Elf!$B30 / IF(Elf!$D30&lt; 10.8, $F$6,$F$6 / (Elf!$D30 / 10.8)),1)</f>
        <v>11</v>
      </c>
      <c r="F43" s="1">
        <f>CEILING(Beastgirl!$B30 / IF(Beastgirl!$D30&lt; 10.8, $F$6, $F$6 / (Beastgirl!$D30 / 10.8)),1)</f>
        <v>19</v>
      </c>
      <c r="G43" s="1">
        <f>CEILING(Warrior!$B30 / IF(Warrior!$D30&lt; 10.8, $F$6, $F$6 / (Warrior!$D30 / 10.8)),1)</f>
        <v>13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7</v>
      </c>
      <c r="P43" s="1">
        <f>CEILING(Elf!$B30/ IF(Elf!$D30 &lt; 10.8, $Q$6, $Q$6 / (Elf!$D30 / 10.8)),1)</f>
        <v>8</v>
      </c>
      <c r="Q43" s="1">
        <f>CEILING(Beastgirl!$B30/ IF(Beastgirl!$D30&lt; 10.8, $Q$6, $Q$6 / (Beastgirl!$D30/ 10.8)),1)</f>
        <v>13</v>
      </c>
      <c r="R43" s="1">
        <f>CEILING(Warrior!$B30 / IF(Warrior!$D30&lt; 10.8, $Q$6, $Q$6 / (Warrior!$D30/ 10.8)),1)</f>
        <v>9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5</v>
      </c>
      <c r="AA43" s="1">
        <f>CEILING(Elf!$B30 / IF(Elf!$D30 &lt; 10.8, $AB$6, $AB$6 / (Elf!$D30 / 10.8)),1)</f>
        <v>6</v>
      </c>
      <c r="AB43" s="1">
        <f>CEILING(Beastgirl!$B30 / IF(Beastgirl!$D30&lt; 10.8, $AB$6, $AB$6 / (Beastgirl!$D30/ 10.8)),1)</f>
        <v>10</v>
      </c>
      <c r="AC43" s="1">
        <f>CEILING(Warrior!$B30 / IF(Warrior!$D30&lt; 10.8, $AB$6, $AB$6 / (Warrior!$D30 / 10.8)),1)</f>
        <v>7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11</v>
      </c>
      <c r="E44" s="1">
        <f>CEILING(Elf!$B31 / IF(Elf!$D31&lt; 10.8, $F$6,$F$6 / (Elf!$D31 / 10.8)),1)</f>
        <v>12</v>
      </c>
      <c r="F44" s="1">
        <f>CEILING(Beastgirl!$B31 / IF(Beastgirl!$D31&lt; 10.8, $F$6, $F$6 / (Beastgirl!$D31 / 10.8)),1)</f>
        <v>20</v>
      </c>
      <c r="G44" s="1">
        <f>CEILING(Warrior!$B31 / IF(Warrior!$D31&lt; 10.8, $F$6, $F$6 / (Warrior!$D31 / 10.8)),1)</f>
        <v>14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8</v>
      </c>
      <c r="P44" s="1">
        <f>CEILING(Elf!$B31/ IF(Elf!$D31 &lt; 10.8, $Q$6, $Q$6 / (Elf!$D31 / 10.8)),1)</f>
        <v>8</v>
      </c>
      <c r="Q44" s="1">
        <f>CEILING(Beastgirl!$B31/ IF(Beastgirl!$D31&lt; 10.8, $Q$6, $Q$6 / (Beastgirl!$D31/ 10.8)),1)</f>
        <v>14</v>
      </c>
      <c r="R44" s="1">
        <f>CEILING(Warrior!$B31 / IF(Warrior!$D31&lt; 10.8, $Q$6, $Q$6 / (Warrior!$D31/ 10.8)),1)</f>
        <v>10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6</v>
      </c>
      <c r="AA44" s="1">
        <f>CEILING(Elf!$B31 / IF(Elf!$D31 &lt; 10.8, $AB$6, $AB$6 / (Elf!$D31 / 10.8)),1)</f>
        <v>6</v>
      </c>
      <c r="AB44" s="1">
        <f>CEILING(Beastgirl!$B31 / IF(Beastgirl!$D31&lt; 10.8, $AB$6, $AB$6 / (Beastgirl!$D31/ 10.8)),1)</f>
        <v>10</v>
      </c>
      <c r="AC44" s="1">
        <f>CEILING(Warrior!$B31 / IF(Warrior!$D31&lt; 10.8, $AB$6, $AB$6 / (Warrior!$D31 / 10.8)),1)</f>
        <v>7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12</v>
      </c>
      <c r="E45" s="1">
        <f>CEILING(Elf!$B32 / IF(Elf!$D32&lt; 10.8, $F$6,$F$6 / (Elf!$D32 / 10.8)),1)</f>
        <v>13</v>
      </c>
      <c r="F45" s="1">
        <f>CEILING(Beastgirl!$B32 / IF(Beastgirl!$D32&lt; 10.8, $F$6, $F$6 / (Beastgirl!$D32 / 10.8)),1)</f>
        <v>21</v>
      </c>
      <c r="G45" s="1">
        <f>CEILING(Warrior!$B32 / IF(Warrior!$D32&lt; 10.8, $F$6, $F$6 / (Warrior!$D32 / 10.8)),1)</f>
        <v>15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8</v>
      </c>
      <c r="P45" s="1">
        <f>CEILING(Elf!$B32/ IF(Elf!$D32 &lt; 10.8, $Q$6, $Q$6 / (Elf!$D32 / 10.8)),1)</f>
        <v>9</v>
      </c>
      <c r="Q45" s="1">
        <f>CEILING(Beastgirl!$B32/ IF(Beastgirl!$D32&lt; 10.8, $Q$6, $Q$6 / (Beastgirl!$D32/ 10.8)),1)</f>
        <v>14</v>
      </c>
      <c r="R45" s="1">
        <f>CEILING(Warrior!$B32 / IF(Warrior!$D32&lt; 10.8, $Q$6, $Q$6 / (Warrior!$D32/ 10.8)),1)</f>
        <v>10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6</v>
      </c>
      <c r="AA45" s="1">
        <f>CEILING(Elf!$B32 / IF(Elf!$D32 &lt; 10.8, $AB$6, $AB$6 / (Elf!$D32 / 10.8)),1)</f>
        <v>7</v>
      </c>
      <c r="AB45" s="1">
        <f>CEILING(Beastgirl!$B32 / IF(Beastgirl!$D32&lt; 10.8, $AB$6, $AB$6 / (Beastgirl!$D32/ 10.8)),1)</f>
        <v>11</v>
      </c>
      <c r="AC45" s="1">
        <f>CEILING(Warrior!$B32 / IF(Warrior!$D32&lt; 10.8, $AB$6, $AB$6 / (Warrior!$D32 / 10.8)),1)</f>
        <v>8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21:G21"/>
    <mergeCell ref="N21:R21"/>
    <mergeCell ref="Y21:AC21"/>
    <mergeCell ref="C34:G34"/>
    <mergeCell ref="N34:R34"/>
    <mergeCell ref="Y34:AC34"/>
    <mergeCell ref="A1:K1"/>
    <mergeCell ref="L1:V1"/>
    <mergeCell ref="W1:AF1"/>
    <mergeCell ref="C8:G8"/>
    <mergeCell ref="N8:R8"/>
    <mergeCell ref="Y8:AC8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E8BD-9342-42B9-9B8B-6DC257500A77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777343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10</v>
      </c>
      <c r="C3" s="1"/>
      <c r="D3" s="1">
        <v>8</v>
      </c>
      <c r="E3" s="1">
        <v>8</v>
      </c>
      <c r="F3" s="1">
        <v>12</v>
      </c>
      <c r="G3" s="1">
        <v>8</v>
      </c>
      <c r="H3" s="1">
        <v>6</v>
      </c>
      <c r="I3" s="1">
        <v>180</v>
      </c>
      <c r="J3" s="1">
        <v>59</v>
      </c>
      <c r="K3" s="1"/>
      <c r="L3" s="4">
        <v>1</v>
      </c>
      <c r="M3" s="1">
        <f>Table596183195207219[[#This Row],[HP]] * 1.5</f>
        <v>15</v>
      </c>
      <c r="N3" s="1"/>
      <c r="O3" s="1">
        <f>Table596183195207219[[#This Row],[DEF]] * 1.5</f>
        <v>12</v>
      </c>
      <c r="P3" s="1">
        <f>Table596183195207219[[#This Row],[AGI]] * 1.5</f>
        <v>12</v>
      </c>
      <c r="Q3" s="1">
        <f>Table596183195207219[[#This Row],[STR]] * 1.5</f>
        <v>18</v>
      </c>
      <c r="R3" s="1">
        <f>Table596183195207219[[#This Row],[INT]] * 1.5</f>
        <v>12</v>
      </c>
      <c r="S3" s="1">
        <f xml:space="preserve"> Table596183195207219[[#This Row],[DEX]] * 1.5</f>
        <v>9</v>
      </c>
      <c r="T3" s="1"/>
      <c r="U3" s="1"/>
      <c r="V3" s="1"/>
      <c r="W3" s="4">
        <v>1</v>
      </c>
      <c r="X3" s="1">
        <f>Table596183195207219[[#This Row],[HP]] * 2</f>
        <v>20</v>
      </c>
      <c r="Y3" s="1"/>
      <c r="Z3" s="1">
        <f>Table596183195207219[[#This Row],[DEF]] * 2</f>
        <v>16</v>
      </c>
      <c r="AA3" s="1">
        <f>Table596183195207219[[#This Row],[AGI]] * 2</f>
        <v>16</v>
      </c>
      <c r="AB3" s="1">
        <f>Table596183195207219[[#This Row],[STR]] * 2</f>
        <v>24</v>
      </c>
      <c r="AC3" s="1">
        <f>Table596183195207219[[#This Row],[INT]] * 2</f>
        <v>16</v>
      </c>
      <c r="AD3" s="1">
        <f xml:space="preserve"> Table596183195207219[[#This Row],[DEX]] * 2</f>
        <v>12</v>
      </c>
      <c r="AE3" s="1"/>
      <c r="AF3" s="1"/>
    </row>
    <row r="4" spans="1:32" x14ac:dyDescent="0.3">
      <c r="A4" s="4">
        <v>30</v>
      </c>
      <c r="B4" s="1">
        <f>$B$3 + ((Table596183195207219[[#This Row],[LV]] / 10) + $B$3 / 8) * Table596183195207219[[#This Row],[LV]]</f>
        <v>137.5</v>
      </c>
      <c r="C4" s="1"/>
      <c r="D4" s="1">
        <f>$D$3 + ($D$3 / 4) * Table596183195207219[[#This Row],[LV]]</f>
        <v>68</v>
      </c>
      <c r="E4" s="1">
        <f>$E$3 + ($E$3 / 4) * Table596183195207219[[#This Row],[LV]]</f>
        <v>68</v>
      </c>
      <c r="F4" s="1">
        <f>$F$3 + ($F$3 / 4) * Table596183195207219[[#This Row],[LV]]</f>
        <v>102</v>
      </c>
      <c r="G4" s="1">
        <f>$G$3 + ($G$3 / 4) * Table596183195207219[[#This Row],[LV]]</f>
        <v>68</v>
      </c>
      <c r="H4" s="1">
        <f>$H$3 + ($H$3 / 4) * Table596183195207219[[#This Row],[LV]]</f>
        <v>51</v>
      </c>
      <c r="I4" s="1">
        <f>$I$3 + $I$3 * Table596183195207219[[#This Row],[LV]] *25 / 100</f>
        <v>1530</v>
      </c>
      <c r="J4" s="1">
        <f>$J$3 + $J$3 * Table596183195207219[[#This Row],[LV]] * 25 / 100</f>
        <v>501.5</v>
      </c>
      <c r="K4" s="1"/>
      <c r="L4" s="4">
        <v>30</v>
      </c>
      <c r="M4" s="1">
        <f>$M$3 + ((Table5997184196208220[[#This Row],[LV]] / 10) + $M$3 / 8) * Table5997184196208220[[#This Row],[LV]]</f>
        <v>161.25</v>
      </c>
      <c r="N4" s="1"/>
      <c r="O4" s="1">
        <f>$O$3 + ($O$3 / 4) * Table5997184196208220[[#This Row],[LV]]</f>
        <v>102</v>
      </c>
      <c r="P4" s="1">
        <f>$P$3 + ($P$3 / 4) * Table5997184196208220[[#This Row],[LV]]</f>
        <v>102</v>
      </c>
      <c r="Q4" s="1">
        <f>$Q$3 + ($Q$3 / 4) * Table5997184196208220[[#This Row],[LV]]</f>
        <v>153</v>
      </c>
      <c r="R4" s="1">
        <f>$R$3 + ($R$3 / 4) * Table5997184196208220[[#This Row],[LV]]</f>
        <v>102</v>
      </c>
      <c r="S4" s="1">
        <f>$S$3 + ($S$3 / 4) * Table5997184196208220[[#This Row],[LV]]</f>
        <v>76.5</v>
      </c>
      <c r="T4" s="1">
        <f>Table596183195207219[[#This Row],[XP Given]]*1.25</f>
        <v>1912.5</v>
      </c>
      <c r="U4" s="1">
        <f>Table596183195207219[[#This Row],[Gold Given]]*1.25</f>
        <v>626.875</v>
      </c>
      <c r="V4" s="1"/>
      <c r="W4" s="4">
        <v>30</v>
      </c>
      <c r="X4" s="1">
        <f>$X$3 + ((Table591098185197209221[[#This Row],[LV]] / 10) + $X$3 / 8) * Table591098185197209221[[#This Row],[LV]]</f>
        <v>185</v>
      </c>
      <c r="Y4" s="1"/>
      <c r="Z4" s="1">
        <f>$Z$3 + ($Z$3 / 4) * Table591098185197209221[[#This Row],[LV]]</f>
        <v>136</v>
      </c>
      <c r="AA4" s="1">
        <f>$AA$3 + ($AA$3 / 4) * Table591098185197209221[[#This Row],[LV]]</f>
        <v>136</v>
      </c>
      <c r="AB4" s="1">
        <f>$AB$3 + ($AB$3 / 4) * Table591098185197209221[[#This Row],[LV]]</f>
        <v>204</v>
      </c>
      <c r="AC4" s="1">
        <f>$AC$3 + ($AC$3 / 4) * Table591098185197209221[[#This Row],[LV]]</f>
        <v>136</v>
      </c>
      <c r="AD4" s="1">
        <f>$AD$3 + ($AD$3 / 4) * Table591098185197209221[[#This Row],[LV]]</f>
        <v>102</v>
      </c>
      <c r="AE4" s="1">
        <f>Table596183195207219[[#This Row],[XP Given]]*1.5</f>
        <v>2295</v>
      </c>
      <c r="AF4" s="1">
        <f>Table596183195207219[[#This Row],[Gold Given]]*1.5</f>
        <v>752.25</v>
      </c>
    </row>
    <row r="5" spans="1:32" x14ac:dyDescent="0.3">
      <c r="K5" s="1"/>
      <c r="V5" s="1"/>
    </row>
    <row r="6" spans="1:32" ht="25.8" x14ac:dyDescent="0.3">
      <c r="C6" s="53" t="s">
        <v>63</v>
      </c>
      <c r="D6" s="53"/>
      <c r="E6" s="53"/>
      <c r="F6" s="53"/>
      <c r="G6" s="53"/>
      <c r="H6" s="7"/>
      <c r="K6" s="1"/>
      <c r="N6" s="53" t="s">
        <v>63</v>
      </c>
      <c r="O6" s="53"/>
      <c r="P6" s="53"/>
      <c r="Q6" s="53"/>
      <c r="R6" s="53"/>
      <c r="S6" s="7"/>
      <c r="T6" s="7"/>
      <c r="U6" s="7"/>
      <c r="V6" s="1"/>
      <c r="Y6" s="53" t="s">
        <v>63</v>
      </c>
      <c r="Z6" s="53"/>
      <c r="AA6" s="53"/>
      <c r="AB6" s="53"/>
      <c r="AC6" s="53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ht="25.8" x14ac:dyDescent="0.3">
      <c r="A8" s="1"/>
      <c r="B8" s="1"/>
      <c r="C8" s="1">
        <v>21</v>
      </c>
      <c r="D8" s="1">
        <f>CEILING(Demon!$B23 / IF(Demon!$D23&lt; 10.8, $F$4, $F$4 / (Demon!$D23 / 10.8)),1)</f>
        <v>4</v>
      </c>
      <c r="E8" s="1">
        <f>CEILING(Elf!$B23 / IF(Elf!$D23 &lt; 10.8, $F$4, $F$4 / (Elf!$D23 / 10.8)),1)</f>
        <v>4</v>
      </c>
      <c r="F8" s="1">
        <f>CEILING(Beastgirl!$B23/ IF(Beastgirl!$D23&lt; 10.8,$F$4, $F$4 / (Beastgirl!$D23 / 10.8)),1)</f>
        <v>7</v>
      </c>
      <c r="G8" s="1">
        <f>CEILING(Warrior!$B23/ IF(Warrior!$D23&lt; 10.8, $F$4, $F$4 / (Warrior!$D23 / 10.8)),1)</f>
        <v>5</v>
      </c>
      <c r="H8" s="1"/>
      <c r="I8" s="1"/>
      <c r="J8" s="1"/>
      <c r="L8" s="1"/>
      <c r="M8" s="1"/>
      <c r="N8" s="1">
        <v>21</v>
      </c>
      <c r="O8" s="1">
        <f>CEILING(Demon!$B23 / IF(Demon!$D23&lt; 10.8, $Q$4, $Q$4 / (Demon!$D23 / 10.8)),1)</f>
        <v>3</v>
      </c>
      <c r="P8" s="1">
        <f>CEILING(Elf!$B23 / IF(Elf!$D23 &lt; 10.8, $Q$4, $Q$4 / (Elf!$D23 / 10.8)),1)</f>
        <v>3</v>
      </c>
      <c r="Q8" s="1">
        <f>CEILING(Beastgirl!$B23 / IF(Beastgirl!$D23&lt; 10.8, $Q$4, $Q$4 / (Beastgirl!$D23 / 10.8)),1)</f>
        <v>5</v>
      </c>
      <c r="R8" s="1">
        <f>CEILING(Warrior!$B23 / IF(Warrior!$D23&lt; 10.8, $Q$4, $Q$4 / (Warrior!$D23 / 10.8)),1)</f>
        <v>4</v>
      </c>
      <c r="S8" s="1"/>
      <c r="T8" s="1"/>
      <c r="U8" s="1"/>
      <c r="V8" s="7"/>
      <c r="W8" s="1"/>
      <c r="X8" s="1"/>
      <c r="Y8" s="1">
        <v>21</v>
      </c>
      <c r="Z8" s="1">
        <f>CEILING(Demon!$B23 / IF(Demon!$D23&lt; 10.8, $AB$4, $AB$4 / (Demon!$D23 / 10.8)),1)</f>
        <v>2</v>
      </c>
      <c r="AA8" s="1">
        <f>CEILING(Elf!$B23 / IF(Elf!$D23 &lt; 10.8, $AB$4, $AB$4 / (Elf!$D23 / 10.8)),1)</f>
        <v>2</v>
      </c>
      <c r="AB8" s="1">
        <f>CEILING(Beastgirl!$B23 / IF(Beastgirl!$D23&lt; 10.8, $AB$4, $AB$4 / (Beastgirl!$D23 / 10.8)),1)</f>
        <v>4</v>
      </c>
      <c r="AC8" s="1">
        <f>CEILING(Warrior!$B23 / IF(Warrior!$D23&lt; 10.8, $AB$4, $AB$4 / (Warrior!$D23/ 10.8)),1)</f>
        <v>3</v>
      </c>
      <c r="AD8" s="1"/>
      <c r="AE8" s="1"/>
    </row>
    <row r="9" spans="1:32" s="6" customFormat="1" ht="25.8" x14ac:dyDescent="0.3">
      <c r="A9" s="1"/>
      <c r="B9" s="1"/>
      <c r="C9" s="1">
        <v>22</v>
      </c>
      <c r="D9" s="1">
        <f>CEILING(Demon!$B24 / IF(Demon!$D24&lt; 10.8, $F$4, $F$4 / (Demon!$D24 / 10.8)),1)</f>
        <v>4</v>
      </c>
      <c r="E9" s="1">
        <f>CEILING(Elf!$B24 / IF(Elf!$D24 &lt; 10.8, $F$4, $F$4 / (Elf!$D24 / 10.8)),1)</f>
        <v>5</v>
      </c>
      <c r="F9" s="1">
        <f>CEILING(Beastgirl!$B24/ IF(Beastgirl!$D24&lt; 10.8,$F$4, $F$4 / (Beastgirl!$D24 / 10.8)),1)</f>
        <v>8</v>
      </c>
      <c r="G9" s="1">
        <f>CEILING(Warrior!$B24/ IF(Warrior!$D24&lt; 10.8, $F$4, $F$4 / (Warrior!$D24 / 10.8)),1)</f>
        <v>6</v>
      </c>
      <c r="H9" s="1"/>
      <c r="I9" s="1"/>
      <c r="J9" s="1"/>
      <c r="K9" s="7"/>
      <c r="L9" s="1"/>
      <c r="M9" s="1"/>
      <c r="N9" s="1">
        <v>22</v>
      </c>
      <c r="O9" s="1">
        <f>CEILING(Demon!$B24 / IF(Demon!$D24&lt; 10.8, $Q$4, $Q$4 / (Demon!$D24 / 10.8)),1)</f>
        <v>3</v>
      </c>
      <c r="P9" s="1">
        <f>CEILING(Elf!$B24 / IF(Elf!$D24 &lt; 10.8, $Q$4, $Q$4 / (Elf!$D24 / 10.8)),1)</f>
        <v>3</v>
      </c>
      <c r="Q9" s="1">
        <f>CEILING(Beastgirl!$B24 / IF(Beastgirl!$D24&lt; 10.8, $Q$4, $Q$4 / (Beastgirl!$D24 / 10.8)),1)</f>
        <v>5</v>
      </c>
      <c r="R9" s="1">
        <f>CEILING(Warrior!$B24 / IF(Warrior!$D24&lt; 10.8, $Q$4, $Q$4 / (Warrior!$D24 / 10.8)),1)</f>
        <v>4</v>
      </c>
      <c r="S9" s="1"/>
      <c r="T9" s="1"/>
      <c r="U9" s="1"/>
      <c r="V9" s="4"/>
      <c r="W9" s="1"/>
      <c r="X9" s="1"/>
      <c r="Y9" s="1">
        <v>22</v>
      </c>
      <c r="Z9" s="1">
        <f>CEILING(Demon!$B24 / IF(Demon!$D24&lt; 10.8, $AB$4, $AB$4 / (Demon!$D24 / 10.8)),1)</f>
        <v>2</v>
      </c>
      <c r="AA9" s="1">
        <f>CEILING(Elf!$B24 / IF(Elf!$D24 &lt; 10.8, $AB$4, $AB$4 / (Elf!$D24 / 10.8)),1)</f>
        <v>3</v>
      </c>
      <c r="AB9" s="1">
        <f>CEILING(Beastgirl!$B24 / IF(Beastgirl!$D24&lt; 10.8, $AB$4, $AB$4 / (Beastgirl!$D24 / 10.8)),1)</f>
        <v>4</v>
      </c>
      <c r="AC9" s="1">
        <f>CEILING(Warrior!$B24 / IF(Warrior!$D24&lt; 10.8, $AB$4, $AB$4 / (Warrior!$D24/ 10.8)),1)</f>
        <v>3</v>
      </c>
      <c r="AD9" s="1"/>
      <c r="AE9" s="1"/>
    </row>
    <row r="10" spans="1:32" s="1" customFormat="1" x14ac:dyDescent="0.3">
      <c r="C10" s="1">
        <v>23</v>
      </c>
      <c r="D10" s="1">
        <f>CEILING(Demon!$B25 / IF(Demon!$D25&lt; 10.8, $F$4, $F$4 / (Demon!$D25 / 10.8)),1)</f>
        <v>5</v>
      </c>
      <c r="E10" s="1">
        <f>CEILING(Elf!$B25 / IF(Elf!$D25 &lt; 10.8, $F$4, $F$4 / (Elf!$D25 / 10.8)),1)</f>
        <v>5</v>
      </c>
      <c r="F10" s="1">
        <f>CEILING(Beastgirl!$B25/ IF(Beastgirl!$D25&lt; 10.8,$F$4, $F$4 / (Beastgirl!$D25 / 10.8)),1)</f>
        <v>8</v>
      </c>
      <c r="G10" s="1">
        <f>CEILING(Warrior!$B25/ IF(Warrior!$D25&lt; 10.8, $F$4, $F$4 / (Warrior!$D25 / 10.8)),1)</f>
        <v>6</v>
      </c>
      <c r="N10" s="1">
        <v>23</v>
      </c>
      <c r="O10" s="1">
        <f>CEILING(Demon!$B25 / IF(Demon!$D25&lt; 10.8, $Q$4, $Q$4 / (Demon!$D25 / 10.8)),1)</f>
        <v>3</v>
      </c>
      <c r="P10" s="1">
        <f>CEILING(Elf!$B25 / IF(Elf!$D25 &lt; 10.8, $Q$4, $Q$4 / (Elf!$D25 / 10.8)),1)</f>
        <v>4</v>
      </c>
      <c r="Q10" s="1">
        <f>CEILING(Beastgirl!$B25 / IF(Beastgirl!$D25&lt; 10.8, $Q$4, $Q$4 / (Beastgirl!$D25 / 10.8)),1)</f>
        <v>6</v>
      </c>
      <c r="R10" s="1">
        <f>CEILING(Warrior!$B25 / IF(Warrior!$D25&lt; 10.8, $Q$4, $Q$4 / (Warrior!$D25 / 10.8)),1)</f>
        <v>4</v>
      </c>
      <c r="Y10" s="1">
        <v>23</v>
      </c>
      <c r="Z10" s="1">
        <f>CEILING(Demon!$B25 / IF(Demon!$D25&lt; 10.8, $AB$4, $AB$4 / (Demon!$D25 / 10.8)),1)</f>
        <v>3</v>
      </c>
      <c r="AA10" s="1">
        <f>CEILING(Elf!$B25 / IF(Elf!$D25 &lt; 10.8, $AB$4, $AB$4 / (Elf!$D25 / 10.8)),1)</f>
        <v>3</v>
      </c>
      <c r="AB10" s="1">
        <f>CEILING(Beastgirl!$B25 / IF(Beastgirl!$D25&lt; 10.8, $AB$4, $AB$4 / (Beastgirl!$D25 / 10.8)),1)</f>
        <v>4</v>
      </c>
      <c r="AC10" s="1">
        <f>CEILING(Warrior!$B25 / IF(Warrior!$D25&lt; 10.8, $AB$4, $AB$4 / (Warrior!$D25/ 10.8)),1)</f>
        <v>3</v>
      </c>
    </row>
    <row r="11" spans="1:32" s="1" customFormat="1" x14ac:dyDescent="0.3">
      <c r="C11" s="1">
        <v>24</v>
      </c>
      <c r="D11" s="1">
        <f>CEILING(Demon!$B26 / IF(Demon!$D26&lt; 10.8, $F$4, $F$4 / (Demon!$D26 / 10.8)),1)</f>
        <v>5</v>
      </c>
      <c r="E11" s="1">
        <f>CEILING(Elf!$B26 / IF(Elf!$D26 &lt; 10.8, $F$4, $F$4 / (Elf!$D26 / 10.8)),1)</f>
        <v>5</v>
      </c>
      <c r="F11" s="1">
        <f>CEILING(Beastgirl!$B26/ IF(Beastgirl!$D26&lt; 10.8,$F$4, $F$4 / (Beastgirl!$D26 / 10.8)),1)</f>
        <v>9</v>
      </c>
      <c r="G11" s="1">
        <f>CEILING(Warrior!$B26/ IF(Warrior!$D26&lt; 10.8, $F$4, $F$4 / (Warrior!$D26 / 10.8)),1)</f>
        <v>6</v>
      </c>
      <c r="N11" s="1">
        <v>24</v>
      </c>
      <c r="O11" s="1">
        <f>CEILING(Demon!$B26 / IF(Demon!$D26&lt; 10.8, $Q$4, $Q$4 / (Demon!$D26 / 10.8)),1)</f>
        <v>4</v>
      </c>
      <c r="P11" s="1">
        <f>CEILING(Elf!$B26 / IF(Elf!$D26 &lt; 10.8, $Q$4, $Q$4 / (Elf!$D26 / 10.8)),1)</f>
        <v>4</v>
      </c>
      <c r="Q11" s="1">
        <f>CEILING(Beastgirl!$B26 / IF(Beastgirl!$D26&lt; 10.8, $Q$4, $Q$4 / (Beastgirl!$D26 / 10.8)),1)</f>
        <v>6</v>
      </c>
      <c r="R11" s="1">
        <f>CEILING(Warrior!$B26 / IF(Warrior!$D26&lt; 10.8, $Q$4, $Q$4 / (Warrior!$D26 / 10.8)),1)</f>
        <v>4</v>
      </c>
      <c r="Y11" s="1">
        <v>24</v>
      </c>
      <c r="Z11" s="1">
        <f>CEILING(Demon!$B26 / IF(Demon!$D26&lt; 10.8, $AB$4, $AB$4 / (Demon!$D26 / 10.8)),1)</f>
        <v>3</v>
      </c>
      <c r="AA11" s="1">
        <f>CEILING(Elf!$B26 / IF(Elf!$D26 &lt; 10.8, $AB$4, $AB$4 / (Elf!$D26 / 10.8)),1)</f>
        <v>3</v>
      </c>
      <c r="AB11" s="1">
        <f>CEILING(Beastgirl!$B26 / IF(Beastgirl!$D26&lt; 10.8, $AB$4, $AB$4 / (Beastgirl!$D26 / 10.8)),1)</f>
        <v>5</v>
      </c>
      <c r="AC11" s="1">
        <f>CEILING(Warrior!$B26 / IF(Warrior!$D26&lt; 10.8, $AB$4, $AB$4 / (Warrior!$D26/ 10.8)),1)</f>
        <v>3</v>
      </c>
    </row>
    <row r="12" spans="1:32" s="1" customFormat="1" x14ac:dyDescent="0.3">
      <c r="C12" s="1">
        <v>25</v>
      </c>
      <c r="D12" s="1">
        <f>CEILING(Demon!$B27 / IF(Demon!$D27&lt; 10.8, $F$4, $F$4 / (Demon!$D27 / 10.8)),1)</f>
        <v>7</v>
      </c>
      <c r="E12" s="1">
        <f>CEILING(Elf!$B27 / IF(Elf!$D27 &lt; 10.8, $F$4, $F$4 / (Elf!$D27 / 10.8)),1)</f>
        <v>8</v>
      </c>
      <c r="F12" s="1">
        <f>CEILING(Beastgirl!$B27/ IF(Beastgirl!$D27&lt; 10.8,$F$4, $F$4 / (Beastgirl!$D27 / 10.8)),1)</f>
        <v>13</v>
      </c>
      <c r="G12" s="1">
        <f>CEILING(Warrior!$B27/ IF(Warrior!$D27&lt; 10.8, $F$4, $F$4 / (Warrior!$D27 / 10.8)),1)</f>
        <v>9</v>
      </c>
      <c r="N12" s="1">
        <v>25</v>
      </c>
      <c r="O12" s="1">
        <f>CEILING(Demon!$B27 / IF(Demon!$D27&lt; 10.8, $Q$4, $Q$4 / (Demon!$D27 / 10.8)),1)</f>
        <v>5</v>
      </c>
      <c r="P12" s="1">
        <f>CEILING(Elf!$B27 / IF(Elf!$D27 &lt; 10.8, $Q$4, $Q$4 / (Elf!$D27 / 10.8)),1)</f>
        <v>5</v>
      </c>
      <c r="Q12" s="1">
        <f>CEILING(Beastgirl!$B27 / IF(Beastgirl!$D27&lt; 10.8, $Q$4, $Q$4 / (Beastgirl!$D27 / 10.8)),1)</f>
        <v>9</v>
      </c>
      <c r="R12" s="1">
        <f>CEILING(Warrior!$B27 / IF(Warrior!$D27&lt; 10.8, $Q$4, $Q$4 / (Warrior!$D27 / 10.8)),1)</f>
        <v>6</v>
      </c>
      <c r="Y12" s="1">
        <v>25</v>
      </c>
      <c r="Z12" s="1">
        <f>CEILING(Demon!$B27 / IF(Demon!$D27&lt; 10.8, $AB$4, $AB$4 / (Demon!$D27 / 10.8)),1)</f>
        <v>4</v>
      </c>
      <c r="AA12" s="1">
        <f>CEILING(Elf!$B27 / IF(Elf!$D27 &lt; 10.8, $AB$4, $AB$4 / (Elf!$D27 / 10.8)),1)</f>
        <v>4</v>
      </c>
      <c r="AB12" s="1">
        <f>CEILING(Beastgirl!$B27 / IF(Beastgirl!$D27&lt; 10.8, $AB$4, $AB$4 / (Beastgirl!$D27 / 10.8)),1)</f>
        <v>7</v>
      </c>
      <c r="AC12" s="1">
        <f>CEILING(Warrior!$B27 / IF(Warrior!$D27&lt; 10.8, $AB$4, $AB$4 / (Warrior!$D27/ 10.8)),1)</f>
        <v>5</v>
      </c>
    </row>
    <row r="13" spans="1:32" s="1" customFormat="1" x14ac:dyDescent="0.3">
      <c r="C13" s="1">
        <v>26</v>
      </c>
      <c r="D13" s="1">
        <f>CEILING(Demon!$B28 / IF(Demon!$D28&lt; 10.8, $F$4, $F$4 / (Demon!$D28 / 10.8)),1)</f>
        <v>8</v>
      </c>
      <c r="E13" s="1">
        <f>CEILING(Elf!$B28 / IF(Elf!$D28 &lt; 10.8, $F$4, $F$4 / (Elf!$D28 / 10.8)),1)</f>
        <v>8</v>
      </c>
      <c r="F13" s="1">
        <f>CEILING(Beastgirl!$B28/ IF(Beastgirl!$D28&lt; 10.8,$F$4, $F$4 / (Beastgirl!$D28 / 10.8)),1)</f>
        <v>14</v>
      </c>
      <c r="G13" s="1">
        <f>CEILING(Warrior!$B28/ IF(Warrior!$D28&lt; 10.8, $F$4, $F$4 / (Warrior!$D28 / 10.8)),1)</f>
        <v>10</v>
      </c>
      <c r="N13" s="1">
        <v>26</v>
      </c>
      <c r="O13" s="1">
        <f>CEILING(Demon!$B28 / IF(Demon!$D28&lt; 10.8, $Q$4, $Q$4 / (Demon!$D28 / 10.8)),1)</f>
        <v>5</v>
      </c>
      <c r="P13" s="1">
        <f>CEILING(Elf!$B28 / IF(Elf!$D28 &lt; 10.8, $Q$4, $Q$4 / (Elf!$D28 / 10.8)),1)</f>
        <v>6</v>
      </c>
      <c r="Q13" s="1">
        <f>CEILING(Beastgirl!$B28 / IF(Beastgirl!$D28&lt; 10.8, $Q$4, $Q$4 / (Beastgirl!$D28 / 10.8)),1)</f>
        <v>9</v>
      </c>
      <c r="R13" s="1">
        <f>CEILING(Warrior!$B28 / IF(Warrior!$D28&lt; 10.8, $Q$4, $Q$4 / (Warrior!$D28 / 10.8)),1)</f>
        <v>7</v>
      </c>
      <c r="Y13" s="1">
        <v>26</v>
      </c>
      <c r="Z13" s="1">
        <f>CEILING(Demon!$B28 / IF(Demon!$D28&lt; 10.8, $AB$4, $AB$4 / (Demon!$D28 / 10.8)),1)</f>
        <v>4</v>
      </c>
      <c r="AA13" s="1">
        <f>CEILING(Elf!$B28 / IF(Elf!$D28 &lt; 10.8, $AB$4, $AB$4 / (Elf!$D28 / 10.8)),1)</f>
        <v>4</v>
      </c>
      <c r="AB13" s="1">
        <f>CEILING(Beastgirl!$B28 / IF(Beastgirl!$D28&lt; 10.8, $AB$4, $AB$4 / (Beastgirl!$D28 / 10.8)),1)</f>
        <v>7</v>
      </c>
      <c r="AC13" s="1">
        <f>CEILING(Warrior!$B28 / IF(Warrior!$D28&lt; 10.8, $AB$4, $AB$4 / (Warrior!$D28/ 10.8)),1)</f>
        <v>5</v>
      </c>
    </row>
    <row r="14" spans="1:32" s="1" customFormat="1" x14ac:dyDescent="0.3">
      <c r="C14" s="1">
        <v>27</v>
      </c>
      <c r="D14" s="1">
        <f>CEILING(Demon!$B29 / IF(Demon!$D29&lt; 10.8, $F$4, $F$4 / (Demon!$D29 / 10.8)),1)</f>
        <v>8</v>
      </c>
      <c r="E14" s="1">
        <f>CEILING(Elf!$B29 / IF(Elf!$D29 &lt; 10.8, $F$4, $F$4 / (Elf!$D29 / 10.8)),1)</f>
        <v>9</v>
      </c>
      <c r="F14" s="1">
        <f>CEILING(Beastgirl!$B29/ IF(Beastgirl!$D29&lt; 10.8,$F$4, $F$4 / (Beastgirl!$D29 / 10.8)),1)</f>
        <v>14</v>
      </c>
      <c r="G14" s="1">
        <f>CEILING(Warrior!$B29/ IF(Warrior!$D29&lt; 10.8, $F$4, $F$4 / (Warrior!$D29 / 10.8)),1)</f>
        <v>10</v>
      </c>
      <c r="N14" s="1">
        <v>27</v>
      </c>
      <c r="O14" s="1">
        <f>CEILING(Demon!$B29 / IF(Demon!$D29&lt; 10.8, $Q$4, $Q$4 / (Demon!$D29 / 10.8)),1)</f>
        <v>6</v>
      </c>
      <c r="P14" s="1">
        <f>CEILING(Elf!$B29 / IF(Elf!$D29 &lt; 10.8, $Q$4, $Q$4 / (Elf!$D29 / 10.8)),1)</f>
        <v>6</v>
      </c>
      <c r="Q14" s="1">
        <f>CEILING(Beastgirl!$B29 / IF(Beastgirl!$D29&lt; 10.8, $Q$4, $Q$4 / (Beastgirl!$D29 / 10.8)),1)</f>
        <v>10</v>
      </c>
      <c r="R14" s="1">
        <f>CEILING(Warrior!$B29 / IF(Warrior!$D29&lt; 10.8, $Q$4, $Q$4 / (Warrior!$D29 / 10.8)),1)</f>
        <v>7</v>
      </c>
      <c r="Y14" s="1">
        <v>27</v>
      </c>
      <c r="Z14" s="1">
        <f>CEILING(Demon!$B29 / IF(Demon!$D29&lt; 10.8, $AB$4, $AB$4 / (Demon!$D29 / 10.8)),1)</f>
        <v>4</v>
      </c>
      <c r="AA14" s="1">
        <f>CEILING(Elf!$B29 / IF(Elf!$D29 &lt; 10.8, $AB$4, $AB$4 / (Elf!$D29 / 10.8)),1)</f>
        <v>5</v>
      </c>
      <c r="AB14" s="1">
        <f>CEILING(Beastgirl!$B29 / IF(Beastgirl!$D29&lt; 10.8, $AB$4, $AB$4 / (Beastgirl!$D29 / 10.8)),1)</f>
        <v>7</v>
      </c>
      <c r="AC14" s="1">
        <f>CEILING(Warrior!$B29 / IF(Warrior!$D29&lt; 10.8, $AB$4, $AB$4 / (Warrior!$D29/ 10.8)),1)</f>
        <v>5</v>
      </c>
    </row>
    <row r="15" spans="1:32" s="1" customFormat="1" x14ac:dyDescent="0.3">
      <c r="C15" s="1">
        <v>28</v>
      </c>
      <c r="D15" s="1">
        <f>CEILING(Demon!$B30 / IF(Demon!$D30&lt; 10.8, $F$4, $F$4 / (Demon!$D30 / 10.8)),1)</f>
        <v>9</v>
      </c>
      <c r="E15" s="1">
        <f>CEILING(Elf!$B30 / IF(Elf!$D30 &lt; 10.8, $F$4, $F$4 / (Elf!$D30 / 10.8)),1)</f>
        <v>9</v>
      </c>
      <c r="F15" s="1">
        <f>CEILING(Beastgirl!$B30/ IF(Beastgirl!$D30&lt; 10.8,$F$4, $F$4 / (Beastgirl!$D30 / 10.8)),1)</f>
        <v>15</v>
      </c>
      <c r="G15" s="1">
        <f>CEILING(Warrior!$B30/ IF(Warrior!$D30&lt; 10.8, $F$4, $F$4 / (Warrior!$D30 / 10.8)),1)</f>
        <v>11</v>
      </c>
      <c r="N15" s="1">
        <v>28</v>
      </c>
      <c r="O15" s="1">
        <f>CEILING(Demon!$B30 / IF(Demon!$D30&lt; 10.8, $Q$4, $Q$4 / (Demon!$D30 / 10.8)),1)</f>
        <v>6</v>
      </c>
      <c r="P15" s="1">
        <f>CEILING(Elf!$B30 / IF(Elf!$D30 &lt; 10.8, $Q$4, $Q$4 / (Elf!$D30 / 10.8)),1)</f>
        <v>6</v>
      </c>
      <c r="Q15" s="1">
        <f>CEILING(Beastgirl!$B30 / IF(Beastgirl!$D30&lt; 10.8, $Q$4, $Q$4 / (Beastgirl!$D30 / 10.8)),1)</f>
        <v>10</v>
      </c>
      <c r="R15" s="1">
        <f>CEILING(Warrior!$B30 / IF(Warrior!$D30&lt; 10.8, $Q$4, $Q$4 / (Warrior!$D30 / 10.8)),1)</f>
        <v>7</v>
      </c>
      <c r="Y15" s="1">
        <v>28</v>
      </c>
      <c r="Z15" s="1">
        <f>CEILING(Demon!$B30 / IF(Demon!$D30&lt; 10.8, $AB$4, $AB$4 / (Demon!$D30 / 10.8)),1)</f>
        <v>5</v>
      </c>
      <c r="AA15" s="1">
        <f>CEILING(Elf!$B30 / IF(Elf!$D30 &lt; 10.8, $AB$4, $AB$4 / (Elf!$D30 / 10.8)),1)</f>
        <v>5</v>
      </c>
      <c r="AB15" s="1">
        <f>CEILING(Beastgirl!$B30 / IF(Beastgirl!$D30&lt; 10.8, $AB$4, $AB$4 / (Beastgirl!$D30 / 10.8)),1)</f>
        <v>8</v>
      </c>
      <c r="AC15" s="1">
        <f>CEILING(Warrior!$B30 / IF(Warrior!$D30&lt; 10.8, $AB$4, $AB$4 / (Warrior!$D30/ 10.8)),1)</f>
        <v>6</v>
      </c>
    </row>
    <row r="16" spans="1:32" s="1" customFormat="1" x14ac:dyDescent="0.3">
      <c r="C16" s="1">
        <v>29</v>
      </c>
      <c r="D16" s="1">
        <f>CEILING(Demon!$B31 / IF(Demon!$D31&lt; 10.8, $F$4, $F$4 / (Demon!$D31 / 10.8)),1)</f>
        <v>9</v>
      </c>
      <c r="E16" s="1">
        <f>CEILING(Elf!$B31 / IF(Elf!$D31 &lt; 10.8, $F$4, $F$4 / (Elf!$D31 / 10.8)),1)</f>
        <v>10</v>
      </c>
      <c r="F16" s="1">
        <f>CEILING(Beastgirl!$B31/ IF(Beastgirl!$D31&lt; 10.8,$F$4, $F$4 / (Beastgirl!$D31 / 10.8)),1)</f>
        <v>16</v>
      </c>
      <c r="G16" s="1">
        <f>CEILING(Warrior!$B31/ IF(Warrior!$D31&lt; 10.8, $F$4, $F$4 / (Warrior!$D31 / 10.8)),1)</f>
        <v>12</v>
      </c>
      <c r="N16" s="1">
        <v>29</v>
      </c>
      <c r="O16" s="1">
        <f>CEILING(Demon!$B31 / IF(Demon!$D31&lt; 10.8, $Q$4, $Q$4 / (Demon!$D31 / 10.8)),1)</f>
        <v>6</v>
      </c>
      <c r="P16" s="1">
        <f>CEILING(Elf!$B31 / IF(Elf!$D31 &lt; 10.8, $Q$4, $Q$4 / (Elf!$D31 / 10.8)),1)</f>
        <v>7</v>
      </c>
      <c r="Q16" s="1">
        <f>CEILING(Beastgirl!$B31 / IF(Beastgirl!$D31&lt; 10.8, $Q$4, $Q$4 / (Beastgirl!$D31 / 10.8)),1)</f>
        <v>11</v>
      </c>
      <c r="R16" s="1">
        <f>CEILING(Warrior!$B31 / IF(Warrior!$D31&lt; 10.8, $Q$4, $Q$4 / (Warrior!$D31 / 10.8)),1)</f>
        <v>8</v>
      </c>
      <c r="Y16" s="1">
        <v>29</v>
      </c>
      <c r="Z16" s="1">
        <f>CEILING(Demon!$B31 / IF(Demon!$D31&lt; 10.8, $AB$4, $AB$4 / (Demon!$D31 / 10.8)),1)</f>
        <v>5</v>
      </c>
      <c r="AA16" s="1">
        <f>CEILING(Elf!$B31 / IF(Elf!$D31 &lt; 10.8, $AB$4, $AB$4 / (Elf!$D31 / 10.8)),1)</f>
        <v>5</v>
      </c>
      <c r="AB16" s="1">
        <f>CEILING(Beastgirl!$B31 / IF(Beastgirl!$D31&lt; 10.8, $AB$4, $AB$4 / (Beastgirl!$D31 / 10.8)),1)</f>
        <v>8</v>
      </c>
      <c r="AC16" s="1">
        <f>CEILING(Warrior!$B31 / IF(Warrior!$D31&lt; 10.8, $AB$4, $AB$4 / (Warrior!$D31/ 10.8)),1)</f>
        <v>6</v>
      </c>
    </row>
    <row r="17" spans="3:29" s="1" customFormat="1" x14ac:dyDescent="0.3">
      <c r="C17" s="1">
        <v>30</v>
      </c>
      <c r="D17" s="1">
        <f>CEILING(Demon!$B32 / IF(Demon!$D32&lt; 10.8, $F$4, $F$4 / (Demon!$D32 / 10.8)),1)</f>
        <v>10</v>
      </c>
      <c r="E17" s="1">
        <f>CEILING(Elf!$B32 / IF(Elf!$D32 &lt; 10.8, $F$4, $F$4 / (Elf!$D32 / 10.8)),1)</f>
        <v>11</v>
      </c>
      <c r="F17" s="1">
        <f>CEILING(Beastgirl!$B32/ IF(Beastgirl!$D32&lt; 10.8,$F$4, $F$4 / (Beastgirl!$D32 / 10.8)),1)</f>
        <v>17</v>
      </c>
      <c r="G17" s="1">
        <f>CEILING(Warrior!$B32/ IF(Warrior!$D32&lt; 10.8, $F$4, $F$4 / (Warrior!$D32 / 10.8)),1)</f>
        <v>12</v>
      </c>
      <c r="N17" s="1">
        <v>30</v>
      </c>
      <c r="O17" s="1">
        <f>CEILING(Demon!$B32 / IF(Demon!$D32&lt; 10.8, $Q$4, $Q$4 / (Demon!$D32 / 10.8)),1)</f>
        <v>7</v>
      </c>
      <c r="P17" s="1">
        <f>CEILING(Elf!$B32 / IF(Elf!$D32 &lt; 10.8, $Q$4, $Q$4 / (Elf!$D32 / 10.8)),1)</f>
        <v>7</v>
      </c>
      <c r="Q17" s="1">
        <f>CEILING(Beastgirl!$B32 / IF(Beastgirl!$D32&lt; 10.8, $Q$4, $Q$4 / (Beastgirl!$D32 / 10.8)),1)</f>
        <v>12</v>
      </c>
      <c r="R17" s="1">
        <f>CEILING(Warrior!$B32 / IF(Warrior!$D32&lt; 10.8, $Q$4, $Q$4 / (Warrior!$D32 / 10.8)),1)</f>
        <v>8</v>
      </c>
      <c r="Y17" s="1">
        <v>30</v>
      </c>
      <c r="Z17" s="1">
        <f>CEILING(Demon!$B32 / IF(Demon!$D32&lt; 10.8, $AB$4, $AB$4 / (Demon!$D32 / 10.8)),1)</f>
        <v>5</v>
      </c>
      <c r="AA17" s="1">
        <f>CEILING(Elf!$B32 / IF(Elf!$D32 &lt; 10.8, $AB$4, $AB$4 / (Elf!$D32 / 10.8)),1)</f>
        <v>6</v>
      </c>
      <c r="AB17" s="1">
        <f>CEILING(Beastgirl!$B32 / IF(Beastgirl!$D32&lt; 10.8, $AB$4, $AB$4 / (Beastgirl!$D32 / 10.8)),1)</f>
        <v>9</v>
      </c>
      <c r="AC17" s="1">
        <f>CEILING(Warrior!$B32 / IF(Warrior!$D32&lt; 10.8, $AB$4, $AB$4 / (Warrior!$D32/ 10.8)),1)</f>
        <v>6</v>
      </c>
    </row>
    <row r="18" spans="3:29" s="1" customFormat="1" x14ac:dyDescent="0.3">
      <c r="D18" s="4"/>
      <c r="F18" s="4"/>
      <c r="G18" s="4"/>
      <c r="H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</row>
    <row r="19" spans="3:29" s="1" customFormat="1" x14ac:dyDescent="0.3">
      <c r="D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3:29" s="1" customFormat="1" x14ac:dyDescent="0.3">
      <c r="D20" s="4"/>
      <c r="E20" s="4"/>
      <c r="F20" s="4"/>
      <c r="G20" s="4"/>
      <c r="H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3:29" s="1" customFormat="1" x14ac:dyDescent="0.3">
      <c r="D21" s="4"/>
      <c r="E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3:29" s="1" customFormat="1" x14ac:dyDescent="0.3">
      <c r="D22" s="4"/>
      <c r="E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3:29" s="1" customFormat="1" x14ac:dyDescent="0.3">
      <c r="D23" s="4"/>
      <c r="E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3:29" s="1" customFormat="1" x14ac:dyDescent="0.3">
      <c r="D24" s="4"/>
      <c r="E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3:29" s="1" customFormat="1" x14ac:dyDescent="0.3">
      <c r="D25" s="4"/>
      <c r="E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3:29" s="1" customFormat="1" x14ac:dyDescent="0.3">
      <c r="D26" s="4"/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3:29" s="1" customFormat="1" x14ac:dyDescent="0.3">
      <c r="D27" s="4"/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3:29" s="1" customFormat="1" x14ac:dyDescent="0.3"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3:29" s="1" customFormat="1" x14ac:dyDescent="0.3">
      <c r="D29" s="4"/>
      <c r="E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3:29" s="1" customFormat="1" x14ac:dyDescent="0.3">
      <c r="D30" s="4"/>
      <c r="E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3:29" s="1" customFormat="1" x14ac:dyDescent="0.3">
      <c r="D31" s="4"/>
      <c r="E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3:29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33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33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33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33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3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33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33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33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33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33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33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33" s="1" customFormat="1" x14ac:dyDescent="0.3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5A60-0755-4C2D-B1D1-8F8CD24AF872}">
  <dimension ref="A1:AG12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2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2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5</v>
      </c>
      <c r="C3" s="1"/>
      <c r="D3" s="1">
        <v>12</v>
      </c>
      <c r="E3" s="1">
        <v>10</v>
      </c>
      <c r="F3" s="1">
        <v>10</v>
      </c>
      <c r="G3" s="1">
        <v>10</v>
      </c>
      <c r="H3" s="1">
        <v>12</v>
      </c>
      <c r="I3" s="1">
        <v>20</v>
      </c>
      <c r="J3" s="1">
        <v>58</v>
      </c>
      <c r="K3" s="1"/>
      <c r="L3" s="4">
        <v>1</v>
      </c>
      <c r="M3" s="1">
        <f>Table596183195207231[[#This Row],[HP]] * 1.5</f>
        <v>7.5</v>
      </c>
      <c r="N3" s="1"/>
      <c r="O3" s="1">
        <f>Table596183195207231[[#This Row],[DEF]] * 1.5</f>
        <v>18</v>
      </c>
      <c r="P3" s="1">
        <f>Table596183195207231[[#This Row],[AGI]] * 1.5</f>
        <v>15</v>
      </c>
      <c r="Q3" s="1">
        <f>Table596183195207231[[#This Row],[STR]] * 1.5</f>
        <v>15</v>
      </c>
      <c r="R3" s="1">
        <f>Table596183195207231[[#This Row],[INT]] * 1.5</f>
        <v>15</v>
      </c>
      <c r="S3" s="1">
        <f xml:space="preserve"> Table596183195207231[[#This Row],[DEX]] * 1.5</f>
        <v>18</v>
      </c>
      <c r="T3" s="1">
        <f>Table596183195207231[[#This Row],[XP Given]]*1.25</f>
        <v>25</v>
      </c>
      <c r="U3" s="1"/>
      <c r="V3" s="1"/>
      <c r="W3" s="4">
        <v>1</v>
      </c>
      <c r="X3" s="1">
        <f>Table596183195207231[[#This Row],[HP]] * 2</f>
        <v>10</v>
      </c>
      <c r="Y3" s="1"/>
      <c r="Z3" s="1">
        <f>Table596183195207231[[#This Row],[DEF]] * 2</f>
        <v>24</v>
      </c>
      <c r="AA3" s="1">
        <f>Table596183195207231[[#This Row],[AGI]] * 2</f>
        <v>20</v>
      </c>
      <c r="AB3" s="1">
        <f>Table596183195207231[[#This Row],[STR]] * 2</f>
        <v>20</v>
      </c>
      <c r="AC3" s="1">
        <f>Table596183195207231[[#This Row],[INT]] * 2</f>
        <v>20</v>
      </c>
      <c r="AD3" s="1">
        <f xml:space="preserve"> Table596183195207231[[#This Row],[DEX]] * 2</f>
        <v>24</v>
      </c>
      <c r="AE3" s="1">
        <f>Table596183195207231[[#This Row],[XP Given]]*1.5</f>
        <v>30</v>
      </c>
      <c r="AF3" s="1"/>
    </row>
    <row r="4" spans="1:32" x14ac:dyDescent="0.3">
      <c r="A4" s="4">
        <v>31</v>
      </c>
      <c r="B4" s="1">
        <f>$B$3 + ((Table596183195207231[[#This Row],[LV]] / 10) + $B$3 / 8) * Table596183195207231[[#This Row],[LV]]</f>
        <v>120.47500000000001</v>
      </c>
      <c r="C4" s="1"/>
      <c r="D4" s="1">
        <f>$D$3 + ($D$3 / 4) * Table596183195207231[[#This Row],[LV]]</f>
        <v>105</v>
      </c>
      <c r="E4" s="1">
        <f>$E$3 + ($E$3 / 4) * Table596183195207231[[#This Row],[LV]]</f>
        <v>87.5</v>
      </c>
      <c r="F4" s="1">
        <f>$F$3 + ($F$3 / 4) * Table596183195207231[[#This Row],[LV]]</f>
        <v>87.5</v>
      </c>
      <c r="G4" s="1">
        <f>$G$3 + ($G$3 / 4) * Table596183195207231[[#This Row],[LV]]</f>
        <v>87.5</v>
      </c>
      <c r="H4" s="1">
        <f>$H$3 + ($H$3 / 4) * Table596183195207231[[#This Row],[LV]]</f>
        <v>105</v>
      </c>
      <c r="I4" s="1">
        <f>$I$3 + $I$3 * Table596183195207231[[#This Row],[LV]] *25 / 100</f>
        <v>175</v>
      </c>
      <c r="J4" s="1">
        <f>$J$3 + $J$3 * Table596183195207231[[#This Row],[LV]] * 25 / 100</f>
        <v>507.5</v>
      </c>
      <c r="K4" s="1"/>
      <c r="L4" s="4">
        <v>31</v>
      </c>
      <c r="M4" s="1">
        <f>$M$3 + ((Table5997184196208232[[#This Row],[LV]] / 10) + $M$3 / 8) * Table5997184196208232[[#This Row],[LV]]</f>
        <v>132.66249999999999</v>
      </c>
      <c r="N4" s="1"/>
      <c r="O4" s="1">
        <f>$O$3 + ($O$3 / 4) * Table5997184196208232[[#This Row],[LV]]</f>
        <v>157.5</v>
      </c>
      <c r="P4" s="1">
        <f>$P$3 + ($P$3 / 4) * Table5997184196208232[[#This Row],[LV]]</f>
        <v>131.25</v>
      </c>
      <c r="Q4" s="1">
        <f>$Q$3 + ($Q$3 / 4) * Table5997184196208232[[#This Row],[LV]]</f>
        <v>131.25</v>
      </c>
      <c r="R4" s="1">
        <f>$R$3 + ($R$3 / 4) * Table5997184196208232[[#This Row],[LV]]</f>
        <v>131.25</v>
      </c>
      <c r="S4" s="1">
        <f>$S$3 + ($S$3 / 4) * Table5997184196208232[[#This Row],[LV]]</f>
        <v>157.5</v>
      </c>
      <c r="T4" s="1">
        <f>Table596183195207231[[#This Row],[XP Given]]*1.25</f>
        <v>218.75</v>
      </c>
      <c r="U4" s="1">
        <f>Table596183195207231[[#This Row],[Gold Given]]*1.25</f>
        <v>634.375</v>
      </c>
      <c r="V4" s="1"/>
      <c r="W4" s="4">
        <v>31</v>
      </c>
      <c r="X4" s="1">
        <f>$X$3 + ((Table591098185197209233[[#This Row],[LV]] / 10) + $X$3 / 8) * Table591098185197209233[[#This Row],[LV]]</f>
        <v>144.85</v>
      </c>
      <c r="Y4" s="1"/>
      <c r="Z4" s="1">
        <f>$Z$3 + ($Z$3 / 4) * Table591098185197209233[[#This Row],[LV]]</f>
        <v>210</v>
      </c>
      <c r="AA4" s="1">
        <f>$AA$3 + ($AA$3 / 4) * Table591098185197209233[[#This Row],[LV]]</f>
        <v>175</v>
      </c>
      <c r="AB4" s="1">
        <f>$AB$3 + ($AB$3 / 4) * Table591098185197209233[[#This Row],[LV]]</f>
        <v>175</v>
      </c>
      <c r="AC4" s="1">
        <f>$AC$3 + ($AC$3 / 4) * Table591098185197209233[[#This Row],[LV]]</f>
        <v>175</v>
      </c>
      <c r="AD4" s="1">
        <f>$AD$3 + ($AD$3 / 4) * Table591098185197209233[[#This Row],[LV]]</f>
        <v>210</v>
      </c>
      <c r="AE4" s="1">
        <f>Table596183195207231[[#This Row],[XP Given]]*1.5</f>
        <v>262.5</v>
      </c>
      <c r="AF4" s="1">
        <f>Table596183195207231[[#This Row],[Gold Given]]*1.5</f>
        <v>761.25</v>
      </c>
    </row>
    <row r="5" spans="1:32" x14ac:dyDescent="0.3">
      <c r="A5" s="4">
        <v>32</v>
      </c>
      <c r="B5" s="1">
        <f>$B$3 + ((Table596183195207231[[#This Row],[LV]] / 10) + $B$3 / 8) * Table596183195207231[[#This Row],[LV]]</f>
        <v>127.4</v>
      </c>
      <c r="C5" s="1"/>
      <c r="D5" s="1">
        <f>$D$3 + ($D$3 / 4) * Table596183195207231[[#This Row],[LV]]</f>
        <v>108</v>
      </c>
      <c r="E5" s="1">
        <f>$E$3 + ($E$3 / 4) * Table596183195207231[[#This Row],[LV]]</f>
        <v>90</v>
      </c>
      <c r="F5" s="1">
        <f>$F$3 + ($F$3 / 4) * Table596183195207231[[#This Row],[LV]]</f>
        <v>90</v>
      </c>
      <c r="G5" s="1">
        <f>$G$3 + ($G$3 / 4) * Table596183195207231[[#This Row],[LV]]</f>
        <v>90</v>
      </c>
      <c r="H5" s="1">
        <f>$H$3 + ($H$3 / 4) * Table596183195207231[[#This Row],[LV]]</f>
        <v>108</v>
      </c>
      <c r="I5" s="1">
        <f>$I$3 + $I$3 * Table596183195207231[[#This Row],[LV]] *25 / 100</f>
        <v>180</v>
      </c>
      <c r="J5" s="1">
        <f>$J$3 + $J$3 * Table596183195207231[[#This Row],[LV]] * 25 / 100</f>
        <v>522</v>
      </c>
      <c r="K5" s="1"/>
      <c r="L5" s="4">
        <v>32</v>
      </c>
      <c r="M5" s="1">
        <f>$M$3 + ((Table5997184196208232[[#This Row],[LV]] / 10) + $M$3 / 8) * Table5997184196208232[[#This Row],[LV]]</f>
        <v>139.9</v>
      </c>
      <c r="N5" s="1"/>
      <c r="O5" s="1">
        <f>$O$3 + ($O$3 / 4) * Table5997184196208232[[#This Row],[LV]]</f>
        <v>162</v>
      </c>
      <c r="P5" s="1">
        <f>$P$3 + ($P$3 / 4) * Table5997184196208232[[#This Row],[LV]]</f>
        <v>135</v>
      </c>
      <c r="Q5" s="1">
        <f>$Q$3 + ($Q$3 / 4) * Table5997184196208232[[#This Row],[LV]]</f>
        <v>135</v>
      </c>
      <c r="R5" s="1">
        <f>$R$3 + ($R$3 / 4) * Table5997184196208232[[#This Row],[LV]]</f>
        <v>135</v>
      </c>
      <c r="S5" s="1">
        <f>$S$3 + ($S$3 / 4) * Table5997184196208232[[#This Row],[LV]]</f>
        <v>162</v>
      </c>
      <c r="T5" s="1">
        <f>Table596183195207231[[#This Row],[XP Given]]*1.25</f>
        <v>225</v>
      </c>
      <c r="U5" s="1">
        <f>Table596183195207231[[#This Row],[Gold Given]]*1.25</f>
        <v>652.5</v>
      </c>
      <c r="V5" s="1"/>
      <c r="W5" s="4">
        <v>32</v>
      </c>
      <c r="X5" s="1">
        <f>$X$3 + ((Table591098185197209233[[#This Row],[LV]] / 10) + $X$3 / 8) * Table591098185197209233[[#This Row],[LV]]</f>
        <v>152.4</v>
      </c>
      <c r="Y5" s="1"/>
      <c r="Z5" s="1">
        <f>$Z$3 + ($Z$3 / 4) * Table591098185197209233[[#This Row],[LV]]</f>
        <v>216</v>
      </c>
      <c r="AA5" s="1">
        <f>$AA$3 + ($AA$3 / 4) * Table591098185197209233[[#This Row],[LV]]</f>
        <v>180</v>
      </c>
      <c r="AB5" s="1">
        <f>$AB$3 + ($AB$3 / 4) * Table591098185197209233[[#This Row],[LV]]</f>
        <v>180</v>
      </c>
      <c r="AC5" s="1">
        <f>$AC$3 + ($AC$3 / 4) * Table591098185197209233[[#This Row],[LV]]</f>
        <v>180</v>
      </c>
      <c r="AD5" s="1">
        <f>$AD$3 + ($AD$3 / 4) * Table591098185197209233[[#This Row],[LV]]</f>
        <v>216</v>
      </c>
      <c r="AE5" s="1">
        <f>Table596183195207231[[#This Row],[XP Given]]*1.5</f>
        <v>270</v>
      </c>
      <c r="AF5" s="1">
        <f>Table596183195207231[[#This Row],[Gold Given]]*1.5</f>
        <v>783</v>
      </c>
    </row>
    <row r="6" spans="1:32" x14ac:dyDescent="0.3">
      <c r="A6" s="4">
        <v>33</v>
      </c>
      <c r="B6" s="1">
        <f>$B$3 + ((Table596183195207231[[#This Row],[LV]] / 10) + $B$3 / 8) * Table596183195207231[[#This Row],[LV]]</f>
        <v>134.52500000000001</v>
      </c>
      <c r="C6" s="1"/>
      <c r="D6" s="1">
        <f>$D$3 + ($D$3 / 4) * Table596183195207231[[#This Row],[LV]]</f>
        <v>111</v>
      </c>
      <c r="E6" s="1">
        <f>$E$3 + ($E$3 / 4) * Table596183195207231[[#This Row],[LV]]</f>
        <v>92.5</v>
      </c>
      <c r="F6" s="1">
        <f>$F$3 + ($F$3 / 4) * Table596183195207231[[#This Row],[LV]]</f>
        <v>92.5</v>
      </c>
      <c r="G6" s="1">
        <f>$G$3 + ($G$3 / 4) * Table596183195207231[[#This Row],[LV]]</f>
        <v>92.5</v>
      </c>
      <c r="H6" s="1">
        <f>$H$3 + ($H$3 / 4) * Table596183195207231[[#This Row],[LV]]</f>
        <v>111</v>
      </c>
      <c r="I6" s="1">
        <f>$I$3 + $I$3 * Table596183195207231[[#This Row],[LV]] *25 / 100</f>
        <v>185</v>
      </c>
      <c r="J6" s="1">
        <f>$J$3 + $J$3 * Table596183195207231[[#This Row],[LV]] * 25 / 100</f>
        <v>536.5</v>
      </c>
      <c r="K6" s="1"/>
      <c r="L6" s="4">
        <v>33</v>
      </c>
      <c r="M6" s="1">
        <f>$M$3 + ((Table5997184196208232[[#This Row],[LV]] / 10) + $M$3 / 8) * Table5997184196208232[[#This Row],[LV]]</f>
        <v>147.33750000000001</v>
      </c>
      <c r="N6" s="1"/>
      <c r="O6" s="1">
        <f>$O$3 + ($O$3 / 4) * Table5997184196208232[[#This Row],[LV]]</f>
        <v>166.5</v>
      </c>
      <c r="P6" s="1">
        <f>$P$3 + ($P$3 / 4) * Table5997184196208232[[#This Row],[LV]]</f>
        <v>138.75</v>
      </c>
      <c r="Q6" s="1">
        <f>$Q$3 + ($Q$3 / 4) * Table5997184196208232[[#This Row],[LV]]</f>
        <v>138.75</v>
      </c>
      <c r="R6" s="1">
        <f>$R$3 + ($R$3 / 4) * Table5997184196208232[[#This Row],[LV]]</f>
        <v>138.75</v>
      </c>
      <c r="S6" s="1">
        <f>$S$3 + ($S$3 / 4) * Table5997184196208232[[#This Row],[LV]]</f>
        <v>166.5</v>
      </c>
      <c r="T6" s="1">
        <f>Table596183195207231[[#This Row],[XP Given]]*1.25</f>
        <v>231.25</v>
      </c>
      <c r="U6" s="1">
        <f>Table596183195207231[[#This Row],[Gold Given]]*1.25</f>
        <v>670.625</v>
      </c>
      <c r="V6" s="1"/>
      <c r="W6" s="4">
        <v>33</v>
      </c>
      <c r="X6" s="1">
        <f>$X$3 + ((Table591098185197209233[[#This Row],[LV]] / 10) + $X$3 / 8) * Table591098185197209233[[#This Row],[LV]]</f>
        <v>160.15</v>
      </c>
      <c r="Y6" s="1"/>
      <c r="Z6" s="1">
        <f>$Z$3 + ($Z$3 / 4) * Table591098185197209233[[#This Row],[LV]]</f>
        <v>222</v>
      </c>
      <c r="AA6" s="1">
        <f>$AA$3 + ($AA$3 / 4) * Table591098185197209233[[#This Row],[LV]]</f>
        <v>185</v>
      </c>
      <c r="AB6" s="1">
        <f>$AB$3 + ($AB$3 / 4) * Table591098185197209233[[#This Row],[LV]]</f>
        <v>185</v>
      </c>
      <c r="AC6" s="1">
        <f>$AC$3 + ($AC$3 / 4) * Table591098185197209233[[#This Row],[LV]]</f>
        <v>185</v>
      </c>
      <c r="AD6" s="1">
        <f>$AD$3 + ($AD$3 / 4) * Table591098185197209233[[#This Row],[LV]]</f>
        <v>222</v>
      </c>
      <c r="AE6" s="1">
        <f>Table596183195207231[[#This Row],[XP Given]]*1.5</f>
        <v>277.5</v>
      </c>
      <c r="AF6" s="1">
        <f>Table596183195207231[[#This Row],[Gold Given]]*1.5</f>
        <v>804.75</v>
      </c>
    </row>
    <row r="7" spans="1:32" x14ac:dyDescent="0.3">
      <c r="A7" s="4">
        <v>34</v>
      </c>
      <c r="B7" s="1">
        <f>$B$3 + ((Table596183195207231[[#This Row],[LV]] / 10) + $B$3 / 8) * Table596183195207231[[#This Row],[LV]]</f>
        <v>141.85000000000002</v>
      </c>
      <c r="C7" s="1"/>
      <c r="D7" s="1">
        <f>$D$3 + ($D$3 / 4) * Table596183195207231[[#This Row],[LV]]</f>
        <v>114</v>
      </c>
      <c r="E7" s="1">
        <f>$E$3 + ($E$3 / 4) * Table596183195207231[[#This Row],[LV]]</f>
        <v>95</v>
      </c>
      <c r="F7" s="1">
        <f>$F$3 + ($F$3 / 4) * Table596183195207231[[#This Row],[LV]]</f>
        <v>95</v>
      </c>
      <c r="G7" s="1">
        <f>$G$3 + ($G$3 / 4) * Table596183195207231[[#This Row],[LV]]</f>
        <v>95</v>
      </c>
      <c r="H7" s="1">
        <f>$H$3 + ($H$3 / 4) * Table596183195207231[[#This Row],[LV]]</f>
        <v>114</v>
      </c>
      <c r="I7" s="1">
        <f>$I$3 + $I$3 * Table596183195207231[[#This Row],[LV]] *25 / 100</f>
        <v>190</v>
      </c>
      <c r="J7" s="1">
        <f>$J$3 + $J$3 * Table596183195207231[[#This Row],[LV]] * 25 / 100</f>
        <v>551</v>
      </c>
      <c r="K7" s="1"/>
      <c r="L7" s="4">
        <v>34</v>
      </c>
      <c r="M7" s="1">
        <f>$M$3 + ((Table5997184196208232[[#This Row],[LV]] / 10) + $M$3 / 8) * Table5997184196208232[[#This Row],[LV]]</f>
        <v>154.97500000000002</v>
      </c>
      <c r="N7" s="1"/>
      <c r="O7" s="1">
        <f>$O$3 + ($O$3 / 4) * Table5997184196208232[[#This Row],[LV]]</f>
        <v>171</v>
      </c>
      <c r="P7" s="1">
        <f>$P$3 + ($P$3 / 4) * Table5997184196208232[[#This Row],[LV]]</f>
        <v>142.5</v>
      </c>
      <c r="Q7" s="1">
        <f>$Q$3 + ($Q$3 / 4) * Table5997184196208232[[#This Row],[LV]]</f>
        <v>142.5</v>
      </c>
      <c r="R7" s="1">
        <f>$R$3 + ($R$3 / 4) * Table5997184196208232[[#This Row],[LV]]</f>
        <v>142.5</v>
      </c>
      <c r="S7" s="1">
        <f>$S$3 + ($S$3 / 4) * Table5997184196208232[[#This Row],[LV]]</f>
        <v>171</v>
      </c>
      <c r="T7" s="1">
        <f>Table596183195207231[[#This Row],[XP Given]]*1.25</f>
        <v>237.5</v>
      </c>
      <c r="U7" s="1">
        <f>Table596183195207231[[#This Row],[Gold Given]]*1.25</f>
        <v>688.75</v>
      </c>
      <c r="V7" s="1"/>
      <c r="W7" s="4">
        <v>34</v>
      </c>
      <c r="X7" s="1">
        <f>$X$3 + ((Table591098185197209233[[#This Row],[LV]] / 10) + $X$3 / 8) * Table591098185197209233[[#This Row],[LV]]</f>
        <v>168.10000000000002</v>
      </c>
      <c r="Y7" s="1"/>
      <c r="Z7" s="1">
        <f>$Z$3 + ($Z$3 / 4) * Table591098185197209233[[#This Row],[LV]]</f>
        <v>228</v>
      </c>
      <c r="AA7" s="1">
        <f>$AA$3 + ($AA$3 / 4) * Table591098185197209233[[#This Row],[LV]]</f>
        <v>190</v>
      </c>
      <c r="AB7" s="1">
        <f>$AB$3 + ($AB$3 / 4) * Table591098185197209233[[#This Row],[LV]]</f>
        <v>190</v>
      </c>
      <c r="AC7" s="1">
        <f>$AC$3 + ($AC$3 / 4) * Table591098185197209233[[#This Row],[LV]]</f>
        <v>190</v>
      </c>
      <c r="AD7" s="1">
        <f>$AD$3 + ($AD$3 / 4) * Table591098185197209233[[#This Row],[LV]]</f>
        <v>228</v>
      </c>
      <c r="AE7" s="1">
        <f>Table596183195207231[[#This Row],[XP Given]]*1.5</f>
        <v>285</v>
      </c>
      <c r="AF7" s="1">
        <f>Table596183195207231[[#This Row],[Gold Given]]*1.5</f>
        <v>826.5</v>
      </c>
    </row>
    <row r="8" spans="1:32" x14ac:dyDescent="0.3">
      <c r="A8" s="4">
        <v>35</v>
      </c>
      <c r="B8" s="1">
        <f>$B$3 + ((Table596183195207231[[#This Row],[LV]] / 10) + $B$3 / 8) * Table596183195207231[[#This Row],[LV]]</f>
        <v>149.375</v>
      </c>
      <c r="C8" s="1"/>
      <c r="D8" s="1">
        <f>$D$3 + ($D$3 / 4) * Table596183195207231[[#This Row],[LV]]</f>
        <v>117</v>
      </c>
      <c r="E8" s="1">
        <f>$E$3 + ($E$3 / 4) * Table596183195207231[[#This Row],[LV]]</f>
        <v>97.5</v>
      </c>
      <c r="F8" s="1">
        <f>$F$3 + ($F$3 / 4) * Table596183195207231[[#This Row],[LV]]</f>
        <v>97.5</v>
      </c>
      <c r="G8" s="1">
        <f>$G$3 + ($G$3 / 4) * Table596183195207231[[#This Row],[LV]]</f>
        <v>97.5</v>
      </c>
      <c r="H8" s="1">
        <f>$H$3 + ($H$3 / 4) * Table596183195207231[[#This Row],[LV]]</f>
        <v>117</v>
      </c>
      <c r="I8" s="1">
        <f>$I$3 + $I$3 * Table596183195207231[[#This Row],[LV]] *25 / 100</f>
        <v>195</v>
      </c>
      <c r="J8" s="1">
        <f>$J$3 + $J$3 * Table596183195207231[[#This Row],[LV]] * 25 / 100</f>
        <v>565.5</v>
      </c>
      <c r="K8" s="1"/>
      <c r="L8" s="4">
        <v>35</v>
      </c>
      <c r="M8" s="1">
        <f>$M$3 + ((Table5997184196208232[[#This Row],[LV]] / 10) + $M$3 / 8) * Table5997184196208232[[#This Row],[LV]]</f>
        <v>162.8125</v>
      </c>
      <c r="N8" s="1"/>
      <c r="O8" s="1">
        <f>$O$3 + ($O$3 / 4) * Table5997184196208232[[#This Row],[LV]]</f>
        <v>175.5</v>
      </c>
      <c r="P8" s="1">
        <f>$P$3 + ($P$3 / 4) * Table5997184196208232[[#This Row],[LV]]</f>
        <v>146.25</v>
      </c>
      <c r="Q8" s="1">
        <f>$Q$3 + ($Q$3 / 4) * Table5997184196208232[[#This Row],[LV]]</f>
        <v>146.25</v>
      </c>
      <c r="R8" s="1">
        <f>$R$3 + ($R$3 / 4) * Table5997184196208232[[#This Row],[LV]]</f>
        <v>146.25</v>
      </c>
      <c r="S8" s="1">
        <f>$S$3 + ($S$3 / 4) * Table5997184196208232[[#This Row],[LV]]</f>
        <v>175.5</v>
      </c>
      <c r="T8" s="1">
        <f>Table596183195207231[[#This Row],[XP Given]]*1.25</f>
        <v>243.75</v>
      </c>
      <c r="U8" s="1">
        <f>Table596183195207231[[#This Row],[Gold Given]]*1.25</f>
        <v>706.875</v>
      </c>
      <c r="V8" s="1"/>
      <c r="W8" s="4">
        <v>35</v>
      </c>
      <c r="X8" s="1">
        <f>$X$3 + ((Table591098185197209233[[#This Row],[LV]] / 10) + $X$3 / 8) * Table591098185197209233[[#This Row],[LV]]</f>
        <v>176.25</v>
      </c>
      <c r="Y8" s="1"/>
      <c r="Z8" s="1">
        <f>$Z$3 + ($Z$3 / 4) * Table591098185197209233[[#This Row],[LV]]</f>
        <v>234</v>
      </c>
      <c r="AA8" s="1">
        <f>$AA$3 + ($AA$3 / 4) * Table591098185197209233[[#This Row],[LV]]</f>
        <v>195</v>
      </c>
      <c r="AB8" s="1">
        <f>$AB$3 + ($AB$3 / 4) * Table591098185197209233[[#This Row],[LV]]</f>
        <v>195</v>
      </c>
      <c r="AC8" s="1">
        <f>$AC$3 + ($AC$3 / 4) * Table591098185197209233[[#This Row],[LV]]</f>
        <v>195</v>
      </c>
      <c r="AD8" s="1">
        <f>$AD$3 + ($AD$3 / 4) * Table591098185197209233[[#This Row],[LV]]</f>
        <v>234</v>
      </c>
      <c r="AE8" s="1">
        <f>Table596183195207231[[#This Row],[XP Given]]*1.5</f>
        <v>292.5</v>
      </c>
      <c r="AF8" s="1">
        <f>Table596183195207231[[#This Row],[Gold Given]]*1.5</f>
        <v>848.25</v>
      </c>
    </row>
    <row r="10" spans="1:32" ht="25.8" x14ac:dyDescent="0.3">
      <c r="C10" s="53" t="s">
        <v>65</v>
      </c>
      <c r="D10" s="53"/>
      <c r="E10" s="53"/>
      <c r="F10" s="53"/>
      <c r="G10" s="53"/>
      <c r="H10" s="7"/>
      <c r="N10" s="53" t="s">
        <v>65</v>
      </c>
      <c r="O10" s="53"/>
      <c r="P10" s="53"/>
      <c r="Q10" s="53"/>
      <c r="R10" s="53"/>
      <c r="S10" s="7"/>
      <c r="T10" s="7"/>
      <c r="U10" s="7"/>
      <c r="V10" s="7"/>
      <c r="Y10" s="53" t="s">
        <v>65</v>
      </c>
      <c r="Z10" s="53"/>
      <c r="AA10" s="53"/>
      <c r="AB10" s="53"/>
      <c r="AC10" s="53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12</v>
      </c>
      <c r="E12" s="1">
        <f>CEILING(Elf!$B33 / IF(Elf!$D33 &lt; 10.8, $F$4, $F$4 / (Elf!$D33 / 10.8)),1)</f>
        <v>13</v>
      </c>
      <c r="F12" s="1">
        <f>CEILING(Beastgirl!$B33/ IF(Beastgirl!$D33&lt; 10.8,$F$4, $F$4 / (Beastgirl!$D33 / 10.8)),1)</f>
        <v>21</v>
      </c>
      <c r="G12" s="1">
        <f>CEILING(Warrior!$B33/ IF(Warrior!$D33&lt; 10.8, $F$4, $F$4 / (Warrior!$D33 / 10.8)),1)</f>
        <v>15</v>
      </c>
      <c r="I12" s="1">
        <v>156</v>
      </c>
      <c r="N12" s="1">
        <v>31</v>
      </c>
      <c r="O12" s="1">
        <f>CEILING(Demon!$B33 / IF(Demon!$D33&lt; 10.8, $Q$4, $Q$4 / (Demon!$D33/ 10.8)),1)</f>
        <v>8</v>
      </c>
      <c r="P12" s="1">
        <f>CEILING(Elf!$B33 / IF(Elf!$D33 &lt; 10.8, $Q$4, $Q$4 / (Elf!$D33 / 10.8)),1)</f>
        <v>9</v>
      </c>
      <c r="Q12" s="1">
        <f>CEILING(Beastgirl!$B33 / IF(Beastgirl!$D33&lt; 10.8, $Q$4, $Q$4 / (Beastgirl!$D33/ 10.8)),1)</f>
        <v>14</v>
      </c>
      <c r="R12" s="1">
        <f>CEILING(Warrior!$B33 / IF(Warrior!$D33&lt; 10.8, $Q$4, $Q$4 / (Warrior!$D33 / 10.8)),1)</f>
        <v>10</v>
      </c>
      <c r="Y12" s="1">
        <v>31</v>
      </c>
      <c r="Z12" s="1">
        <f>CEILING(Demon!$B33 / IF(Demon!$D33&lt; 10.8, $AB$4, $AB$4 / (Demon!$D33 / 10.8)),1)</f>
        <v>6</v>
      </c>
      <c r="AA12" s="1">
        <f>CEILING(Elf!$B33 / IF(Elf!$D33 &lt; 10.8, $AB$4, $AB$4 / (Elf!$D33 / 10.8)),1)</f>
        <v>7</v>
      </c>
      <c r="AB12" s="1">
        <f>CEILING(Beastgirl!$B33 / IF(Beastgirl!$D33&lt; 10.8, $AB$4, $AB$4 / (Beastgirl!$D33 / 10.8)),1)</f>
        <v>11</v>
      </c>
      <c r="AC12" s="1">
        <f>CEILING(Warrior!$B33 / IF(Warrior!$D33&lt; 10.8, $AB$4, $AB$4 / (Warrior!$D33 / 10.8)),1)</f>
        <v>8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13</v>
      </c>
      <c r="E13" s="1">
        <f>CEILING(Elf!$B34 / IF(Elf!$D34 &lt; 10.8, $F$4, $F$4 / (Elf!$D34 / 10.8)),1)</f>
        <v>14</v>
      </c>
      <c r="F13" s="1">
        <f>CEILING(Beastgirl!$B34/ IF(Beastgirl!$D34&lt; 10.8,$F$4, $F$4 / (Beastgirl!$D34 / 10.8)),1)</f>
        <v>23</v>
      </c>
      <c r="G13" s="1">
        <f>CEILING(Warrior!$B34/ IF(Warrior!$D34&lt; 10.8, $F$4, $F$4 / (Warrior!$D34 / 10.8)),1)</f>
        <v>16</v>
      </c>
      <c r="I13" s="1">
        <v>170</v>
      </c>
      <c r="N13" s="1">
        <v>32</v>
      </c>
      <c r="O13" s="1">
        <f>CEILING(Demon!$B34 / IF(Demon!$D34&lt; 10.8, $Q$4, $Q$4 / (Demon!$D34/ 10.8)),1)</f>
        <v>9</v>
      </c>
      <c r="P13" s="1">
        <f>CEILING(Elf!$B34 / IF(Elf!$D34 &lt; 10.8, $Q$4, $Q$4 / (Elf!$D34 / 10.8)),1)</f>
        <v>9</v>
      </c>
      <c r="Q13" s="1">
        <f>CEILING(Beastgirl!$B34 / IF(Beastgirl!$D34&lt; 10.8, $Q$4, $Q$4 / (Beastgirl!$D34/ 10.8)),1)</f>
        <v>15</v>
      </c>
      <c r="R13" s="1">
        <f>CEILING(Warrior!$B34 / IF(Warrior!$D34&lt; 10.8, $Q$4, $Q$4 / (Warrior!$D34 / 10.8)),1)</f>
        <v>11</v>
      </c>
      <c r="Y13" s="1">
        <v>32</v>
      </c>
      <c r="Z13" s="1">
        <f>CEILING(Demon!$B34 / IF(Demon!$D34&lt; 10.8, $AB$4, $AB$4 / (Demon!$D34 / 10.8)),1)</f>
        <v>7</v>
      </c>
      <c r="AA13" s="1">
        <f>CEILING(Elf!$B34 / IF(Elf!$D34 &lt; 10.8, $AB$4, $AB$4 / (Elf!$D34 / 10.8)),1)</f>
        <v>7</v>
      </c>
      <c r="AB13" s="1">
        <f>CEILING(Beastgirl!$B34 / IF(Beastgirl!$D34&lt; 10.8, $AB$4, $AB$4 / (Beastgirl!$D34 / 10.8)),1)</f>
        <v>12</v>
      </c>
      <c r="AC13" s="1">
        <f>CEILING(Warrior!$B34 / IF(Warrior!$D34&lt; 10.8, $AB$4, $AB$4 / (Warrior!$D34 / 10.8)),1)</f>
        <v>8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13</v>
      </c>
      <c r="E14" s="1">
        <f>CEILING(Elf!$B35 / IF(Elf!$D35 &lt; 10.8, $F$4, $F$4 / (Elf!$D35 / 10.8)),1)</f>
        <v>15</v>
      </c>
      <c r="F14" s="1">
        <f>CEILING(Beastgirl!$B35/ IF(Beastgirl!$D35&lt; 10.8,$F$4, $F$4 / (Beastgirl!$D35 / 10.8)),1)</f>
        <v>24</v>
      </c>
      <c r="G14" s="1">
        <f>CEILING(Warrior!$B35/ IF(Warrior!$D35&lt; 10.8, $F$4, $F$4 / (Warrior!$D35 / 10.8)),1)</f>
        <v>17</v>
      </c>
      <c r="I14" s="1">
        <v>185</v>
      </c>
      <c r="N14" s="1">
        <v>33</v>
      </c>
      <c r="O14" s="1">
        <f>CEILING(Demon!$B35 / IF(Demon!$D35&lt; 10.8, $Q$4, $Q$4 / (Demon!$D35/ 10.8)),1)</f>
        <v>9</v>
      </c>
      <c r="P14" s="1">
        <f>CEILING(Elf!$B35 / IF(Elf!$D35 &lt; 10.8, $Q$4, $Q$4 / (Elf!$D35 / 10.8)),1)</f>
        <v>10</v>
      </c>
      <c r="Q14" s="1">
        <f>CEILING(Beastgirl!$B35 / IF(Beastgirl!$D35&lt; 10.8, $Q$4, $Q$4 / (Beastgirl!$D35/ 10.8)),1)</f>
        <v>16</v>
      </c>
      <c r="R14" s="1">
        <f>CEILING(Warrior!$B35 / IF(Warrior!$D35&lt; 10.8, $Q$4, $Q$4 / (Warrior!$D35 / 10.8)),1)</f>
        <v>11</v>
      </c>
      <c r="Y14" s="1">
        <v>33</v>
      </c>
      <c r="Z14" s="1">
        <f>CEILING(Demon!$B35 / IF(Demon!$D35&lt; 10.8, $AB$4, $AB$4 / (Demon!$D35 / 10.8)),1)</f>
        <v>7</v>
      </c>
      <c r="AA14" s="1">
        <f>CEILING(Elf!$B35 / IF(Elf!$D35 &lt; 10.8, $AB$4, $AB$4 / (Elf!$D35 / 10.8)),1)</f>
        <v>8</v>
      </c>
      <c r="AB14" s="1">
        <f>CEILING(Beastgirl!$B35 / IF(Beastgirl!$D35&lt; 10.8, $AB$4, $AB$4 / (Beastgirl!$D35 / 10.8)),1)</f>
        <v>12</v>
      </c>
      <c r="AC14" s="1">
        <f>CEILING(Warrior!$B35 / IF(Warrior!$D35&lt; 10.8, $AB$4, $AB$4 / (Warrior!$D35 / 10.8)),1)</f>
        <v>9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14</v>
      </c>
      <c r="E15" s="1">
        <f>CEILING(Elf!$B36 / IF(Elf!$D36 &lt; 10.8, $F$4, $F$4 / (Elf!$D36 / 10.8)),1)</f>
        <v>16</v>
      </c>
      <c r="F15" s="1">
        <f>CEILING(Beastgirl!$B36/ IF(Beastgirl!$D36&lt; 10.8,$F$4, $F$4 / (Beastgirl!$D36 / 10.8)),1)</f>
        <v>25</v>
      </c>
      <c r="G15" s="1">
        <f>CEILING(Warrior!$B36/ IF(Warrior!$D36&lt; 10.8, $F$4, $F$4 / (Warrior!$D36 / 10.8)),1)</f>
        <v>18</v>
      </c>
      <c r="I15" s="1">
        <v>202</v>
      </c>
      <c r="N15" s="1">
        <v>34</v>
      </c>
      <c r="O15" s="1">
        <f>CEILING(Demon!$B36 / IF(Demon!$D36&lt; 10.8, $Q$4, $Q$4 / (Demon!$D36/ 10.8)),1)</f>
        <v>10</v>
      </c>
      <c r="P15" s="1">
        <f>CEILING(Elf!$B36 / IF(Elf!$D36 &lt; 10.8, $Q$4, $Q$4 / (Elf!$D36 / 10.8)),1)</f>
        <v>11</v>
      </c>
      <c r="Q15" s="1">
        <f>CEILING(Beastgirl!$B36 / IF(Beastgirl!$D36&lt; 10.8, $Q$4, $Q$4 / (Beastgirl!$D36/ 10.8)),1)</f>
        <v>17</v>
      </c>
      <c r="R15" s="1">
        <f>CEILING(Warrior!$B36 / IF(Warrior!$D36&lt; 10.8, $Q$4, $Q$4 / (Warrior!$D36 / 10.8)),1)</f>
        <v>12</v>
      </c>
      <c r="Y15" s="1">
        <v>34</v>
      </c>
      <c r="Z15" s="1">
        <f>CEILING(Demon!$B36 / IF(Demon!$D36&lt; 10.8, $AB$4, $AB$4 / (Demon!$D36 / 10.8)),1)</f>
        <v>7</v>
      </c>
      <c r="AA15" s="1">
        <f>CEILING(Elf!$B36 / IF(Elf!$D36 &lt; 10.8, $AB$4, $AB$4 / (Elf!$D36 / 10.8)),1)</f>
        <v>8</v>
      </c>
      <c r="AB15" s="1">
        <f>CEILING(Beastgirl!$B36 / IF(Beastgirl!$D36&lt; 10.8, $AB$4, $AB$4 / (Beastgirl!$D36 / 10.8)),1)</f>
        <v>13</v>
      </c>
      <c r="AC15" s="1">
        <f>CEILING(Warrior!$B36 / IF(Warrior!$D36&lt; 10.8, $AB$4, $AB$4 / (Warrior!$D36 / 10.8)),1)</f>
        <v>9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19</v>
      </c>
      <c r="E16" s="1">
        <f>CEILING(Elf!$B37 / IF(Elf!$D37 &lt; 10.8, $F$4, $F$4 / (Elf!$D37 / 10.8)),1)</f>
        <v>21</v>
      </c>
      <c r="F16" s="1">
        <f>CEILING(Beastgirl!$B37/ IF(Beastgirl!$D37&lt; 10.8,$F$4, $F$4 / (Beastgirl!$D37 / 10.8)),1)</f>
        <v>33</v>
      </c>
      <c r="G16" s="1">
        <f>CEILING(Warrior!$B37/ IF(Warrior!$D37&lt; 10.8, $F$4, $F$4 / (Warrior!$D37 / 10.8)),1)</f>
        <v>24</v>
      </c>
      <c r="I16" s="1">
        <v>219</v>
      </c>
      <c r="N16" s="1">
        <v>35</v>
      </c>
      <c r="O16" s="1">
        <f>CEILING(Demon!$B37 / IF(Demon!$D37&lt; 10.8, $Q$4, $Q$4 / (Demon!$D37/ 10.8)),1)</f>
        <v>13</v>
      </c>
      <c r="P16" s="1">
        <f>CEILING(Elf!$B37 / IF(Elf!$D37 &lt; 10.8, $Q$4, $Q$4 / (Elf!$D37 / 10.8)),1)</f>
        <v>14</v>
      </c>
      <c r="Q16" s="1">
        <f>CEILING(Beastgirl!$B37 / IF(Beastgirl!$D37&lt; 10.8, $Q$4, $Q$4 / (Beastgirl!$D37/ 10.8)),1)</f>
        <v>22</v>
      </c>
      <c r="R16" s="1">
        <f>CEILING(Warrior!$B37 / IF(Warrior!$D37&lt; 10.8, $Q$4, $Q$4 / (Warrior!$D37 / 10.8)),1)</f>
        <v>16</v>
      </c>
      <c r="Y16" s="1">
        <v>35</v>
      </c>
      <c r="Z16" s="1">
        <f>CEILING(Demon!$B37 / IF(Demon!$D37&lt; 10.8, $AB$4, $AB$4 / (Demon!$D37 / 10.8)),1)</f>
        <v>10</v>
      </c>
      <c r="AA16" s="1">
        <f>CEILING(Elf!$B37 / IF(Elf!$D37 &lt; 10.8, $AB$4, $AB$4 / (Elf!$D37 / 10.8)),1)</f>
        <v>11</v>
      </c>
      <c r="AB16" s="1">
        <f>CEILING(Beastgirl!$B37 / IF(Beastgirl!$D37&lt; 10.8, $AB$4, $AB$4 / (Beastgirl!$D37 / 10.8)),1)</f>
        <v>17</v>
      </c>
      <c r="AC16" s="1">
        <f>CEILING(Warrior!$B37 / IF(Warrior!$D37&lt; 10.8, $AB$4, $AB$4 / (Warrior!$D37 / 10.8)),1)</f>
        <v>12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20</v>
      </c>
      <c r="E17" s="1">
        <f>CEILING(Elf!$B38 / IF(Elf!$D38 &lt; 10.8, $F$4, $F$4 / (Elf!$D38 / 10.8)),1)</f>
        <v>22</v>
      </c>
      <c r="F17" s="1">
        <f>CEILING(Beastgirl!$B38/ IF(Beastgirl!$D38&lt; 10.8,$F$4, $F$4 / (Beastgirl!$D38 / 10.8)),1)</f>
        <v>35</v>
      </c>
      <c r="G17" s="1">
        <f>CEILING(Warrior!$B38/ IF(Warrior!$D38&lt; 10.8, $F$4, $F$4 / (Warrior!$D38 / 10.8)),1)</f>
        <v>25</v>
      </c>
      <c r="N17" s="1">
        <v>36</v>
      </c>
      <c r="O17" s="1">
        <f>CEILING(Demon!$B38 / IF(Demon!$D38&lt; 10.8, $Q$4, $Q$4 / (Demon!$D38/ 10.8)),1)</f>
        <v>13</v>
      </c>
      <c r="P17" s="1">
        <f>CEILING(Elf!$B38 / IF(Elf!$D38 &lt; 10.8, $Q$4, $Q$4 / (Elf!$D38 / 10.8)),1)</f>
        <v>15</v>
      </c>
      <c r="Q17" s="1">
        <f>CEILING(Beastgirl!$B38 / IF(Beastgirl!$D38&lt; 10.8, $Q$4, $Q$4 / (Beastgirl!$D38/ 10.8)),1)</f>
        <v>23</v>
      </c>
      <c r="R17" s="1">
        <f>CEILING(Warrior!$B38 / IF(Warrior!$D38&lt; 10.8, $Q$4, $Q$4 / (Warrior!$D38 / 10.8)),1)</f>
        <v>17</v>
      </c>
      <c r="Y17" s="1">
        <v>36</v>
      </c>
      <c r="Z17" s="1">
        <f>CEILING(Demon!$B38 / IF(Demon!$D38&lt; 10.8, $AB$4, $AB$4 / (Demon!$D38 / 10.8)),1)</f>
        <v>10</v>
      </c>
      <c r="AA17" s="1">
        <f>CEILING(Elf!$B38 / IF(Elf!$D38 &lt; 10.8, $AB$4, $AB$4 / (Elf!$D38 / 10.8)),1)</f>
        <v>11</v>
      </c>
      <c r="AB17" s="1">
        <f>CEILING(Beastgirl!$B38 / IF(Beastgirl!$D38&lt; 10.8, $AB$4, $AB$4 / (Beastgirl!$D38 / 10.8)),1)</f>
        <v>18</v>
      </c>
      <c r="AC17" s="1">
        <f>CEILING(Warrior!$B38 / IF(Warrior!$D38&lt; 10.8, $AB$4, $AB$4 / (Warrior!$D38 / 10.8)),1)</f>
        <v>13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21</v>
      </c>
      <c r="E18" s="1">
        <f>CEILING(Elf!$B39 / IF(Elf!$D39 &lt; 10.8, $F$4, $F$4 / (Elf!$D39 / 10.8)),1)</f>
        <v>23</v>
      </c>
      <c r="F18" s="1">
        <f>CEILING(Beastgirl!$B39/ IF(Beastgirl!$D39&lt; 10.8,$F$4, $F$4 / (Beastgirl!$D39 / 10.8)),1)</f>
        <v>37</v>
      </c>
      <c r="G18" s="1">
        <f>CEILING(Warrior!$B39/ IF(Warrior!$D39&lt; 10.8, $F$4, $F$4 / (Warrior!$D39 / 10.8)),1)</f>
        <v>26</v>
      </c>
      <c r="N18" s="1">
        <v>37</v>
      </c>
      <c r="O18" s="1">
        <f>CEILING(Demon!$B39 / IF(Demon!$D39&lt; 10.8, $Q$4, $Q$4 / (Demon!$D39/ 10.8)),1)</f>
        <v>14</v>
      </c>
      <c r="P18" s="1">
        <f>CEILING(Elf!$B39 / IF(Elf!$D39 &lt; 10.8, $Q$4, $Q$4 / (Elf!$D39 / 10.8)),1)</f>
        <v>16</v>
      </c>
      <c r="Q18" s="1">
        <f>CEILING(Beastgirl!$B39 / IF(Beastgirl!$D39&lt; 10.8, $Q$4, $Q$4 / (Beastgirl!$D39/ 10.8)),1)</f>
        <v>25</v>
      </c>
      <c r="R18" s="1">
        <f>CEILING(Warrior!$B39 / IF(Warrior!$D39&lt; 10.8, $Q$4, $Q$4 / (Warrior!$D39 / 10.8)),1)</f>
        <v>18</v>
      </c>
      <c r="Y18" s="1">
        <v>37</v>
      </c>
      <c r="Z18" s="1">
        <f>CEILING(Demon!$B39 / IF(Demon!$D39&lt; 10.8, $AB$4, $AB$4 / (Demon!$D39 / 10.8)),1)</f>
        <v>11</v>
      </c>
      <c r="AA18" s="1">
        <f>CEILING(Elf!$B39 / IF(Elf!$D39 &lt; 10.8, $AB$4, $AB$4 / (Elf!$D39 / 10.8)),1)</f>
        <v>12</v>
      </c>
      <c r="AB18" s="1">
        <f>CEILING(Beastgirl!$B39 / IF(Beastgirl!$D39&lt; 10.8, $AB$4, $AB$4 / (Beastgirl!$D39 / 10.8)),1)</f>
        <v>19</v>
      </c>
      <c r="AC18" s="1">
        <f>CEILING(Warrior!$B39 / IF(Warrior!$D39&lt; 10.8, $AB$4, $AB$4 / (Warrior!$D39 / 10.8)),1)</f>
        <v>13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22</v>
      </c>
      <c r="E19" s="1">
        <f>CEILING(Elf!$B40 / IF(Elf!$D40 &lt; 10.8, $F$4, $F$4 / (Elf!$D40 / 10.8)),1)</f>
        <v>24</v>
      </c>
      <c r="F19" s="1">
        <f>CEILING(Beastgirl!$B40/ IF(Beastgirl!$D40&lt; 10.8,$F$4, $F$4 / (Beastgirl!$D40 / 10.8)),1)</f>
        <v>38</v>
      </c>
      <c r="G19" s="1">
        <f>CEILING(Warrior!$B40/ IF(Warrior!$D40&lt; 10.8, $F$4, $F$4 / (Warrior!$D40 / 10.8)),1)</f>
        <v>28</v>
      </c>
      <c r="N19" s="1">
        <v>38</v>
      </c>
      <c r="O19" s="1">
        <f>CEILING(Demon!$B40 / IF(Demon!$D40&lt; 10.8, $Q$4, $Q$4 / (Demon!$D40/ 10.8)),1)</f>
        <v>15</v>
      </c>
      <c r="P19" s="1">
        <f>CEILING(Elf!$B40 / IF(Elf!$D40 &lt; 10.8, $Q$4, $Q$4 / (Elf!$D40 / 10.8)),1)</f>
        <v>16</v>
      </c>
      <c r="Q19" s="1">
        <f>CEILING(Beastgirl!$B40 / IF(Beastgirl!$D40&lt; 10.8, $Q$4, $Q$4 / (Beastgirl!$D40/ 10.8)),1)</f>
        <v>26</v>
      </c>
      <c r="R19" s="1">
        <f>CEILING(Warrior!$B40 / IF(Warrior!$D40&lt; 10.8, $Q$4, $Q$4 / (Warrior!$D40 / 10.8)),1)</f>
        <v>19</v>
      </c>
      <c r="Y19" s="1">
        <v>38</v>
      </c>
      <c r="Z19" s="1">
        <f>CEILING(Demon!$B40 / IF(Demon!$D40&lt; 10.8, $AB$4, $AB$4 / (Demon!$D40 / 10.8)),1)</f>
        <v>11</v>
      </c>
      <c r="AA19" s="1">
        <f>CEILING(Elf!$B40 / IF(Elf!$D40 &lt; 10.8, $AB$4, $AB$4 / (Elf!$D40 / 10.8)),1)</f>
        <v>12</v>
      </c>
      <c r="AB19" s="1">
        <f>CEILING(Beastgirl!$B40 / IF(Beastgirl!$D40&lt; 10.8, $AB$4, $AB$4 / (Beastgirl!$D40 / 10.8)),1)</f>
        <v>19</v>
      </c>
      <c r="AC19" s="1">
        <f>CEILING(Warrior!$B40 / IF(Warrior!$D40&lt; 10.8, $AB$4, $AB$4 / (Warrior!$D40 / 10.8)),1)</f>
        <v>14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23</v>
      </c>
      <c r="E20" s="1">
        <f>CEILING(Elf!$B41 / IF(Elf!$D41 &lt; 10.8, $F$4, $F$4 / (Elf!$D41 / 10.8)),1)</f>
        <v>26</v>
      </c>
      <c r="F20" s="1">
        <f>CEILING(Beastgirl!$B41/ IF(Beastgirl!$D41&lt; 10.8,$F$4, $F$4 / (Beastgirl!$D41 / 10.8)),1)</f>
        <v>40</v>
      </c>
      <c r="G20" s="1">
        <f>CEILING(Warrior!$B41/ IF(Warrior!$D41&lt; 10.8, $F$4, $F$4 / (Warrior!$D41 / 10.8)),1)</f>
        <v>29</v>
      </c>
      <c r="N20" s="1">
        <v>39</v>
      </c>
      <c r="O20" s="1">
        <f>CEILING(Demon!$B41 / IF(Demon!$D41&lt; 10.8, $Q$4, $Q$4 / (Demon!$D41/ 10.8)),1)</f>
        <v>15</v>
      </c>
      <c r="P20" s="1">
        <f>CEILING(Elf!$B41 / IF(Elf!$D41 &lt; 10.8, $Q$4, $Q$4 / (Elf!$D41 / 10.8)),1)</f>
        <v>17</v>
      </c>
      <c r="Q20" s="1">
        <f>CEILING(Beastgirl!$B41 / IF(Beastgirl!$D41&lt; 10.8, $Q$4, $Q$4 / (Beastgirl!$D41/ 10.8)),1)</f>
        <v>27</v>
      </c>
      <c r="R20" s="1">
        <f>CEILING(Warrior!$B41 / IF(Warrior!$D41&lt; 10.8, $Q$4, $Q$4 / (Warrior!$D41 / 10.8)),1)</f>
        <v>19</v>
      </c>
      <c r="Y20" s="1">
        <v>39</v>
      </c>
      <c r="Z20" s="1">
        <f>CEILING(Demon!$B41 / IF(Demon!$D41&lt; 10.8, $AB$4, $AB$4 / (Demon!$D41 / 10.8)),1)</f>
        <v>12</v>
      </c>
      <c r="AA20" s="1">
        <f>CEILING(Elf!$B41 / IF(Elf!$D41 &lt; 10.8, $AB$4, $AB$4 / (Elf!$D41 / 10.8)),1)</f>
        <v>13</v>
      </c>
      <c r="AB20" s="1">
        <f>CEILING(Beastgirl!$B41 / IF(Beastgirl!$D41&lt; 10.8, $AB$4, $AB$4 / (Beastgirl!$D41 / 10.8)),1)</f>
        <v>20</v>
      </c>
      <c r="AC20" s="1">
        <f>CEILING(Warrior!$B41 / IF(Warrior!$D41&lt; 10.8, $AB$4, $AB$4 / (Warrior!$D41 / 10.8)),1)</f>
        <v>15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24</v>
      </c>
      <c r="E21" s="1">
        <f>CEILING(Elf!$B42 / IF(Elf!$D42 &lt; 10.8, $F$4, $F$4 / (Elf!$D42 / 10.8)),1)</f>
        <v>27</v>
      </c>
      <c r="F21" s="1">
        <f>CEILING(Beastgirl!$B42/ IF(Beastgirl!$D42&lt; 10.8,$F$4, $F$4 / (Beastgirl!$D42 / 10.8)),1)</f>
        <v>42</v>
      </c>
      <c r="G21" s="1">
        <f>CEILING(Warrior!$B42/ IF(Warrior!$D42&lt; 10.8, $F$4, $F$4 / (Warrior!$D42 / 10.8)),1)</f>
        <v>30</v>
      </c>
      <c r="N21" s="1">
        <v>40</v>
      </c>
      <c r="O21" s="1">
        <f>CEILING(Demon!$B42 / IF(Demon!$D42&lt; 10.8, $Q$4, $Q$4 / (Demon!$D42/ 10.8)),1)</f>
        <v>16</v>
      </c>
      <c r="P21" s="1">
        <f>CEILING(Elf!$B42 / IF(Elf!$D42 &lt; 10.8, $Q$4, $Q$4 / (Elf!$D42 / 10.8)),1)</f>
        <v>18</v>
      </c>
      <c r="Q21" s="1">
        <f>CEILING(Beastgirl!$B42 / IF(Beastgirl!$D42&lt; 10.8, $Q$4, $Q$4 / (Beastgirl!$D42/ 10.8)),1)</f>
        <v>28</v>
      </c>
      <c r="R21" s="1">
        <f>CEILING(Warrior!$B42 / IF(Warrior!$D42&lt; 10.8, $Q$4, $Q$4 / (Warrior!$D42 / 10.8)),1)</f>
        <v>20</v>
      </c>
      <c r="Y21" s="1">
        <v>40</v>
      </c>
      <c r="Z21" s="1">
        <f>CEILING(Demon!$B42 / IF(Demon!$D42&lt; 10.8, $AB$4, $AB$4 / (Demon!$D42 / 10.8)),1)</f>
        <v>12</v>
      </c>
      <c r="AA21" s="1">
        <f>CEILING(Elf!$B42 / IF(Elf!$D42 &lt; 10.8, $AB$4, $AB$4 / (Elf!$D42 / 10.8)),1)</f>
        <v>14</v>
      </c>
      <c r="AB21" s="1">
        <f>CEILING(Beastgirl!$B42 / IF(Beastgirl!$D42&lt; 10.8, $AB$4, $AB$4 / (Beastgirl!$D42 / 10.8)),1)</f>
        <v>21</v>
      </c>
      <c r="AC21" s="1">
        <f>CEILING(Warrior!$B42 / IF(Warrior!$D42&lt; 10.8, $AB$4, $AB$4 / (Warrior!$D42 / 10.8)),1)</f>
        <v>15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25</v>
      </c>
      <c r="E22" s="1">
        <f>CEILING(Elf!$B43 / IF(Elf!$D43 &lt; 10.8, $F$4, $F$4 / (Elf!$D43 / 10.8)),1)</f>
        <v>28</v>
      </c>
      <c r="F22" s="1">
        <f>CEILING(Beastgirl!$B43/ IF(Beastgirl!$D43&lt; 10.8,$F$4, $F$4 / (Beastgirl!$D43 / 10.8)),1)</f>
        <v>44</v>
      </c>
      <c r="G22" s="1">
        <f>CEILING(Warrior!$B43/ IF(Warrior!$D43&lt; 10.8, $F$4, $F$4 / (Warrior!$D43 / 10.8)),1)</f>
        <v>32</v>
      </c>
      <c r="N22" s="1">
        <v>41</v>
      </c>
      <c r="O22" s="1">
        <f>CEILING(Demon!$B43 / IF(Demon!$D43&lt; 10.8, $Q$4, $Q$4 / (Demon!$D43/ 10.8)),1)</f>
        <v>17</v>
      </c>
      <c r="P22" s="1">
        <f>CEILING(Elf!$B43 / IF(Elf!$D43 &lt; 10.8, $Q$4, $Q$4 / (Elf!$D43 / 10.8)),1)</f>
        <v>19</v>
      </c>
      <c r="Q22" s="1">
        <f>CEILING(Beastgirl!$B43 / IF(Beastgirl!$D43&lt; 10.8, $Q$4, $Q$4 / (Beastgirl!$D43/ 10.8)),1)</f>
        <v>30</v>
      </c>
      <c r="R22" s="1">
        <f>CEILING(Warrior!$B43 / IF(Warrior!$D43&lt; 10.8, $Q$4, $Q$4 / (Warrior!$D43 / 10.8)),1)</f>
        <v>21</v>
      </c>
      <c r="Y22" s="1">
        <v>41</v>
      </c>
      <c r="Z22" s="1">
        <f>CEILING(Demon!$B43 / IF(Demon!$D43&lt; 10.8, $AB$4, $AB$4 / (Demon!$D43 / 10.8)),1)</f>
        <v>13</v>
      </c>
      <c r="AA22" s="1">
        <f>CEILING(Elf!$B43 / IF(Elf!$D43 &lt; 10.8, $AB$4, $AB$4 / (Elf!$D43 / 10.8)),1)</f>
        <v>14</v>
      </c>
      <c r="AB22" s="1">
        <f>CEILING(Beastgirl!$B43 / IF(Beastgirl!$D43&lt; 10.8, $AB$4, $AB$4 / (Beastgirl!$D43 / 10.8)),1)</f>
        <v>22</v>
      </c>
      <c r="AC22" s="1">
        <f>CEILING(Warrior!$B43 / IF(Warrior!$D43&lt; 10.8, $AB$4, $AB$4 / (Warrior!$D43 / 10.8)),1)</f>
        <v>16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26</v>
      </c>
      <c r="E23" s="1">
        <f>CEILING(Elf!$B44 / IF(Elf!$D44 &lt; 10.8, $F$4, $F$4 / (Elf!$D44 / 10.8)),1)</f>
        <v>30</v>
      </c>
      <c r="F23" s="1">
        <f>CEILING(Beastgirl!$B44/ IF(Beastgirl!$D44&lt; 10.8,$F$4, $F$4 / (Beastgirl!$D44 / 10.8)),1)</f>
        <v>46</v>
      </c>
      <c r="G23" s="1">
        <f>CEILING(Warrior!$B44/ IF(Warrior!$D44&lt; 10.8, $F$4, $F$4 / (Warrior!$D44 / 10.8)),1)</f>
        <v>33</v>
      </c>
      <c r="N23" s="1">
        <v>42</v>
      </c>
      <c r="O23" s="1">
        <f>CEILING(Demon!$B44 / IF(Demon!$D44&lt; 10.8, $Q$4, $Q$4 / (Demon!$D44/ 10.8)),1)</f>
        <v>18</v>
      </c>
      <c r="P23" s="1">
        <f>CEILING(Elf!$B44 / IF(Elf!$D44 &lt; 10.8, $Q$4, $Q$4 / (Elf!$D44 / 10.8)),1)</f>
        <v>20</v>
      </c>
      <c r="Q23" s="1">
        <f>CEILING(Beastgirl!$B44 / IF(Beastgirl!$D44&lt; 10.8, $Q$4, $Q$4 / (Beastgirl!$D44/ 10.8)),1)</f>
        <v>31</v>
      </c>
      <c r="R23" s="1">
        <f>CEILING(Warrior!$B44 / IF(Warrior!$D44&lt; 10.8, $Q$4, $Q$4 / (Warrior!$D44 / 10.8)),1)</f>
        <v>22</v>
      </c>
      <c r="Y23" s="1">
        <v>42</v>
      </c>
      <c r="Z23" s="1">
        <f>CEILING(Demon!$B44 / IF(Demon!$D44&lt; 10.8, $AB$4, $AB$4 / (Demon!$D44 / 10.8)),1)</f>
        <v>13</v>
      </c>
      <c r="AA23" s="1">
        <f>CEILING(Elf!$B44 / IF(Elf!$D44 &lt; 10.8, $AB$4, $AB$4 / (Elf!$D44 / 10.8)),1)</f>
        <v>15</v>
      </c>
      <c r="AB23" s="1">
        <f>CEILING(Beastgirl!$B44 / IF(Beastgirl!$D44&lt; 10.8, $AB$4, $AB$4 / (Beastgirl!$D44 / 10.8)),1)</f>
        <v>23</v>
      </c>
      <c r="AC23" s="1">
        <f>CEILING(Warrior!$B44 / IF(Warrior!$D44&lt; 10.8, $AB$4, $AB$4 / (Warrior!$D44 / 10.8)),1)</f>
        <v>17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27</v>
      </c>
      <c r="E24" s="1">
        <f>CEILING(Elf!$B45 / IF(Elf!$D45 &lt; 10.8, $F$4, $F$4 / (Elf!$D45 / 10.8)),1)</f>
        <v>31</v>
      </c>
      <c r="F24" s="1">
        <f>CEILING(Beastgirl!$B45/ IF(Beastgirl!$D45&lt; 10.8,$F$4, $F$4 / (Beastgirl!$D45 / 10.8)),1)</f>
        <v>48</v>
      </c>
      <c r="G24" s="1">
        <f>CEILING(Warrior!$B45/ IF(Warrior!$D45&lt; 10.8, $F$4, $F$4 / (Warrior!$D45 / 10.8)),1)</f>
        <v>35</v>
      </c>
      <c r="N24" s="1">
        <v>43</v>
      </c>
      <c r="O24" s="1">
        <f>CEILING(Demon!$B45 / IF(Demon!$D45&lt; 10.8, $Q$4, $Q$4 / (Demon!$D45/ 10.8)),1)</f>
        <v>18</v>
      </c>
      <c r="P24" s="1">
        <f>CEILING(Elf!$B45 / IF(Elf!$D45 &lt; 10.8, $Q$4, $Q$4 / (Elf!$D45 / 10.8)),1)</f>
        <v>21</v>
      </c>
      <c r="Q24" s="1">
        <f>CEILING(Beastgirl!$B45 / IF(Beastgirl!$D45&lt; 10.8, $Q$4, $Q$4 / (Beastgirl!$D45/ 10.8)),1)</f>
        <v>32</v>
      </c>
      <c r="R24" s="1">
        <f>CEILING(Warrior!$B45 / IF(Warrior!$D45&lt; 10.8, $Q$4, $Q$4 / (Warrior!$D45 / 10.8)),1)</f>
        <v>23</v>
      </c>
      <c r="Y24" s="1">
        <v>43</v>
      </c>
      <c r="Z24" s="1">
        <f>CEILING(Demon!$B45 / IF(Demon!$D45&lt; 10.8, $AB$4, $AB$4 / (Demon!$D45 / 10.8)),1)</f>
        <v>14</v>
      </c>
      <c r="AA24" s="1">
        <f>CEILING(Elf!$B45 / IF(Elf!$D45 &lt; 10.8, $AB$4, $AB$4 / (Elf!$D45 / 10.8)),1)</f>
        <v>16</v>
      </c>
      <c r="AB24" s="1">
        <f>CEILING(Beastgirl!$B45 / IF(Beastgirl!$D45&lt; 10.8, $AB$4, $AB$4 / (Beastgirl!$D45 / 10.8)),1)</f>
        <v>24</v>
      </c>
      <c r="AC24" s="1">
        <f>CEILING(Warrior!$B45 / IF(Warrior!$D45&lt; 10.8, $AB$4, $AB$4 / (Warrior!$D45 / 10.8)),1)</f>
        <v>18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29</v>
      </c>
      <c r="E25" s="1">
        <f>CEILING(Elf!$B46 / IF(Elf!$D46 &lt; 10.8, $F$4, $F$4 / (Elf!$D46 / 10.8)),1)</f>
        <v>33</v>
      </c>
      <c r="F25" s="1">
        <f>CEILING(Beastgirl!$B46/ IF(Beastgirl!$D46&lt; 10.8,$F$4, $F$4 / (Beastgirl!$D46 / 10.8)),1)</f>
        <v>50</v>
      </c>
      <c r="G25" s="1">
        <f>CEILING(Warrior!$B46/ IF(Warrior!$D46&lt; 10.8, $F$4, $F$4 / (Warrior!$D46 / 10.8)),1)</f>
        <v>36</v>
      </c>
      <c r="N25" s="1">
        <v>44</v>
      </c>
      <c r="O25" s="1">
        <f>CEILING(Demon!$B46 / IF(Demon!$D46&lt; 10.8, $Q$4, $Q$4 / (Demon!$D46/ 10.8)),1)</f>
        <v>19</v>
      </c>
      <c r="P25" s="1">
        <f>CEILING(Elf!$B46 / IF(Elf!$D46 &lt; 10.8, $Q$4, $Q$4 / (Elf!$D46 / 10.8)),1)</f>
        <v>22</v>
      </c>
      <c r="Q25" s="1">
        <f>CEILING(Beastgirl!$B46 / IF(Beastgirl!$D46&lt; 10.8, $Q$4, $Q$4 / (Beastgirl!$D46/ 10.8)),1)</f>
        <v>34</v>
      </c>
      <c r="R25" s="1">
        <f>CEILING(Warrior!$B46 / IF(Warrior!$D46&lt; 10.8, $Q$4, $Q$4 / (Warrior!$D46 / 10.8)),1)</f>
        <v>24</v>
      </c>
      <c r="Y25" s="1">
        <v>44</v>
      </c>
      <c r="Z25" s="1">
        <f>CEILING(Demon!$B46 / IF(Demon!$D46&lt; 10.8, $AB$4, $AB$4 / (Demon!$D46 / 10.8)),1)</f>
        <v>15</v>
      </c>
      <c r="AA25" s="1">
        <f>CEILING(Elf!$B46 / IF(Elf!$D46 &lt; 10.8, $AB$4, $AB$4 / (Elf!$D46 / 10.8)),1)</f>
        <v>17</v>
      </c>
      <c r="AB25" s="1">
        <f>CEILING(Beastgirl!$B46 / IF(Beastgirl!$D46&lt; 10.8, $AB$4, $AB$4 / (Beastgirl!$D46 / 10.8)),1)</f>
        <v>25</v>
      </c>
      <c r="AC25" s="1">
        <f>CEILING(Warrior!$B46 / IF(Warrior!$D46&lt; 10.8, $AB$4, $AB$4 / (Warrior!$D46 / 10.8)),1)</f>
        <v>18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36</v>
      </c>
      <c r="E26" s="1">
        <f>CEILING(Elf!$B47 / IF(Elf!$D47 &lt; 10.8, $F$4, $F$4 / (Elf!$D47 / 10.8)),1)</f>
        <v>41</v>
      </c>
      <c r="F26" s="1">
        <f>CEILING(Beastgirl!$B47/ IF(Beastgirl!$D47&lt; 10.8,$F$4, $F$4 / (Beastgirl!$D47 / 10.8)),1)</f>
        <v>63</v>
      </c>
      <c r="G26" s="1">
        <f>CEILING(Warrior!$B47/ IF(Warrior!$D47&lt; 10.8, $F$4, $F$4 / (Warrior!$D47 / 10.8)),1)</f>
        <v>45</v>
      </c>
      <c r="N26" s="1">
        <v>45</v>
      </c>
      <c r="O26" s="1">
        <f>CEILING(Demon!$B47 / IF(Demon!$D47&lt; 10.8, $Q$4, $Q$4 / (Demon!$D47/ 10.8)),1)</f>
        <v>24</v>
      </c>
      <c r="P26" s="1">
        <f>CEILING(Elf!$B47 / IF(Elf!$D47 &lt; 10.8, $Q$4, $Q$4 / (Elf!$D47 / 10.8)),1)</f>
        <v>28</v>
      </c>
      <c r="Q26" s="1">
        <f>CEILING(Beastgirl!$B47 / IF(Beastgirl!$D47&lt; 10.8, $Q$4, $Q$4 / (Beastgirl!$D47/ 10.8)),1)</f>
        <v>42</v>
      </c>
      <c r="R26" s="1">
        <f>CEILING(Warrior!$B47 / IF(Warrior!$D47&lt; 10.8, $Q$4, $Q$4 / (Warrior!$D47 / 10.8)),1)</f>
        <v>30</v>
      </c>
      <c r="Y26" s="1">
        <v>45</v>
      </c>
      <c r="Z26" s="1">
        <f>CEILING(Demon!$B47 / IF(Demon!$D47&lt; 10.8, $AB$4, $AB$4 / (Demon!$D47 / 10.8)),1)</f>
        <v>18</v>
      </c>
      <c r="AA26" s="1">
        <f>CEILING(Elf!$B47 / IF(Elf!$D47 &lt; 10.8, $AB$4, $AB$4 / (Elf!$D47 / 10.8)),1)</f>
        <v>21</v>
      </c>
      <c r="AB26" s="1">
        <f>CEILING(Beastgirl!$B47 / IF(Beastgirl!$D47&lt; 10.8, $AB$4, $AB$4 / (Beastgirl!$D47 / 10.8)),1)</f>
        <v>32</v>
      </c>
      <c r="AC26" s="1">
        <f>CEILING(Warrior!$B47 / IF(Warrior!$D47&lt; 10.8, $AB$4, $AB$4 / (Warrior!$D47 / 10.8)),1)</f>
        <v>23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38</v>
      </c>
      <c r="E27" s="1">
        <f>CEILING(Elf!$B48 / IF(Elf!$D48 &lt; 10.8, $F$4, $F$4 / (Elf!$D48 / 10.8)),1)</f>
        <v>43</v>
      </c>
      <c r="F27" s="1">
        <f>CEILING(Beastgirl!$B48/ IF(Beastgirl!$D48&lt; 10.8,$F$4, $F$4 / (Beastgirl!$D48 / 10.8)),1)</f>
        <v>66</v>
      </c>
      <c r="G27" s="1">
        <f>CEILING(Warrior!$B48/ IF(Warrior!$D48&lt; 10.8, $F$4, $F$4 / (Warrior!$D48 / 10.8)),1)</f>
        <v>47</v>
      </c>
      <c r="N27" s="1">
        <v>46</v>
      </c>
      <c r="O27" s="1">
        <f>CEILING(Demon!$B48 / IF(Demon!$D48&lt; 10.8, $Q$4, $Q$4 / (Demon!$D48/ 10.8)),1)</f>
        <v>25</v>
      </c>
      <c r="P27" s="1">
        <f>CEILING(Elf!$B48 / IF(Elf!$D48 &lt; 10.8, $Q$4, $Q$4 / (Elf!$D48 / 10.8)),1)</f>
        <v>29</v>
      </c>
      <c r="Q27" s="1">
        <f>CEILING(Beastgirl!$B48 / IF(Beastgirl!$D48&lt; 10.8, $Q$4, $Q$4 / (Beastgirl!$D48/ 10.8)),1)</f>
        <v>44</v>
      </c>
      <c r="R27" s="1">
        <f>CEILING(Warrior!$B48 / IF(Warrior!$D48&lt; 10.8, $Q$4, $Q$4 / (Warrior!$D48 / 10.8)),1)</f>
        <v>32</v>
      </c>
      <c r="Y27" s="1">
        <v>46</v>
      </c>
      <c r="Z27" s="1">
        <f>CEILING(Demon!$B48 / IF(Demon!$D48&lt; 10.8, $AB$4, $AB$4 / (Demon!$D48 / 10.8)),1)</f>
        <v>19</v>
      </c>
      <c r="AA27" s="1">
        <f>CEILING(Elf!$B48 / IF(Elf!$D48 &lt; 10.8, $AB$4, $AB$4 / (Elf!$D48 / 10.8)),1)</f>
        <v>22</v>
      </c>
      <c r="AB27" s="1">
        <f>CEILING(Beastgirl!$B48 / IF(Beastgirl!$D48&lt; 10.8, $AB$4, $AB$4 / (Beastgirl!$D48 / 10.8)),1)</f>
        <v>33</v>
      </c>
      <c r="AC27" s="1">
        <f>CEILING(Warrior!$B48 / IF(Warrior!$D48&lt; 10.8, $AB$4, $AB$4 / (Warrior!$D48 / 10.8)),1)</f>
        <v>24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39</v>
      </c>
      <c r="E28" s="1">
        <f>CEILING(Elf!$B49 / IF(Elf!$D49 &lt; 10.8, $F$4, $F$4 / (Elf!$D49 / 10.8)),1)</f>
        <v>45</v>
      </c>
      <c r="F28" s="1">
        <f>CEILING(Beastgirl!$B49/ IF(Beastgirl!$D49&lt; 10.8,$F$4, $F$4 / (Beastgirl!$D49 / 10.8)),1)</f>
        <v>68</v>
      </c>
      <c r="G28" s="1">
        <f>CEILING(Warrior!$B49/ IF(Warrior!$D49&lt; 10.8, $F$4, $F$4 / (Warrior!$D49 / 10.8)),1)</f>
        <v>49</v>
      </c>
      <c r="N28" s="1">
        <v>47</v>
      </c>
      <c r="O28" s="1">
        <f>CEILING(Demon!$B49 / IF(Demon!$D49&lt; 10.8, $Q$4, $Q$4 / (Demon!$D49/ 10.8)),1)</f>
        <v>26</v>
      </c>
      <c r="P28" s="1">
        <f>CEILING(Elf!$B49 / IF(Elf!$D49 &lt; 10.8, $Q$4, $Q$4 / (Elf!$D49 / 10.8)),1)</f>
        <v>30</v>
      </c>
      <c r="Q28" s="1">
        <f>CEILING(Beastgirl!$B49 / IF(Beastgirl!$D49&lt; 10.8, $Q$4, $Q$4 / (Beastgirl!$D49/ 10.8)),1)</f>
        <v>46</v>
      </c>
      <c r="R28" s="1">
        <f>CEILING(Warrior!$B49 / IF(Warrior!$D49&lt; 10.8, $Q$4, $Q$4 / (Warrior!$D49 / 10.8)),1)</f>
        <v>33</v>
      </c>
      <c r="Y28" s="1">
        <v>47</v>
      </c>
      <c r="Z28" s="1">
        <f>CEILING(Demon!$B49 / IF(Demon!$D49&lt; 10.8, $AB$4, $AB$4 / (Demon!$D49 / 10.8)),1)</f>
        <v>20</v>
      </c>
      <c r="AA28" s="1">
        <f>CEILING(Elf!$B49 / IF(Elf!$D49 &lt; 10.8, $AB$4, $AB$4 / (Elf!$D49 / 10.8)),1)</f>
        <v>23</v>
      </c>
      <c r="AB28" s="1">
        <f>CEILING(Beastgirl!$B49 / IF(Beastgirl!$D49&lt; 10.8, $AB$4, $AB$4 / (Beastgirl!$D49 / 10.8)),1)</f>
        <v>34</v>
      </c>
      <c r="AC28" s="1">
        <f>CEILING(Warrior!$B49 / IF(Warrior!$D49&lt; 10.8, $AB$4, $AB$4 / (Warrior!$D49 / 10.8)),1)</f>
        <v>25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41</v>
      </c>
      <c r="E29" s="1">
        <f>CEILING(Elf!$B50 / IF(Elf!$D50 &lt; 10.8, $F$4, $F$4 / (Elf!$D50 / 10.8)),1)</f>
        <v>46</v>
      </c>
      <c r="F29" s="1">
        <f>CEILING(Beastgirl!$B50/ IF(Beastgirl!$D50&lt; 10.8,$F$4, $F$4 / (Beastgirl!$D50 / 10.8)),1)</f>
        <v>71</v>
      </c>
      <c r="G29" s="1">
        <f>CEILING(Warrior!$B50/ IF(Warrior!$D50&lt; 10.8, $F$4, $F$4 / (Warrior!$D50 / 10.8)),1)</f>
        <v>51</v>
      </c>
      <c r="N29" s="1">
        <v>48</v>
      </c>
      <c r="O29" s="1">
        <f>CEILING(Demon!$B50 / IF(Demon!$D50&lt; 10.8, $Q$4, $Q$4 / (Demon!$D50/ 10.8)),1)</f>
        <v>27</v>
      </c>
      <c r="P29" s="1">
        <f>CEILING(Elf!$B50 / IF(Elf!$D50 &lt; 10.8, $Q$4, $Q$4 / (Elf!$D50 / 10.8)),1)</f>
        <v>31</v>
      </c>
      <c r="Q29" s="1">
        <f>CEILING(Beastgirl!$B50 / IF(Beastgirl!$D50&lt; 10.8, $Q$4, $Q$4 / (Beastgirl!$D50/ 10.8)),1)</f>
        <v>48</v>
      </c>
      <c r="R29" s="1">
        <f>CEILING(Warrior!$B50 / IF(Warrior!$D50&lt; 10.8, $Q$4, $Q$4 / (Warrior!$D50 / 10.8)),1)</f>
        <v>34</v>
      </c>
      <c r="Y29" s="1">
        <v>48</v>
      </c>
      <c r="Z29" s="1">
        <f>CEILING(Demon!$B50 / IF(Demon!$D50&lt; 10.8, $AB$4, $AB$4 / (Demon!$D50 / 10.8)),1)</f>
        <v>21</v>
      </c>
      <c r="AA29" s="1">
        <f>CEILING(Elf!$B50 / IF(Elf!$D50 &lt; 10.8, $AB$4, $AB$4 / (Elf!$D50 / 10.8)),1)</f>
        <v>23</v>
      </c>
      <c r="AB29" s="1">
        <f>CEILING(Beastgirl!$B50 / IF(Beastgirl!$D50&lt; 10.8, $AB$4, $AB$4 / (Beastgirl!$D50 / 10.8)),1)</f>
        <v>36</v>
      </c>
      <c r="AC29" s="1">
        <f>CEILING(Warrior!$B50 / IF(Warrior!$D50&lt; 10.8, $AB$4, $AB$4 / (Warrior!$D50 / 10.8)),1)</f>
        <v>26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43</v>
      </c>
      <c r="E30" s="1">
        <f>CEILING(Elf!$B51 / IF(Elf!$D51 &lt; 10.8, $F$4, $F$4 / (Elf!$D51 / 10.8)),1)</f>
        <v>48</v>
      </c>
      <c r="F30" s="1">
        <f>CEILING(Beastgirl!$B51/ IF(Beastgirl!$D51&lt; 10.8,$F$4, $F$4 / (Beastgirl!$D51 / 10.8)),1)</f>
        <v>74</v>
      </c>
      <c r="G30" s="1">
        <f>CEILING(Warrior!$B51/ IF(Warrior!$D51&lt; 10.8, $F$4, $F$4 / (Warrior!$D51 / 10.8)),1)</f>
        <v>53</v>
      </c>
      <c r="N30" s="1">
        <v>49</v>
      </c>
      <c r="O30" s="1">
        <f>CEILING(Demon!$B51 / IF(Demon!$D51&lt; 10.8, $Q$4, $Q$4 / (Demon!$D51/ 10.8)),1)</f>
        <v>29</v>
      </c>
      <c r="P30" s="1">
        <f>CEILING(Elf!$B51 / IF(Elf!$D51 &lt; 10.8, $Q$4, $Q$4 / (Elf!$D51 / 10.8)),1)</f>
        <v>32</v>
      </c>
      <c r="Q30" s="1">
        <f>CEILING(Beastgirl!$B51 / IF(Beastgirl!$D51&lt; 10.8, $Q$4, $Q$4 / (Beastgirl!$D51/ 10.8)),1)</f>
        <v>49</v>
      </c>
      <c r="R30" s="1">
        <f>CEILING(Warrior!$B51 / IF(Warrior!$D51&lt; 10.8, $Q$4, $Q$4 / (Warrior!$D51 / 10.8)),1)</f>
        <v>36</v>
      </c>
      <c r="Y30" s="1">
        <v>49</v>
      </c>
      <c r="Z30" s="1">
        <f>CEILING(Demon!$B51 / IF(Demon!$D51&lt; 10.8, $AB$4, $AB$4 / (Demon!$D51 / 10.8)),1)</f>
        <v>22</v>
      </c>
      <c r="AA30" s="1">
        <f>CEILING(Elf!$B51 / IF(Elf!$D51 &lt; 10.8, $AB$4, $AB$4 / (Elf!$D51 / 10.8)),1)</f>
        <v>24</v>
      </c>
      <c r="AB30" s="1">
        <f>CEILING(Beastgirl!$B51 / IF(Beastgirl!$D51&lt; 10.8, $AB$4, $AB$4 / (Beastgirl!$D51 / 10.8)),1)</f>
        <v>37</v>
      </c>
      <c r="AC30" s="1">
        <f>CEILING(Warrior!$B51 / IF(Warrior!$D51&lt; 10.8, $AB$4, $AB$4 / (Warrior!$D51 / 10.8)),1)</f>
        <v>27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44</v>
      </c>
      <c r="E31" s="1">
        <f>CEILING(Elf!$B52 / IF(Elf!$D52 &lt; 10.8, $F$4, $F$4 / (Elf!$D52 / 10.8)),1)</f>
        <v>50</v>
      </c>
      <c r="F31" s="1">
        <f>CEILING(Beastgirl!$B52/ IF(Beastgirl!$D52&lt; 10.8,$F$4, $F$4 / (Beastgirl!$D52 / 10.8)),1)</f>
        <v>77</v>
      </c>
      <c r="G31" s="1">
        <f>CEILING(Warrior!$B52/ IF(Warrior!$D52&lt; 10.8, $F$4, $F$4 / (Warrior!$D52 / 10.8)),1)</f>
        <v>55</v>
      </c>
      <c r="N31" s="1">
        <v>50</v>
      </c>
      <c r="O31" s="1">
        <f>CEILING(Demon!$B52 / IF(Demon!$D52&lt; 10.8, $Q$4, $Q$4 / (Demon!$D52/ 10.8)),1)</f>
        <v>30</v>
      </c>
      <c r="P31" s="1">
        <f>CEILING(Elf!$B52 / IF(Elf!$D52 &lt; 10.8, $Q$4, $Q$4 / (Elf!$D52 / 10.8)),1)</f>
        <v>34</v>
      </c>
      <c r="Q31" s="1">
        <f>CEILING(Beastgirl!$B52 / IF(Beastgirl!$D52&lt; 10.8, $Q$4, $Q$4 / (Beastgirl!$D52/ 10.8)),1)</f>
        <v>51</v>
      </c>
      <c r="R31" s="1">
        <f>CEILING(Warrior!$B52 / IF(Warrior!$D52&lt; 10.8, $Q$4, $Q$4 / (Warrior!$D52 / 10.8)),1)</f>
        <v>37</v>
      </c>
      <c r="Y31" s="1">
        <v>50</v>
      </c>
      <c r="Z31" s="1">
        <f>CEILING(Demon!$B52 / IF(Demon!$D52&lt; 10.8, $AB$4, $AB$4 / (Demon!$D52 / 10.8)),1)</f>
        <v>22</v>
      </c>
      <c r="AA31" s="1">
        <f>CEILING(Elf!$B52 / IF(Elf!$D52 &lt; 10.8, $AB$4, $AB$4 / (Elf!$D52 / 10.8)),1)</f>
        <v>25</v>
      </c>
      <c r="AB31" s="1">
        <f>CEILING(Beastgirl!$B52 / IF(Beastgirl!$D52&lt; 10.8, $AB$4, $AB$4 / (Beastgirl!$D52 / 10.8)),1)</f>
        <v>39</v>
      </c>
      <c r="AC31" s="1">
        <f>CEILING(Warrior!$B52 / IF(Warrior!$D52&lt; 10.8, $AB$4, $AB$4 / (Warrior!$D52 / 10.8)),1)</f>
        <v>28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53" t="s">
        <v>66</v>
      </c>
      <c r="D33" s="53"/>
      <c r="E33" s="53"/>
      <c r="F33" s="53"/>
      <c r="G33" s="53"/>
      <c r="I33" s="4"/>
      <c r="J33" s="4"/>
      <c r="K33" s="4"/>
      <c r="L33" s="4"/>
      <c r="M33" s="4"/>
      <c r="N33" s="53" t="s">
        <v>66</v>
      </c>
      <c r="O33" s="53"/>
      <c r="P33" s="53"/>
      <c r="Q33" s="53"/>
      <c r="R33" s="53"/>
      <c r="S33" s="4"/>
      <c r="T33" s="4"/>
      <c r="U33" s="4"/>
      <c r="W33" s="4"/>
      <c r="X33" s="4"/>
      <c r="Y33" s="53" t="s">
        <v>66</v>
      </c>
      <c r="Z33" s="53"/>
      <c r="AA33" s="53"/>
      <c r="AB33" s="53"/>
      <c r="AC33" s="53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12</v>
      </c>
      <c r="E35" s="1">
        <f>CEILING(Elf!$B33 / IF(Elf!$D33 &lt; 10.8, $F$5,$F$5 / (Elf!$D33 / 10.8)),1)</f>
        <v>13</v>
      </c>
      <c r="F35" s="1">
        <f>CEILING(Beastgirl!$B33 / IF(Beastgirl!$D33&lt; 10.8, $F$5, $F$5 / (Beastgirl!$D33 / 10.8)),1)</f>
        <v>21</v>
      </c>
      <c r="G35" s="1">
        <f>CEILING(Warrior!$B33 / IF(Warrior!$D33&lt; 10.8, $F$5, $F$5 / (Warrior!$D33 / 10.8)),1)</f>
        <v>15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8</v>
      </c>
      <c r="P35" s="1">
        <f>CEILING(Elf!$B33/ IF(Elf!$D33 &lt; 10.8, $Q$5, $Q$5 / (Elf!$D33 / 10.8)),1)</f>
        <v>9</v>
      </c>
      <c r="Q35" s="1">
        <f>CEILING(Beastgirl!$B33 / IF(Beastgirl!$D33&lt; 10.8, $Q$5, $Q$5 / (Beastgirl!$D33 / 10.8)),1)</f>
        <v>14</v>
      </c>
      <c r="R35" s="1">
        <f>CEILING(Warrior!$B33 / IF(Warrior!$D33&lt; 10.8, $Q$5, $Q$5 / (Warrior!$D33 / 10.8)),1)</f>
        <v>10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6</v>
      </c>
      <c r="AA35" s="1">
        <f>CEILING(Elf!$B33 / IF(Elf!$D33 &lt; 10.8, $AB$5, $AB$5 / (Elf!$D33 / 10.8)),1)</f>
        <v>7</v>
      </c>
      <c r="AB35" s="1">
        <f>CEILING(Beastgirl!$B33 / IF(Beastgirl!$D33&lt; 10.8, $AB$5, $AB$5 / (Beastgirl!$D33 / 10.8)),1)</f>
        <v>11</v>
      </c>
      <c r="AC35" s="1">
        <f>CEILING(Warrior!$B33 / IF(Warrior!$D33&lt; 10.8, $AB$5, $AB$5 / (Warrior!$D33 / 10.8)),1)</f>
        <v>8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12</v>
      </c>
      <c r="E36" s="1">
        <f>CEILING(Elf!$B34 / IF(Elf!$D34 &lt; 10.8, $F$5,$F$5 / (Elf!$D34 / 10.8)),1)</f>
        <v>14</v>
      </c>
      <c r="F36" s="1">
        <f>CEILING(Beastgirl!$B34 / IF(Beastgirl!$D34&lt; 10.8, $F$5, $F$5 / (Beastgirl!$D34 / 10.8)),1)</f>
        <v>22</v>
      </c>
      <c r="G36" s="1">
        <f>CEILING(Warrior!$B34 / IF(Warrior!$D34&lt; 10.8, $F$5, $F$5 / (Warrior!$D34 / 10.8)),1)</f>
        <v>16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8</v>
      </c>
      <c r="P36" s="1">
        <f>CEILING(Elf!$B34/ IF(Elf!$D34 &lt; 10.8, $Q$5, $Q$5 / (Elf!$D34 / 10.8)),1)</f>
        <v>9</v>
      </c>
      <c r="Q36" s="1">
        <f>CEILING(Beastgirl!$B34 / IF(Beastgirl!$D34&lt; 10.8, $Q$5, $Q$5 / (Beastgirl!$D34 / 10.8)),1)</f>
        <v>15</v>
      </c>
      <c r="R36" s="1">
        <f>CEILING(Warrior!$B34 / IF(Warrior!$D34&lt; 10.8, $Q$5, $Q$5 / (Warrior!$D34 / 10.8)),1)</f>
        <v>11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6</v>
      </c>
      <c r="AA36" s="1">
        <f>CEILING(Elf!$B34 / IF(Elf!$D34 &lt; 10.8, $AB$5, $AB$5 / (Elf!$D34 / 10.8)),1)</f>
        <v>7</v>
      </c>
      <c r="AB36" s="1">
        <f>CEILING(Beastgirl!$B34 / IF(Beastgirl!$D34&lt; 10.8, $AB$5, $AB$5 / (Beastgirl!$D34 / 10.8)),1)</f>
        <v>11</v>
      </c>
      <c r="AC36" s="1">
        <f>CEILING(Warrior!$B34 / IF(Warrior!$D34&lt; 10.8, $AB$5, $AB$5 / (Warrior!$D34 / 10.8)),1)</f>
        <v>8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13</v>
      </c>
      <c r="E37" s="1">
        <f>CEILING(Elf!$B35 / IF(Elf!$D35 &lt; 10.8, $F$5,$F$5 / (Elf!$D35 / 10.8)),1)</f>
        <v>14</v>
      </c>
      <c r="F37" s="1">
        <f>CEILING(Beastgirl!$B35 / IF(Beastgirl!$D35&lt; 10.8, $F$5, $F$5 / (Beastgirl!$D35 / 10.8)),1)</f>
        <v>23</v>
      </c>
      <c r="G37" s="1">
        <f>CEILING(Warrior!$B35 / IF(Warrior!$D35&lt; 10.8, $F$5, $F$5 / (Warrior!$D35 / 10.8)),1)</f>
        <v>16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9</v>
      </c>
      <c r="P37" s="1">
        <f>CEILING(Elf!$B35/ IF(Elf!$D35 &lt; 10.8, $Q$5, $Q$5 / (Elf!$D35 / 10.8)),1)</f>
        <v>10</v>
      </c>
      <c r="Q37" s="1">
        <f>CEILING(Beastgirl!$B35 / IF(Beastgirl!$D35&lt; 10.8, $Q$5, $Q$5 / (Beastgirl!$D35 / 10.8)),1)</f>
        <v>16</v>
      </c>
      <c r="R37" s="1">
        <f>CEILING(Warrior!$B35 / IF(Warrior!$D35&lt; 10.8, $Q$5, $Q$5 / (Warrior!$D35 / 10.8)),1)</f>
        <v>11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7</v>
      </c>
      <c r="AA37" s="1">
        <f>CEILING(Elf!$B35 / IF(Elf!$D35 &lt; 10.8, $AB$5, $AB$5 / (Elf!$D35 / 10.8)),1)</f>
        <v>7</v>
      </c>
      <c r="AB37" s="1">
        <f>CEILING(Beastgirl!$B35 / IF(Beastgirl!$D35&lt; 10.8, $AB$5, $AB$5 / (Beastgirl!$D35 / 10.8)),1)</f>
        <v>12</v>
      </c>
      <c r="AC37" s="1">
        <f>CEILING(Warrior!$B35 / IF(Warrior!$D35&lt; 10.8, $AB$5, $AB$5 / (Warrior!$D35 / 10.8)),1)</f>
        <v>8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14</v>
      </c>
      <c r="E38" s="1">
        <f>CEILING(Elf!$B36 / IF(Elf!$D36 &lt; 10.8, $F$5,$F$5 / (Elf!$D36 / 10.8)),1)</f>
        <v>15</v>
      </c>
      <c r="F38" s="1">
        <f>CEILING(Beastgirl!$B36 / IF(Beastgirl!$D36&lt; 10.8, $F$5, $F$5 / (Beastgirl!$D36 / 10.8)),1)</f>
        <v>25</v>
      </c>
      <c r="G38" s="1">
        <f>CEILING(Warrior!$B36 / IF(Warrior!$D36&lt; 10.8, $F$5, $F$5 / (Warrior!$D36 / 10.8)),1)</f>
        <v>17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9</v>
      </c>
      <c r="P38" s="1">
        <f>CEILING(Elf!$B36/ IF(Elf!$D36 &lt; 10.8, $Q$5, $Q$5 / (Elf!$D36 / 10.8)),1)</f>
        <v>10</v>
      </c>
      <c r="Q38" s="1">
        <f>CEILING(Beastgirl!$B36 / IF(Beastgirl!$D36&lt; 10.8, $Q$5, $Q$5 / (Beastgirl!$D36 / 10.8)),1)</f>
        <v>17</v>
      </c>
      <c r="R38" s="1">
        <f>CEILING(Warrior!$B36 / IF(Warrior!$D36&lt; 10.8, $Q$5, $Q$5 / (Warrior!$D36 / 10.8)),1)</f>
        <v>12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7</v>
      </c>
      <c r="AA38" s="1">
        <f>CEILING(Elf!$B36 / IF(Elf!$D36 &lt; 10.8, $AB$5, $AB$5 / (Elf!$D36 / 10.8)),1)</f>
        <v>8</v>
      </c>
      <c r="AB38" s="1">
        <f>CEILING(Beastgirl!$B36 / IF(Beastgirl!$D36&lt; 10.8, $AB$5, $AB$5 / (Beastgirl!$D36 / 10.8)),1)</f>
        <v>13</v>
      </c>
      <c r="AC38" s="1">
        <f>CEILING(Warrior!$B36 / IF(Warrior!$D36&lt; 10.8, $AB$5, $AB$5 / (Warrior!$D36 / 10.8)),1)</f>
        <v>9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18</v>
      </c>
      <c r="E39" s="1">
        <f>CEILING(Elf!$B37 / IF(Elf!$D37 &lt; 10.8, $F$5,$F$5 / (Elf!$D37 / 10.8)),1)</f>
        <v>20</v>
      </c>
      <c r="F39" s="1">
        <f>CEILING(Beastgirl!$B37 / IF(Beastgirl!$D37&lt; 10.8, $F$5, $F$5 / (Beastgirl!$D37 / 10.8)),1)</f>
        <v>32</v>
      </c>
      <c r="G39" s="1">
        <f>CEILING(Warrior!$B37 / IF(Warrior!$D37&lt; 10.8, $F$5, $F$5 / (Warrior!$D37 / 10.8)),1)</f>
        <v>23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12</v>
      </c>
      <c r="P39" s="1">
        <f>CEILING(Elf!$B37/ IF(Elf!$D37 &lt; 10.8, $Q$5, $Q$5 / (Elf!$D37 / 10.8)),1)</f>
        <v>14</v>
      </c>
      <c r="Q39" s="1">
        <f>CEILING(Beastgirl!$B37 / IF(Beastgirl!$D37&lt; 10.8, $Q$5, $Q$5 / (Beastgirl!$D37 / 10.8)),1)</f>
        <v>22</v>
      </c>
      <c r="R39" s="1">
        <f>CEILING(Warrior!$B37 / IF(Warrior!$D37&lt; 10.8, $Q$5, $Q$5 / (Warrior!$D37 / 10.8)),1)</f>
        <v>16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9</v>
      </c>
      <c r="AA39" s="1">
        <f>CEILING(Elf!$B37 / IF(Elf!$D37 &lt; 10.8, $AB$5, $AB$5 / (Elf!$D37 / 10.8)),1)</f>
        <v>10</v>
      </c>
      <c r="AB39" s="1">
        <f>CEILING(Beastgirl!$B37 / IF(Beastgirl!$D37&lt; 10.8, $AB$5, $AB$5 / (Beastgirl!$D37 / 10.8)),1)</f>
        <v>16</v>
      </c>
      <c r="AC39" s="1">
        <f>CEILING(Warrior!$B37 / IF(Warrior!$D37&lt; 10.8, $AB$5, $AB$5 / (Warrior!$D37 / 10.8)),1)</f>
        <v>12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19</v>
      </c>
      <c r="E40" s="1">
        <f>CEILING(Elf!$B38 / IF(Elf!$D38 &lt; 10.8, $F$5,$F$5 / (Elf!$D38 / 10.8)),1)</f>
        <v>22</v>
      </c>
      <c r="F40" s="1">
        <f>CEILING(Beastgirl!$B38 / IF(Beastgirl!$D38&lt; 10.8, $F$5, $F$5 / (Beastgirl!$D38 / 10.8)),1)</f>
        <v>34</v>
      </c>
      <c r="G40" s="1">
        <f>CEILING(Warrior!$B38 / IF(Warrior!$D38&lt; 10.8, $F$5, $F$5 / (Warrior!$D38 / 10.8)),1)</f>
        <v>24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13</v>
      </c>
      <c r="P40" s="1">
        <f>CEILING(Elf!$B38/ IF(Elf!$D38 &lt; 10.8, $Q$5, $Q$5 / (Elf!$D38 / 10.8)),1)</f>
        <v>15</v>
      </c>
      <c r="Q40" s="1">
        <f>CEILING(Beastgirl!$B38 / IF(Beastgirl!$D38&lt; 10.8, $Q$5, $Q$5 / (Beastgirl!$D38 / 10.8)),1)</f>
        <v>23</v>
      </c>
      <c r="R40" s="1">
        <f>CEILING(Warrior!$B38 / IF(Warrior!$D38&lt; 10.8, $Q$5, $Q$5 / (Warrior!$D38 / 10.8)),1)</f>
        <v>16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10</v>
      </c>
      <c r="AA40" s="1">
        <f>CEILING(Elf!$B38 / IF(Elf!$D38 &lt; 10.8, $AB$5, $AB$5 / (Elf!$D38 / 10.8)),1)</f>
        <v>11</v>
      </c>
      <c r="AB40" s="1">
        <f>CEILING(Beastgirl!$B38 / IF(Beastgirl!$D38&lt; 10.8, $AB$5, $AB$5 / (Beastgirl!$D38 / 10.8)),1)</f>
        <v>17</v>
      </c>
      <c r="AC40" s="1">
        <f>CEILING(Warrior!$B38 / IF(Warrior!$D38&lt; 10.8, $AB$5, $AB$5 / (Warrior!$D38 / 10.8)),1)</f>
        <v>12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20</v>
      </c>
      <c r="E41" s="1">
        <f>CEILING(Elf!$B39 / IF(Elf!$D39 &lt; 10.8, $F$5,$F$5 / (Elf!$D39 / 10.8)),1)</f>
        <v>23</v>
      </c>
      <c r="F41" s="1">
        <f>CEILING(Beastgirl!$B39 / IF(Beastgirl!$D39&lt; 10.8, $F$5, $F$5 / (Beastgirl!$D39 / 10.8)),1)</f>
        <v>36</v>
      </c>
      <c r="G41" s="1">
        <f>CEILING(Warrior!$B39 / IF(Warrior!$D39&lt; 10.8, $F$5, $F$5 / (Warrior!$D39 / 10.8)),1)</f>
        <v>26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13</v>
      </c>
      <c r="P41" s="1">
        <f>CEILING(Elf!$B39/ IF(Elf!$D39 &lt; 10.8, $Q$5, $Q$5 / (Elf!$D39 / 10.8)),1)</f>
        <v>15</v>
      </c>
      <c r="Q41" s="1">
        <f>CEILING(Beastgirl!$B39 / IF(Beastgirl!$D39&lt; 10.8, $Q$5, $Q$5 / (Beastgirl!$D39 / 10.8)),1)</f>
        <v>24</v>
      </c>
      <c r="R41" s="1">
        <f>CEILING(Warrior!$B39 / IF(Warrior!$D39&lt; 10.8, $Q$5, $Q$5 / (Warrior!$D39 / 10.8)),1)</f>
        <v>17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10</v>
      </c>
      <c r="AA41" s="1">
        <f>CEILING(Elf!$B39 / IF(Elf!$D39 &lt; 10.8, $AB$5, $AB$5 / (Elf!$D39 / 10.8)),1)</f>
        <v>12</v>
      </c>
      <c r="AB41" s="1">
        <f>CEILING(Beastgirl!$B39 / IF(Beastgirl!$D39&lt; 10.8, $AB$5, $AB$5 / (Beastgirl!$D39 / 10.8)),1)</f>
        <v>18</v>
      </c>
      <c r="AC41" s="1">
        <f>CEILING(Warrior!$B39 / IF(Warrior!$D39&lt; 10.8, $AB$5, $AB$5 / (Warrior!$D39 / 10.8)),1)</f>
        <v>13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21</v>
      </c>
      <c r="E42" s="1">
        <f>CEILING(Elf!$B40 / IF(Elf!$D40 &lt; 10.8, $F$5,$F$5 / (Elf!$D40 / 10.8)),1)</f>
        <v>24</v>
      </c>
      <c r="F42" s="1">
        <f>CEILING(Beastgirl!$B40 / IF(Beastgirl!$D40&lt; 10.8, $F$5, $F$5 / (Beastgirl!$D40 / 10.8)),1)</f>
        <v>37</v>
      </c>
      <c r="G42" s="1">
        <f>CEILING(Warrior!$B40 / IF(Warrior!$D40&lt; 10.8, $F$5, $F$5 / (Warrior!$D40 / 10.8)),1)</f>
        <v>27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14</v>
      </c>
      <c r="P42" s="1">
        <f>CEILING(Elf!$B40/ IF(Elf!$D40 &lt; 10.8, $Q$5, $Q$5 / (Elf!$D40 / 10.8)),1)</f>
        <v>16</v>
      </c>
      <c r="Q42" s="1">
        <f>CEILING(Beastgirl!$B40 / IF(Beastgirl!$D40&lt; 10.8, $Q$5, $Q$5 / (Beastgirl!$D40 / 10.8)),1)</f>
        <v>25</v>
      </c>
      <c r="R42" s="1">
        <f>CEILING(Warrior!$B40 / IF(Warrior!$D40&lt; 10.8, $Q$5, $Q$5 / (Warrior!$D40 / 10.8)),1)</f>
        <v>18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11</v>
      </c>
      <c r="AA42" s="1">
        <f>CEILING(Elf!$B40 / IF(Elf!$D40 &lt; 10.8, $AB$5, $AB$5 / (Elf!$D40 / 10.8)),1)</f>
        <v>12</v>
      </c>
      <c r="AB42" s="1">
        <f>CEILING(Beastgirl!$B40 / IF(Beastgirl!$D40&lt; 10.8, $AB$5, $AB$5 / (Beastgirl!$D40 / 10.8)),1)</f>
        <v>19</v>
      </c>
      <c r="AC42" s="1">
        <f>CEILING(Warrior!$B40 / IF(Warrior!$D40&lt; 10.8, $AB$5, $AB$5 / (Warrior!$D40 / 10.8)),1)</f>
        <v>14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22</v>
      </c>
      <c r="E43" s="1">
        <f>CEILING(Elf!$B41 / IF(Elf!$D41 &lt; 10.8, $F$5,$F$5 / (Elf!$D41 / 10.8)),1)</f>
        <v>25</v>
      </c>
      <c r="F43" s="1">
        <f>CEILING(Beastgirl!$B41 / IF(Beastgirl!$D41&lt; 10.8, $F$5, $F$5 / (Beastgirl!$D41 / 10.8)),1)</f>
        <v>39</v>
      </c>
      <c r="G43" s="1">
        <f>CEILING(Warrior!$B41 / IF(Warrior!$D41&lt; 10.8, $F$5, $F$5 / (Warrior!$D41 / 10.8)),1)</f>
        <v>28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15</v>
      </c>
      <c r="P43" s="1">
        <f>CEILING(Elf!$B41/ IF(Elf!$D41 &lt; 10.8, $Q$5, $Q$5 / (Elf!$D41 / 10.8)),1)</f>
        <v>17</v>
      </c>
      <c r="Q43" s="1">
        <f>CEILING(Beastgirl!$B41 / IF(Beastgirl!$D41&lt; 10.8, $Q$5, $Q$5 / (Beastgirl!$D41 / 10.8)),1)</f>
        <v>26</v>
      </c>
      <c r="R43" s="1">
        <f>CEILING(Warrior!$B41 / IF(Warrior!$D41&lt; 10.8, $Q$5, $Q$5 / (Warrior!$D41 / 10.8)),1)</f>
        <v>19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11</v>
      </c>
      <c r="AA43" s="1">
        <f>CEILING(Elf!$B41 / IF(Elf!$D41 &lt; 10.8, $AB$5, $AB$5 / (Elf!$D41 / 10.8)),1)</f>
        <v>13</v>
      </c>
      <c r="AB43" s="1">
        <f>CEILING(Beastgirl!$B41 / IF(Beastgirl!$D41&lt; 10.8, $AB$5, $AB$5 / (Beastgirl!$D41 / 10.8)),1)</f>
        <v>20</v>
      </c>
      <c r="AC43" s="1">
        <f>CEILING(Warrior!$B41 / IF(Warrior!$D41&lt; 10.8, $AB$5, $AB$5 / (Warrior!$D41 / 10.8)),1)</f>
        <v>14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23</v>
      </c>
      <c r="E44" s="1">
        <f>CEILING(Elf!$B42 / IF(Elf!$D42 &lt; 10.8, $F$5,$F$5 / (Elf!$D42 / 10.8)),1)</f>
        <v>26</v>
      </c>
      <c r="F44" s="1">
        <f>CEILING(Beastgirl!$B42 / IF(Beastgirl!$D42&lt; 10.8, $F$5, $F$5 / (Beastgirl!$D42 / 10.8)),1)</f>
        <v>41</v>
      </c>
      <c r="G44" s="1">
        <f>CEILING(Warrior!$B42 / IF(Warrior!$D42&lt; 10.8, $F$5, $F$5 / (Warrior!$D42 / 10.8)),1)</f>
        <v>29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16</v>
      </c>
      <c r="P44" s="1">
        <f>CEILING(Elf!$B42/ IF(Elf!$D42 &lt; 10.8, $Q$5, $Q$5 / (Elf!$D42 / 10.8)),1)</f>
        <v>18</v>
      </c>
      <c r="Q44" s="1">
        <f>CEILING(Beastgirl!$B42 / IF(Beastgirl!$D42&lt; 10.8, $Q$5, $Q$5 / (Beastgirl!$D42 / 10.8)),1)</f>
        <v>27</v>
      </c>
      <c r="R44" s="1">
        <f>CEILING(Warrior!$B42 / IF(Warrior!$D42&lt; 10.8, $Q$5, $Q$5 / (Warrior!$D42 / 10.8)),1)</f>
        <v>20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12</v>
      </c>
      <c r="AA44" s="1">
        <f>CEILING(Elf!$B42 / IF(Elf!$D42 &lt; 10.8, $AB$5, $AB$5 / (Elf!$D42 / 10.8)),1)</f>
        <v>13</v>
      </c>
      <c r="AB44" s="1">
        <f>CEILING(Beastgirl!$B42 / IF(Beastgirl!$D42&lt; 10.8, $AB$5, $AB$5 / (Beastgirl!$D42 / 10.8)),1)</f>
        <v>21</v>
      </c>
      <c r="AC44" s="1">
        <f>CEILING(Warrior!$B42 / IF(Warrior!$D42&lt; 10.8, $AB$5, $AB$5 / (Warrior!$D42 / 10.8)),1)</f>
        <v>15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24</v>
      </c>
      <c r="E45" s="1">
        <f>CEILING(Elf!$B43 / IF(Elf!$D43 &lt; 10.8, $F$5,$F$5 / (Elf!$D43 / 10.8)),1)</f>
        <v>28</v>
      </c>
      <c r="F45" s="1">
        <f>CEILING(Beastgirl!$B43 / IF(Beastgirl!$D43&lt; 10.8, $F$5, $F$5 / (Beastgirl!$D43 / 10.8)),1)</f>
        <v>43</v>
      </c>
      <c r="G45" s="1">
        <f>CEILING(Warrior!$B43 / IF(Warrior!$D43&lt; 10.8, $F$5, $F$5 / (Warrior!$D43 / 10.8)),1)</f>
        <v>31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16</v>
      </c>
      <c r="P45" s="1">
        <f>CEILING(Elf!$B43/ IF(Elf!$D43 &lt; 10.8, $Q$5, $Q$5 / (Elf!$D43 / 10.8)),1)</f>
        <v>19</v>
      </c>
      <c r="Q45" s="1">
        <f>CEILING(Beastgirl!$B43 / IF(Beastgirl!$D43&lt; 10.8, $Q$5, $Q$5 / (Beastgirl!$D43 / 10.8)),1)</f>
        <v>29</v>
      </c>
      <c r="R45" s="1">
        <f>CEILING(Warrior!$B43 / IF(Warrior!$D43&lt; 10.8, $Q$5, $Q$5 / (Warrior!$D43 / 10.8)),1)</f>
        <v>21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12</v>
      </c>
      <c r="AA45" s="1">
        <f>CEILING(Elf!$B43 / IF(Elf!$D43 &lt; 10.8, $AB$5, $AB$5 / (Elf!$D43 / 10.8)),1)</f>
        <v>14</v>
      </c>
      <c r="AB45" s="1">
        <f>CEILING(Beastgirl!$B43 / IF(Beastgirl!$D43&lt; 10.8, $AB$5, $AB$5 / (Beastgirl!$D43 / 10.8)),1)</f>
        <v>22</v>
      </c>
      <c r="AC45" s="1">
        <f>CEILING(Warrior!$B43 / IF(Warrior!$D43&lt; 10.8, $AB$5, $AB$5 / (Warrior!$D43 / 10.8)),1)</f>
        <v>16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25</v>
      </c>
      <c r="E46" s="1">
        <f>CEILING(Elf!$B44 / IF(Elf!$D44 &lt; 10.8, $F$5,$F$5 / (Elf!$D44 / 10.8)),1)</f>
        <v>29</v>
      </c>
      <c r="F46" s="1">
        <f>CEILING(Beastgirl!$B44 / IF(Beastgirl!$D44&lt; 10.8, $F$5, $F$5 / (Beastgirl!$D44 / 10.8)),1)</f>
        <v>45</v>
      </c>
      <c r="G46" s="1">
        <f>CEILING(Warrior!$B44 / IF(Warrior!$D44&lt; 10.8, $F$5, $F$5 / (Warrior!$D44 / 10.8)),1)</f>
        <v>32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17</v>
      </c>
      <c r="P46" s="1">
        <f>CEILING(Elf!$B44/ IF(Elf!$D44 &lt; 10.8, $Q$5, $Q$5 / (Elf!$D44 / 10.8)),1)</f>
        <v>19</v>
      </c>
      <c r="Q46" s="1">
        <f>CEILING(Beastgirl!$B44 / IF(Beastgirl!$D44&lt; 10.8, $Q$5, $Q$5 / (Beastgirl!$D44 / 10.8)),1)</f>
        <v>30</v>
      </c>
      <c r="R46" s="1">
        <f>CEILING(Warrior!$B44 / IF(Warrior!$D44&lt; 10.8, $Q$5, $Q$5 / (Warrior!$D44 / 10.8)),1)</f>
        <v>22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13</v>
      </c>
      <c r="AA46" s="1">
        <f>CEILING(Elf!$B44 / IF(Elf!$D44 &lt; 10.8, $AB$5, $AB$5 / (Elf!$D44 / 10.8)),1)</f>
        <v>15</v>
      </c>
      <c r="AB46" s="1">
        <f>CEILING(Beastgirl!$B44 / IF(Beastgirl!$D44&lt; 10.8, $AB$5, $AB$5 / (Beastgirl!$D44 / 10.8)),1)</f>
        <v>23</v>
      </c>
      <c r="AC46" s="1">
        <f>CEILING(Warrior!$B44 / IF(Warrior!$D44&lt; 10.8, $AB$5, $AB$5 / (Warrior!$D44 / 10.8)),1)</f>
        <v>16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27</v>
      </c>
      <c r="E47" s="1">
        <f>CEILING(Elf!$B45 / IF(Elf!$D45 &lt; 10.8, $F$5,$F$5 / (Elf!$D45 / 10.8)),1)</f>
        <v>30</v>
      </c>
      <c r="F47" s="1">
        <f>CEILING(Beastgirl!$B45 / IF(Beastgirl!$D45&lt; 10.8, $F$5, $F$5 / (Beastgirl!$D45 / 10.8)),1)</f>
        <v>47</v>
      </c>
      <c r="G47" s="1">
        <f>CEILING(Warrior!$B45 / IF(Warrior!$D45&lt; 10.8, $F$5, $F$5 / (Warrior!$D45 / 10.8)),1)</f>
        <v>34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18</v>
      </c>
      <c r="P47" s="1">
        <f>CEILING(Elf!$B45/ IF(Elf!$D45 &lt; 10.8, $Q$5, $Q$5 / (Elf!$D45 / 10.8)),1)</f>
        <v>20</v>
      </c>
      <c r="Q47" s="1">
        <f>CEILING(Beastgirl!$B45 / IF(Beastgirl!$D45&lt; 10.8, $Q$5, $Q$5 / (Beastgirl!$D45 / 10.8)),1)</f>
        <v>31</v>
      </c>
      <c r="R47" s="1">
        <f>CEILING(Warrior!$B45 / IF(Warrior!$D45&lt; 10.8, $Q$5, $Q$5 / (Warrior!$D45 / 10.8)),1)</f>
        <v>23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14</v>
      </c>
      <c r="AA47" s="1">
        <f>CEILING(Elf!$B45 / IF(Elf!$D45 &lt; 10.8, $AB$5, $AB$5 / (Elf!$D45 / 10.8)),1)</f>
        <v>15</v>
      </c>
      <c r="AB47" s="1">
        <f>CEILING(Beastgirl!$B45 / IF(Beastgirl!$D45&lt; 10.8, $AB$5, $AB$5 / (Beastgirl!$D45 / 10.8)),1)</f>
        <v>24</v>
      </c>
      <c r="AC47" s="1">
        <f>CEILING(Warrior!$B45 / IF(Warrior!$D45&lt; 10.8, $AB$5, $AB$5 / (Warrior!$D45 / 10.8)),1)</f>
        <v>17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28</v>
      </c>
      <c r="E48" s="1">
        <f>CEILING(Elf!$B46 / IF(Elf!$D46 &lt; 10.8, $F$5,$F$5 / (Elf!$D46 / 10.8)),1)</f>
        <v>32</v>
      </c>
      <c r="F48" s="1">
        <f>CEILING(Beastgirl!$B46 / IF(Beastgirl!$D46&lt; 10.8, $F$5, $F$5 / (Beastgirl!$D46 / 10.8)),1)</f>
        <v>49</v>
      </c>
      <c r="G48" s="1">
        <f>CEILING(Warrior!$B46 / IF(Warrior!$D46&lt; 10.8, $F$5, $F$5 / (Warrior!$D46 / 10.8)),1)</f>
        <v>35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19</v>
      </c>
      <c r="P48" s="1">
        <f>CEILING(Elf!$B46/ IF(Elf!$D46 &lt; 10.8, $Q$5, $Q$5 / (Elf!$D46 / 10.8)),1)</f>
        <v>21</v>
      </c>
      <c r="Q48" s="1">
        <f>CEILING(Beastgirl!$B46 / IF(Beastgirl!$D46&lt; 10.8, $Q$5, $Q$5 / (Beastgirl!$D46 / 10.8)),1)</f>
        <v>33</v>
      </c>
      <c r="R48" s="1">
        <f>CEILING(Warrior!$B46 / IF(Warrior!$D46&lt; 10.8, $Q$5, $Q$5 / (Warrior!$D46 / 10.8)),1)</f>
        <v>24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14</v>
      </c>
      <c r="AA48" s="1">
        <f>CEILING(Elf!$B46 / IF(Elf!$D46 &lt; 10.8, $AB$5, $AB$5 / (Elf!$D46 / 10.8)),1)</f>
        <v>16</v>
      </c>
      <c r="AB48" s="1">
        <f>CEILING(Beastgirl!$B46 / IF(Beastgirl!$D46&lt; 10.8, $AB$5, $AB$5 / (Beastgirl!$D46 / 10.8)),1)</f>
        <v>25</v>
      </c>
      <c r="AC48" s="1">
        <f>CEILING(Warrior!$B46 / IF(Warrior!$D46&lt; 10.8, $AB$5, $AB$5 / (Warrior!$D46 / 10.8)),1)</f>
        <v>18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35</v>
      </c>
      <c r="E49" s="1">
        <f>CEILING(Elf!$B47 / IF(Elf!$D47 &lt; 10.8, $F$5,$F$5 / (Elf!$D47 / 10.8)),1)</f>
        <v>40</v>
      </c>
      <c r="F49" s="1">
        <f>CEILING(Beastgirl!$B47 / IF(Beastgirl!$D47&lt; 10.8, $F$5, $F$5 / (Beastgirl!$D47 / 10.8)),1)</f>
        <v>61</v>
      </c>
      <c r="G49" s="1">
        <f>CEILING(Warrior!$B47 / IF(Warrior!$D47&lt; 10.8, $F$5, $F$5 / (Warrior!$D47 / 10.8)),1)</f>
        <v>44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24</v>
      </c>
      <c r="P49" s="1">
        <f>CEILING(Elf!$B47/ IF(Elf!$D47 &lt; 10.8, $Q$5, $Q$5 / (Elf!$D47 / 10.8)),1)</f>
        <v>27</v>
      </c>
      <c r="Q49" s="1">
        <f>CEILING(Beastgirl!$B47 / IF(Beastgirl!$D47&lt; 10.8, $Q$5, $Q$5 / (Beastgirl!$D47 / 10.8)),1)</f>
        <v>41</v>
      </c>
      <c r="R49" s="1">
        <f>CEILING(Warrior!$B47 / IF(Warrior!$D47&lt; 10.8, $Q$5, $Q$5 / (Warrior!$D47 / 10.8)),1)</f>
        <v>30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18</v>
      </c>
      <c r="AA49" s="1">
        <f>CEILING(Elf!$B47 / IF(Elf!$D47 &lt; 10.8, $AB$5, $AB$5 / (Elf!$D47 / 10.8)),1)</f>
        <v>20</v>
      </c>
      <c r="AB49" s="1">
        <f>CEILING(Beastgirl!$B47 / IF(Beastgirl!$D47&lt; 10.8, $AB$5, $AB$5 / (Beastgirl!$D47 / 10.8)),1)</f>
        <v>31</v>
      </c>
      <c r="AC49" s="1">
        <f>CEILING(Warrior!$B47 / IF(Warrior!$D47&lt; 10.8, $AB$5, $AB$5 / (Warrior!$D47 / 10.8)),1)</f>
        <v>22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37</v>
      </c>
      <c r="E50" s="1">
        <f>CEILING(Elf!$B48 / IF(Elf!$D48 &lt; 10.8, $F$5,$F$5 / (Elf!$D48 / 10.8)),1)</f>
        <v>42</v>
      </c>
      <c r="F50" s="1">
        <f>CEILING(Beastgirl!$B48 / IF(Beastgirl!$D48&lt; 10.8, $F$5, $F$5 / (Beastgirl!$D48 / 10.8)),1)</f>
        <v>64</v>
      </c>
      <c r="G50" s="1">
        <f>CEILING(Warrior!$B48 / IF(Warrior!$D48&lt; 10.8, $F$5, $F$5 / (Warrior!$D48 / 10.8)),1)</f>
        <v>46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25</v>
      </c>
      <c r="P50" s="1">
        <f>CEILING(Elf!$B48/ IF(Elf!$D48 &lt; 10.8, $Q$5, $Q$5 / (Elf!$D48 / 10.8)),1)</f>
        <v>28</v>
      </c>
      <c r="Q50" s="1">
        <f>CEILING(Beastgirl!$B48 / IF(Beastgirl!$D48&lt; 10.8, $Q$5, $Q$5 / (Beastgirl!$D48 / 10.8)),1)</f>
        <v>43</v>
      </c>
      <c r="R50" s="1">
        <f>CEILING(Warrior!$B48 / IF(Warrior!$D48&lt; 10.8, $Q$5, $Q$5 / (Warrior!$D48 / 10.8)),1)</f>
        <v>31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19</v>
      </c>
      <c r="AA50" s="1">
        <f>CEILING(Elf!$B48 / IF(Elf!$D48 &lt; 10.8, $AB$5, $AB$5 / (Elf!$D48 / 10.8)),1)</f>
        <v>21</v>
      </c>
      <c r="AB50" s="1">
        <f>CEILING(Beastgirl!$B48 / IF(Beastgirl!$D48&lt; 10.8, $AB$5, $AB$5 / (Beastgirl!$D48 / 10.8)),1)</f>
        <v>32</v>
      </c>
      <c r="AC50" s="1">
        <f>CEILING(Warrior!$B48 / IF(Warrior!$D48&lt; 10.8, $AB$5, $AB$5 / (Warrior!$D48 / 10.8)),1)</f>
        <v>23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38</v>
      </c>
      <c r="E51" s="1">
        <f>CEILING(Elf!$B49 / IF(Elf!$D49 &lt; 10.8, $F$5,$F$5 / (Elf!$D49 / 10.8)),1)</f>
        <v>43</v>
      </c>
      <c r="F51" s="1">
        <f>CEILING(Beastgirl!$B49 / IF(Beastgirl!$D49&lt; 10.8, $F$5, $F$5 / (Beastgirl!$D49 / 10.8)),1)</f>
        <v>66</v>
      </c>
      <c r="G51" s="1">
        <f>CEILING(Warrior!$B49 / IF(Warrior!$D49&lt; 10.8, $F$5, $F$5 / (Warrior!$D49 / 10.8)),1)</f>
        <v>48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26</v>
      </c>
      <c r="P51" s="1">
        <f>CEILING(Elf!$B49/ IF(Elf!$D49 &lt; 10.8, $Q$5, $Q$5 / (Elf!$D49 / 10.8)),1)</f>
        <v>29</v>
      </c>
      <c r="Q51" s="1">
        <f>CEILING(Beastgirl!$B49 / IF(Beastgirl!$D49&lt; 10.8, $Q$5, $Q$5 / (Beastgirl!$D49 / 10.8)),1)</f>
        <v>44</v>
      </c>
      <c r="R51" s="1">
        <f>CEILING(Warrior!$B49 / IF(Warrior!$D49&lt; 10.8, $Q$5, $Q$5 / (Warrior!$D49 / 10.8)),1)</f>
        <v>32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19</v>
      </c>
      <c r="AA51" s="1">
        <f>CEILING(Elf!$B49 / IF(Elf!$D49 &lt; 10.8, $AB$5, $AB$5 / (Elf!$D49 / 10.8)),1)</f>
        <v>22</v>
      </c>
      <c r="AB51" s="1">
        <f>CEILING(Beastgirl!$B49 / IF(Beastgirl!$D49&lt; 10.8, $AB$5, $AB$5 / (Beastgirl!$D49 / 10.8)),1)</f>
        <v>33</v>
      </c>
      <c r="AC51" s="1">
        <f>CEILING(Warrior!$B49 / IF(Warrior!$D49&lt; 10.8, $AB$5, $AB$5 / (Warrior!$D49 / 10.8)),1)</f>
        <v>24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40</v>
      </c>
      <c r="E52" s="1">
        <f>CEILING(Elf!$B50 / IF(Elf!$D50 &lt; 10.8, $F$5,$F$5 / (Elf!$D50 / 10.8)),1)</f>
        <v>45</v>
      </c>
      <c r="F52" s="1">
        <f>CEILING(Beastgirl!$B50 / IF(Beastgirl!$D50&lt; 10.8, $F$5, $F$5 / (Beastgirl!$D50 / 10.8)),1)</f>
        <v>69</v>
      </c>
      <c r="G52" s="1">
        <f>CEILING(Warrior!$B50 / IF(Warrior!$D50&lt; 10.8, $F$5, $F$5 / (Warrior!$D50 / 10.8)),1)</f>
        <v>50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27</v>
      </c>
      <c r="P52" s="1">
        <f>CEILING(Elf!$B50/ IF(Elf!$D50 &lt; 10.8, $Q$5, $Q$5 / (Elf!$D50 / 10.8)),1)</f>
        <v>30</v>
      </c>
      <c r="Q52" s="1">
        <f>CEILING(Beastgirl!$B50 / IF(Beastgirl!$D50&lt; 10.8, $Q$5, $Q$5 / (Beastgirl!$D50 / 10.8)),1)</f>
        <v>46</v>
      </c>
      <c r="R52" s="1">
        <f>CEILING(Warrior!$B50 / IF(Warrior!$D50&lt; 10.8, $Q$5, $Q$5 / (Warrior!$D50 / 10.8)),1)</f>
        <v>33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20</v>
      </c>
      <c r="AA52" s="1">
        <f>CEILING(Elf!$B50 / IF(Elf!$D50 &lt; 10.8, $AB$5, $AB$5 / (Elf!$D50 / 10.8)),1)</f>
        <v>23</v>
      </c>
      <c r="AB52" s="1">
        <f>CEILING(Beastgirl!$B50 / IF(Beastgirl!$D50&lt; 10.8, $AB$5, $AB$5 / (Beastgirl!$D50 / 10.8)),1)</f>
        <v>35</v>
      </c>
      <c r="AC52" s="1">
        <f>CEILING(Warrior!$B50 / IF(Warrior!$D50&lt; 10.8, $AB$5, $AB$5 / (Warrior!$D50 / 10.8)),1)</f>
        <v>25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41</v>
      </c>
      <c r="E53" s="1">
        <f>CEILING(Elf!$B51 / IF(Elf!$D51 &lt; 10.8, $F$5,$F$5 / (Elf!$D51 / 10.8)),1)</f>
        <v>47</v>
      </c>
      <c r="F53" s="1">
        <f>CEILING(Beastgirl!$B51 / IF(Beastgirl!$D51&lt; 10.8, $F$5, $F$5 / (Beastgirl!$D51 / 10.8)),1)</f>
        <v>72</v>
      </c>
      <c r="G53" s="1">
        <f>CEILING(Warrior!$B51 / IF(Warrior!$D51&lt; 10.8, $F$5, $F$5 / (Warrior!$D51 / 10.8)),1)</f>
        <v>52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28</v>
      </c>
      <c r="P53" s="1">
        <f>CEILING(Elf!$B51/ IF(Elf!$D51 &lt; 10.8, $Q$5, $Q$5 / (Elf!$D51 / 10.8)),1)</f>
        <v>31</v>
      </c>
      <c r="Q53" s="1">
        <f>CEILING(Beastgirl!$B51 / IF(Beastgirl!$D51&lt; 10.8, $Q$5, $Q$5 / (Beastgirl!$D51 / 10.8)),1)</f>
        <v>48</v>
      </c>
      <c r="R53" s="1">
        <f>CEILING(Warrior!$B51 / IF(Warrior!$D51&lt; 10.8, $Q$5, $Q$5 / (Warrior!$D51 / 10.8)),1)</f>
        <v>35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21</v>
      </c>
      <c r="AA53" s="1">
        <f>CEILING(Elf!$B51 / IF(Elf!$D51 &lt; 10.8, $AB$5, $AB$5 / (Elf!$D51 / 10.8)),1)</f>
        <v>24</v>
      </c>
      <c r="AB53" s="1">
        <f>CEILING(Beastgirl!$B51 / IF(Beastgirl!$D51&lt; 10.8, $AB$5, $AB$5 / (Beastgirl!$D51 / 10.8)),1)</f>
        <v>36</v>
      </c>
      <c r="AC53" s="1">
        <f>CEILING(Warrior!$B51 / IF(Warrior!$D51&lt; 10.8, $AB$5, $AB$5 / (Warrior!$D51 / 10.8)),1)</f>
        <v>26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43</v>
      </c>
      <c r="E54" s="1">
        <f>CEILING(Elf!$B52 / IF(Elf!$D52 &lt; 10.8, $F$5,$F$5 / (Elf!$D52 / 10.8)),1)</f>
        <v>49</v>
      </c>
      <c r="F54" s="1">
        <f>CEILING(Beastgirl!$B52 / IF(Beastgirl!$D52&lt; 10.8, $F$5, $F$5 / (Beastgirl!$D52 / 10.8)),1)</f>
        <v>75</v>
      </c>
      <c r="G54" s="1">
        <f>CEILING(Warrior!$B52 / IF(Warrior!$D52&lt; 10.8, $F$5, $F$5 / (Warrior!$D52 / 10.8)),1)</f>
        <v>54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29</v>
      </c>
      <c r="P54" s="1">
        <f>CEILING(Elf!$B52/ IF(Elf!$D52 &lt; 10.8, $Q$5, $Q$5 / (Elf!$D52 / 10.8)),1)</f>
        <v>33</v>
      </c>
      <c r="Q54" s="1">
        <f>CEILING(Beastgirl!$B52 / IF(Beastgirl!$D52&lt; 10.8, $Q$5, $Q$5 / (Beastgirl!$D52 / 10.8)),1)</f>
        <v>50</v>
      </c>
      <c r="R54" s="1">
        <f>CEILING(Warrior!$B52 / IF(Warrior!$D52&lt; 10.8, $Q$5, $Q$5 / (Warrior!$D52 / 10.8)),1)</f>
        <v>36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22</v>
      </c>
      <c r="AA54" s="1">
        <f>CEILING(Elf!$B52 / IF(Elf!$D52 &lt; 10.8, $AB$5, $AB$5 / (Elf!$D52 / 10.8)),1)</f>
        <v>25</v>
      </c>
      <c r="AB54" s="1">
        <f>CEILING(Beastgirl!$B52 / IF(Beastgirl!$D52&lt; 10.8, $AB$5, $AB$5 / (Beastgirl!$D52 / 10.8)),1)</f>
        <v>38</v>
      </c>
      <c r="AC54" s="1">
        <f>CEILING(Warrior!$B52 / IF(Warrior!$D52&lt; 10.8, $AB$5, $AB$5 / (Warrior!$D52 / 10.8)),1)</f>
        <v>27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53" t="s">
        <v>67</v>
      </c>
      <c r="D56" s="53"/>
      <c r="E56" s="53"/>
      <c r="F56" s="53"/>
      <c r="G56" s="53"/>
      <c r="I56" s="4"/>
      <c r="J56" s="4"/>
      <c r="K56" s="4"/>
      <c r="L56" s="4"/>
      <c r="M56" s="4"/>
      <c r="N56" s="53" t="s">
        <v>67</v>
      </c>
      <c r="O56" s="53"/>
      <c r="P56" s="53"/>
      <c r="Q56" s="53"/>
      <c r="R56" s="53"/>
      <c r="S56" s="4"/>
      <c r="T56" s="4"/>
      <c r="U56" s="4"/>
      <c r="W56" s="4"/>
      <c r="X56" s="4"/>
      <c r="Y56" s="53" t="s">
        <v>67</v>
      </c>
      <c r="Z56" s="53"/>
      <c r="AA56" s="53"/>
      <c r="AB56" s="53"/>
      <c r="AC56" s="53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11</v>
      </c>
      <c r="E58" s="1">
        <f>CEILING(Elf!$B33 / IF(Elf!$D33&lt; 10.8, $F$6,$F$6 / (Elf!$D33 / 10.8)),1)</f>
        <v>12</v>
      </c>
      <c r="F58" s="1">
        <f>CEILING(Beastgirl!$B33 / IF(Beastgirl!$D33&lt; 10.8, $F$6, $F$6 / (Beastgirl!$D33 / 10.8)),1)</f>
        <v>20</v>
      </c>
      <c r="G58" s="1">
        <f>CEILING(Warrior!$B33/ IF(Warrior!$D33&lt; 10.8, $F$6, $F$6 / (Warrior!$D33/ 10.8)),1)</f>
        <v>14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8</v>
      </c>
      <c r="P58" s="1">
        <f>CEILING(Elf!$B33/ IF(Elf!$D33 &lt; 10.8, $Q$6, $Q$6 / (Elf!$D33 / 10.8)),1)</f>
        <v>8</v>
      </c>
      <c r="Q58" s="1">
        <f>CEILING(Beastgirl!$B33/ IF(Beastgirl!$D33&lt; 10.8, $Q$6, $Q$6 / (Beastgirl!$D33 / 10.8)),1)</f>
        <v>14</v>
      </c>
      <c r="R58" s="1">
        <f>CEILING(Warrior!$B33 / IF(Warrior!$D33&lt; 10.8, $Q$6, $Q$6 / (Warrior!$D33 / 10.8)),1)</f>
        <v>10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6</v>
      </c>
      <c r="AA58" s="1">
        <f>CEILING(Elf!$B33 / IF(Elf!$D33 &lt; 10.8, $AB$6, $AB$6 / (Elf!$D33 / 10.8)),1)</f>
        <v>6</v>
      </c>
      <c r="AB58" s="1">
        <f>CEILING(Beastgirl!$B33 / IF(Beastgirl!$D33&lt; 10.8, $AB$6, $AB$6 / (Beastgirl!$D33 / 10.8)),1)</f>
        <v>10</v>
      </c>
      <c r="AC58" s="1">
        <f>CEILING(Warrior!$B33 / IF(Warrior!$D33&lt; 10.8, $AB$6, $AB$6 / (Warrior!$D33 / 10.8)),1)</f>
        <v>7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12</v>
      </c>
      <c r="E59" s="1">
        <f>CEILING(Elf!$B34 / IF(Elf!$D34&lt; 10.8, $F$6,$F$6 / (Elf!$D34 / 10.8)),1)</f>
        <v>13</v>
      </c>
      <c r="F59" s="1">
        <f>CEILING(Beastgirl!$B34 / IF(Beastgirl!$D34&lt; 10.8, $F$6, $F$6 / (Beastgirl!$D34 / 10.8)),1)</f>
        <v>21</v>
      </c>
      <c r="G59" s="1">
        <f>CEILING(Warrior!$B34/ IF(Warrior!$D34&lt; 10.8, $F$6, $F$6 / (Warrior!$D34/ 10.8)),1)</f>
        <v>15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8</v>
      </c>
      <c r="P59" s="1">
        <f>CEILING(Elf!$B34/ IF(Elf!$D34 &lt; 10.8, $Q$6, $Q$6 / (Elf!$D34 / 10.8)),1)</f>
        <v>9</v>
      </c>
      <c r="Q59" s="1">
        <f>CEILING(Beastgirl!$B34/ IF(Beastgirl!$D34&lt; 10.8, $Q$6, $Q$6 / (Beastgirl!$D34 / 10.8)),1)</f>
        <v>14</v>
      </c>
      <c r="R59" s="1">
        <f>CEILING(Warrior!$B34 / IF(Warrior!$D34&lt; 10.8, $Q$6, $Q$6 / (Warrior!$D34 / 10.8)),1)</f>
        <v>10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6</v>
      </c>
      <c r="AA59" s="1">
        <f>CEILING(Elf!$B34 / IF(Elf!$D34 &lt; 10.8, $AB$6, $AB$6 / (Elf!$D34 / 10.8)),1)</f>
        <v>7</v>
      </c>
      <c r="AB59" s="1">
        <f>CEILING(Beastgirl!$B34 / IF(Beastgirl!$D34&lt; 10.8, $AB$6, $AB$6 / (Beastgirl!$D34 / 10.8)),1)</f>
        <v>11</v>
      </c>
      <c r="AC59" s="1">
        <f>CEILING(Warrior!$B34 / IF(Warrior!$D34&lt; 10.8, $AB$6, $AB$6 / (Warrior!$D34 / 10.8)),1)</f>
        <v>8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13</v>
      </c>
      <c r="E60" s="1">
        <f>CEILING(Elf!$B35 / IF(Elf!$D35&lt; 10.8, $F$6,$F$6 / (Elf!$D35 / 10.8)),1)</f>
        <v>14</v>
      </c>
      <c r="F60" s="1">
        <f>CEILING(Beastgirl!$B35 / IF(Beastgirl!$D35&lt; 10.8, $F$6, $F$6 / (Beastgirl!$D35 / 10.8)),1)</f>
        <v>23</v>
      </c>
      <c r="G60" s="1">
        <f>CEILING(Warrior!$B35/ IF(Warrior!$D35&lt; 10.8, $F$6, $F$6 / (Warrior!$D35/ 10.8)),1)</f>
        <v>16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9</v>
      </c>
      <c r="P60" s="1">
        <f>CEILING(Elf!$B35/ IF(Elf!$D35 &lt; 10.8, $Q$6, $Q$6 / (Elf!$D35 / 10.8)),1)</f>
        <v>10</v>
      </c>
      <c r="Q60" s="1">
        <f>CEILING(Beastgirl!$B35/ IF(Beastgirl!$D35&lt; 10.8, $Q$6, $Q$6 / (Beastgirl!$D35 / 10.8)),1)</f>
        <v>15</v>
      </c>
      <c r="R60" s="1">
        <f>CEILING(Warrior!$B35 / IF(Warrior!$D35&lt; 10.8, $Q$6, $Q$6 / (Warrior!$D35 / 10.8)),1)</f>
        <v>11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7</v>
      </c>
      <c r="AA60" s="1">
        <f>CEILING(Elf!$B35 / IF(Elf!$D35 &lt; 10.8, $AB$6, $AB$6 / (Elf!$D35 / 10.8)),1)</f>
        <v>7</v>
      </c>
      <c r="AB60" s="1">
        <f>CEILING(Beastgirl!$B35 / IF(Beastgirl!$D35&lt; 10.8, $AB$6, $AB$6 / (Beastgirl!$D35 / 10.8)),1)</f>
        <v>12</v>
      </c>
      <c r="AC60" s="1">
        <f>CEILING(Warrior!$B35 / IF(Warrior!$D35&lt; 10.8, $AB$6, $AB$6 / (Warrior!$D35 / 10.8)),1)</f>
        <v>8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13</v>
      </c>
      <c r="E61" s="1">
        <f>CEILING(Elf!$B36 / IF(Elf!$D36&lt; 10.8, $F$6,$F$6 / (Elf!$D36 / 10.8)),1)</f>
        <v>15</v>
      </c>
      <c r="F61" s="1">
        <f>CEILING(Beastgirl!$B36 / IF(Beastgirl!$D36&lt; 10.8, $F$6, $F$6 / (Beastgirl!$D36 / 10.8)),1)</f>
        <v>24</v>
      </c>
      <c r="G61" s="1">
        <f>CEILING(Warrior!$B36/ IF(Warrior!$D36&lt; 10.8, $F$6, $F$6 / (Warrior!$D36/ 10.8)),1)</f>
        <v>17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9</v>
      </c>
      <c r="P61" s="1">
        <f>CEILING(Elf!$B36/ IF(Elf!$D36 &lt; 10.8, $Q$6, $Q$6 / (Elf!$D36 / 10.8)),1)</f>
        <v>10</v>
      </c>
      <c r="Q61" s="1">
        <f>CEILING(Beastgirl!$B36/ IF(Beastgirl!$D36&lt; 10.8, $Q$6, $Q$6 / (Beastgirl!$D36 / 10.8)),1)</f>
        <v>16</v>
      </c>
      <c r="R61" s="1">
        <f>CEILING(Warrior!$B36 / IF(Warrior!$D36&lt; 10.8, $Q$6, $Q$6 / (Warrior!$D36 / 10.8)),1)</f>
        <v>11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7</v>
      </c>
      <c r="AA61" s="1">
        <f>CEILING(Elf!$B36 / IF(Elf!$D36 &lt; 10.8, $AB$6, $AB$6 / (Elf!$D36 / 10.8)),1)</f>
        <v>8</v>
      </c>
      <c r="AB61" s="1">
        <f>CEILING(Beastgirl!$B36 / IF(Beastgirl!$D36&lt; 10.8, $AB$6, $AB$6 / (Beastgirl!$D36 / 10.8)),1)</f>
        <v>12</v>
      </c>
      <c r="AC61" s="1">
        <f>CEILING(Warrior!$B36 / IF(Warrior!$D36&lt; 10.8, $AB$6, $AB$6 / (Warrior!$D36 / 10.8)),1)</f>
        <v>9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18</v>
      </c>
      <c r="E62" s="1">
        <f>CEILING(Elf!$B37 / IF(Elf!$D37&lt; 10.8, $F$6,$F$6 / (Elf!$D37 / 10.8)),1)</f>
        <v>20</v>
      </c>
      <c r="F62" s="1">
        <f>CEILING(Beastgirl!$B37 / IF(Beastgirl!$D37&lt; 10.8, $F$6, $F$6 / (Beastgirl!$D37 / 10.8)),1)</f>
        <v>31</v>
      </c>
      <c r="G62" s="1">
        <f>CEILING(Warrior!$B37/ IF(Warrior!$D37&lt; 10.8, $F$6, $F$6 / (Warrior!$D37/ 10.8)),1)</f>
        <v>23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12</v>
      </c>
      <c r="P62" s="1">
        <f>CEILING(Elf!$B37/ IF(Elf!$D37 &lt; 10.8, $Q$6, $Q$6 / (Elf!$D37 / 10.8)),1)</f>
        <v>13</v>
      </c>
      <c r="Q62" s="1">
        <f>CEILING(Beastgirl!$B37/ IF(Beastgirl!$D37&lt; 10.8, $Q$6, $Q$6 / (Beastgirl!$D37 / 10.8)),1)</f>
        <v>21</v>
      </c>
      <c r="R62" s="1">
        <f>CEILING(Warrior!$B37 / IF(Warrior!$D37&lt; 10.8, $Q$6, $Q$6 / (Warrior!$D37 / 10.8)),1)</f>
        <v>15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9</v>
      </c>
      <c r="AA62" s="1">
        <f>CEILING(Elf!$B37 / IF(Elf!$D37 &lt; 10.8, $AB$6, $AB$6 / (Elf!$D37 / 10.8)),1)</f>
        <v>10</v>
      </c>
      <c r="AB62" s="1">
        <f>CEILING(Beastgirl!$B37 / IF(Beastgirl!$D37&lt; 10.8, $AB$6, $AB$6 / (Beastgirl!$D37 / 10.8)),1)</f>
        <v>16</v>
      </c>
      <c r="AC62" s="1">
        <f>CEILING(Warrior!$B37 / IF(Warrior!$D37&lt; 10.8, $AB$6, $AB$6 / (Warrior!$D37 / 10.8)),1)</f>
        <v>12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19</v>
      </c>
      <c r="E63" s="1">
        <f>CEILING(Elf!$B38 / IF(Elf!$D38&lt; 10.8, $F$6,$F$6 / (Elf!$D38 / 10.8)),1)</f>
        <v>21</v>
      </c>
      <c r="F63" s="1">
        <f>CEILING(Beastgirl!$B38 / IF(Beastgirl!$D38&lt; 10.8, $F$6, $F$6 / (Beastgirl!$D38 / 10.8)),1)</f>
        <v>33</v>
      </c>
      <c r="G63" s="1">
        <f>CEILING(Warrior!$B38/ IF(Warrior!$D38&lt; 10.8, $F$6, $F$6 / (Warrior!$D38/ 10.8)),1)</f>
        <v>24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13</v>
      </c>
      <c r="P63" s="1">
        <f>CEILING(Elf!$B38/ IF(Elf!$D38 &lt; 10.8, $Q$6, $Q$6 / (Elf!$D38 / 10.8)),1)</f>
        <v>14</v>
      </c>
      <c r="Q63" s="1">
        <f>CEILING(Beastgirl!$B38/ IF(Beastgirl!$D38&lt; 10.8, $Q$6, $Q$6 / (Beastgirl!$D38 / 10.8)),1)</f>
        <v>22</v>
      </c>
      <c r="R63" s="1">
        <f>CEILING(Warrior!$B38 / IF(Warrior!$D38&lt; 10.8, $Q$6, $Q$6 / (Warrior!$D38 / 10.8)),1)</f>
        <v>16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10</v>
      </c>
      <c r="AA63" s="1">
        <f>CEILING(Elf!$B38 / IF(Elf!$D38 &lt; 10.8, $AB$6, $AB$6 / (Elf!$D38 / 10.8)),1)</f>
        <v>11</v>
      </c>
      <c r="AB63" s="1">
        <f>CEILING(Beastgirl!$B38 / IF(Beastgirl!$D38&lt; 10.8, $AB$6, $AB$6 / (Beastgirl!$D38 / 10.8)),1)</f>
        <v>17</v>
      </c>
      <c r="AC63" s="1">
        <f>CEILING(Warrior!$B38 / IF(Warrior!$D38&lt; 10.8, $AB$6, $AB$6 / (Warrior!$D38 / 10.8)),1)</f>
        <v>12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19</v>
      </c>
      <c r="E64" s="1">
        <f>CEILING(Elf!$B39 / IF(Elf!$D39&lt; 10.8, $F$6,$F$6 / (Elf!$D39 / 10.8)),1)</f>
        <v>22</v>
      </c>
      <c r="F64" s="1">
        <f>CEILING(Beastgirl!$B39 / IF(Beastgirl!$D39&lt; 10.8, $F$6, $F$6 / (Beastgirl!$D39 / 10.8)),1)</f>
        <v>35</v>
      </c>
      <c r="G64" s="1">
        <f>CEILING(Warrior!$B39/ IF(Warrior!$D39&lt; 10.8, $F$6, $F$6 / (Warrior!$D39/ 10.8)),1)</f>
        <v>25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13</v>
      </c>
      <c r="P64" s="1">
        <f>CEILING(Elf!$B39/ IF(Elf!$D39 &lt; 10.8, $Q$6, $Q$6 / (Elf!$D39 / 10.8)),1)</f>
        <v>15</v>
      </c>
      <c r="Q64" s="1">
        <f>CEILING(Beastgirl!$B39/ IF(Beastgirl!$D39&lt; 10.8, $Q$6, $Q$6 / (Beastgirl!$D39 / 10.8)),1)</f>
        <v>23</v>
      </c>
      <c r="R64" s="1">
        <f>CEILING(Warrior!$B39 / IF(Warrior!$D39&lt; 10.8, $Q$6, $Q$6 / (Warrior!$D39 / 10.8)),1)</f>
        <v>17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10</v>
      </c>
      <c r="AA64" s="1">
        <f>CEILING(Elf!$B39 / IF(Elf!$D39 &lt; 10.8, $AB$6, $AB$6 / (Elf!$D39 / 10.8)),1)</f>
        <v>11</v>
      </c>
      <c r="AB64" s="1">
        <f>CEILING(Beastgirl!$B39 / IF(Beastgirl!$D39&lt; 10.8, $AB$6, $AB$6 / (Beastgirl!$D39 / 10.8)),1)</f>
        <v>18</v>
      </c>
      <c r="AC64" s="1">
        <f>CEILING(Warrior!$B39 / IF(Warrior!$D39&lt; 10.8, $AB$6, $AB$6 / (Warrior!$D39 / 10.8)),1)</f>
        <v>13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20</v>
      </c>
      <c r="E65" s="1">
        <f>CEILING(Elf!$B40 / IF(Elf!$D40&lt; 10.8, $F$6,$F$6 / (Elf!$D40 / 10.8)),1)</f>
        <v>23</v>
      </c>
      <c r="F65" s="1">
        <f>CEILING(Beastgirl!$B40 / IF(Beastgirl!$D40&lt; 10.8, $F$6, $F$6 / (Beastgirl!$D40 / 10.8)),1)</f>
        <v>36</v>
      </c>
      <c r="G65" s="1">
        <f>CEILING(Warrior!$B40/ IF(Warrior!$D40&lt; 10.8, $F$6, $F$6 / (Warrior!$D40/ 10.8)),1)</f>
        <v>26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14</v>
      </c>
      <c r="P65" s="1">
        <f>CEILING(Elf!$B40/ IF(Elf!$D40 &lt; 10.8, $Q$6, $Q$6 / (Elf!$D40 / 10.8)),1)</f>
        <v>16</v>
      </c>
      <c r="Q65" s="1">
        <f>CEILING(Beastgirl!$B40/ IF(Beastgirl!$D40&lt; 10.8, $Q$6, $Q$6 / (Beastgirl!$D40 / 10.8)),1)</f>
        <v>24</v>
      </c>
      <c r="R65" s="1">
        <f>CEILING(Warrior!$B40 / IF(Warrior!$D40&lt; 10.8, $Q$6, $Q$6 / (Warrior!$D40 / 10.8)),1)</f>
        <v>18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10</v>
      </c>
      <c r="AA65" s="1">
        <f>CEILING(Elf!$B40 / IF(Elf!$D40 &lt; 10.8, $AB$6, $AB$6 / (Elf!$D40 / 10.8)),1)</f>
        <v>12</v>
      </c>
      <c r="AB65" s="1">
        <f>CEILING(Beastgirl!$B40 / IF(Beastgirl!$D40&lt; 10.8, $AB$6, $AB$6 / (Beastgirl!$D40 / 10.8)),1)</f>
        <v>18</v>
      </c>
      <c r="AC65" s="1">
        <f>CEILING(Warrior!$B40 / IF(Warrior!$D40&lt; 10.8, $AB$6, $AB$6 / (Warrior!$D40 / 10.8)),1)</f>
        <v>13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21</v>
      </c>
      <c r="E66" s="1">
        <f>CEILING(Elf!$B41 / IF(Elf!$D41&lt; 10.8, $F$6,$F$6 / (Elf!$D41 / 10.8)),1)</f>
        <v>24</v>
      </c>
      <c r="F66" s="1">
        <f>CEILING(Beastgirl!$B41 / IF(Beastgirl!$D41&lt; 10.8, $F$6, $F$6 / (Beastgirl!$D41 / 10.8)),1)</f>
        <v>38</v>
      </c>
      <c r="G66" s="1">
        <f>CEILING(Warrior!$B41/ IF(Warrior!$D41&lt; 10.8, $F$6, $F$6 / (Warrior!$D41/ 10.8)),1)</f>
        <v>27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14</v>
      </c>
      <c r="P66" s="1">
        <f>CEILING(Elf!$B41/ IF(Elf!$D41 &lt; 10.8, $Q$6, $Q$6 / (Elf!$D41 / 10.8)),1)</f>
        <v>16</v>
      </c>
      <c r="Q66" s="1">
        <f>CEILING(Beastgirl!$B41/ IF(Beastgirl!$D41&lt; 10.8, $Q$6, $Q$6 / (Beastgirl!$D41 / 10.8)),1)</f>
        <v>26</v>
      </c>
      <c r="R66" s="1">
        <f>CEILING(Warrior!$B41 / IF(Warrior!$D41&lt; 10.8, $Q$6, $Q$6 / (Warrior!$D41 / 10.8)),1)</f>
        <v>18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11</v>
      </c>
      <c r="AA66" s="1">
        <f>CEILING(Elf!$B41 / IF(Elf!$D41 &lt; 10.8, $AB$6, $AB$6 / (Elf!$D41 / 10.8)),1)</f>
        <v>12</v>
      </c>
      <c r="AB66" s="1">
        <f>CEILING(Beastgirl!$B41 / IF(Beastgirl!$D41&lt; 10.8, $AB$6, $AB$6 / (Beastgirl!$D41 / 10.8)),1)</f>
        <v>19</v>
      </c>
      <c r="AC66" s="1">
        <f>CEILING(Warrior!$B41 / IF(Warrior!$D41&lt; 10.8, $AB$6, $AB$6 / (Warrior!$D41 / 10.8)),1)</f>
        <v>14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22</v>
      </c>
      <c r="E67" s="1">
        <f>CEILING(Elf!$B42 / IF(Elf!$D42&lt; 10.8, $F$6,$F$6 / (Elf!$D42 / 10.8)),1)</f>
        <v>26</v>
      </c>
      <c r="F67" s="1">
        <f>CEILING(Beastgirl!$B42 / IF(Beastgirl!$D42&lt; 10.8, $F$6, $F$6 / (Beastgirl!$D42 / 10.8)),1)</f>
        <v>40</v>
      </c>
      <c r="G67" s="1">
        <f>CEILING(Warrior!$B42/ IF(Warrior!$D42&lt; 10.8, $F$6, $F$6 / (Warrior!$D42/ 10.8)),1)</f>
        <v>29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15</v>
      </c>
      <c r="P67" s="1">
        <f>CEILING(Elf!$B42/ IF(Elf!$D42 &lt; 10.8, $Q$6, $Q$6 / (Elf!$D42 / 10.8)),1)</f>
        <v>17</v>
      </c>
      <c r="Q67" s="1">
        <f>CEILING(Beastgirl!$B42/ IF(Beastgirl!$D42&lt; 10.8, $Q$6, $Q$6 / (Beastgirl!$D42 / 10.8)),1)</f>
        <v>27</v>
      </c>
      <c r="R67" s="1">
        <f>CEILING(Warrior!$B42 / IF(Warrior!$D42&lt; 10.8, $Q$6, $Q$6 / (Warrior!$D42 / 10.8)),1)</f>
        <v>19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11</v>
      </c>
      <c r="AA67" s="1">
        <f>CEILING(Elf!$B42 / IF(Elf!$D42 &lt; 10.8, $AB$6, $AB$6 / (Elf!$D42 / 10.8)),1)</f>
        <v>13</v>
      </c>
      <c r="AB67" s="1">
        <f>CEILING(Beastgirl!$B42 / IF(Beastgirl!$D42&lt; 10.8, $AB$6, $AB$6 / (Beastgirl!$D42 / 10.8)),1)</f>
        <v>20</v>
      </c>
      <c r="AC67" s="1">
        <f>CEILING(Warrior!$B42 / IF(Warrior!$D42&lt; 10.8, $AB$6, $AB$6 / (Warrior!$D42 / 10.8)),1)</f>
        <v>15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24</v>
      </c>
      <c r="E68" s="1">
        <f>CEILING(Elf!$B43 / IF(Elf!$D43&lt; 10.8, $F$6,$F$6 / (Elf!$D43 / 10.8)),1)</f>
        <v>27</v>
      </c>
      <c r="F68" s="1">
        <f>CEILING(Beastgirl!$B43 / IF(Beastgirl!$D43&lt; 10.8, $F$6, $F$6 / (Beastgirl!$D43 / 10.8)),1)</f>
        <v>42</v>
      </c>
      <c r="G68" s="1">
        <f>CEILING(Warrior!$B43/ IF(Warrior!$D43&lt; 10.8, $F$6, $F$6 / (Warrior!$D43/ 10.8)),1)</f>
        <v>30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16</v>
      </c>
      <c r="P68" s="1">
        <f>CEILING(Elf!$B43/ IF(Elf!$D43 &lt; 10.8, $Q$6, $Q$6 / (Elf!$D43 / 10.8)),1)</f>
        <v>18</v>
      </c>
      <c r="Q68" s="1">
        <f>CEILING(Beastgirl!$B43/ IF(Beastgirl!$D43&lt; 10.8, $Q$6, $Q$6 / (Beastgirl!$D43 / 10.8)),1)</f>
        <v>28</v>
      </c>
      <c r="R68" s="1">
        <f>CEILING(Warrior!$B43 / IF(Warrior!$D43&lt; 10.8, $Q$6, $Q$6 / (Warrior!$D43 / 10.8)),1)</f>
        <v>20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12</v>
      </c>
      <c r="AA68" s="1">
        <f>CEILING(Elf!$B43 / IF(Elf!$D43 &lt; 10.8, $AB$6, $AB$6 / (Elf!$D43 / 10.8)),1)</f>
        <v>14</v>
      </c>
      <c r="AB68" s="1">
        <f>CEILING(Beastgirl!$B43 / IF(Beastgirl!$D43&lt; 10.8, $AB$6, $AB$6 / (Beastgirl!$D43 / 10.8)),1)</f>
        <v>21</v>
      </c>
      <c r="AC68" s="1">
        <f>CEILING(Warrior!$B43 / IF(Warrior!$D43&lt; 10.8, $AB$6, $AB$6 / (Warrior!$D43 / 10.8)),1)</f>
        <v>15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25</v>
      </c>
      <c r="E69" s="1">
        <f>CEILING(Elf!$B44 / IF(Elf!$D44&lt; 10.8, $F$6,$F$6 / (Elf!$D44 / 10.8)),1)</f>
        <v>28</v>
      </c>
      <c r="F69" s="1">
        <f>CEILING(Beastgirl!$B44 / IF(Beastgirl!$D44&lt; 10.8, $F$6, $F$6 / (Beastgirl!$D44 / 10.8)),1)</f>
        <v>44</v>
      </c>
      <c r="G69" s="1">
        <f>CEILING(Warrior!$B44/ IF(Warrior!$D44&lt; 10.8, $F$6, $F$6 / (Warrior!$D44/ 10.8)),1)</f>
        <v>31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17</v>
      </c>
      <c r="P69" s="1">
        <f>CEILING(Elf!$B44/ IF(Elf!$D44 &lt; 10.8, $Q$6, $Q$6 / (Elf!$D44 / 10.8)),1)</f>
        <v>19</v>
      </c>
      <c r="Q69" s="1">
        <f>CEILING(Beastgirl!$B44/ IF(Beastgirl!$D44&lt; 10.8, $Q$6, $Q$6 / (Beastgirl!$D44 / 10.8)),1)</f>
        <v>29</v>
      </c>
      <c r="R69" s="1">
        <f>CEILING(Warrior!$B44 / IF(Warrior!$D44&lt; 10.8, $Q$6, $Q$6 / (Warrior!$D44 / 10.8)),1)</f>
        <v>21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13</v>
      </c>
      <c r="AA69" s="1">
        <f>CEILING(Elf!$B44 / IF(Elf!$D44 &lt; 10.8, $AB$6, $AB$6 / (Elf!$D44 / 10.8)),1)</f>
        <v>14</v>
      </c>
      <c r="AB69" s="1">
        <f>CEILING(Beastgirl!$B44 / IF(Beastgirl!$D44&lt; 10.8, $AB$6, $AB$6 / (Beastgirl!$D44 / 10.8)),1)</f>
        <v>22</v>
      </c>
      <c r="AC69" s="1">
        <f>CEILING(Warrior!$B44 / IF(Warrior!$D44&lt; 10.8, $AB$6, $AB$6 / (Warrior!$D44 / 10.8)),1)</f>
        <v>16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26</v>
      </c>
      <c r="E70" s="1">
        <f>CEILING(Elf!$B45 / IF(Elf!$D45&lt; 10.8, $F$6,$F$6 / (Elf!$D45 / 10.8)),1)</f>
        <v>29</v>
      </c>
      <c r="F70" s="1">
        <f>CEILING(Beastgirl!$B45 / IF(Beastgirl!$D45&lt; 10.8, $F$6, $F$6 / (Beastgirl!$D45 / 10.8)),1)</f>
        <v>46</v>
      </c>
      <c r="G70" s="1">
        <f>CEILING(Warrior!$B45/ IF(Warrior!$D45&lt; 10.8, $F$6, $F$6 / (Warrior!$D45/ 10.8)),1)</f>
        <v>33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17</v>
      </c>
      <c r="P70" s="1">
        <f>CEILING(Elf!$B45/ IF(Elf!$D45 &lt; 10.8, $Q$6, $Q$6 / (Elf!$D45 / 10.8)),1)</f>
        <v>20</v>
      </c>
      <c r="Q70" s="1">
        <f>CEILING(Beastgirl!$B45/ IF(Beastgirl!$D45&lt; 10.8, $Q$6, $Q$6 / (Beastgirl!$D45 / 10.8)),1)</f>
        <v>31</v>
      </c>
      <c r="R70" s="1">
        <f>CEILING(Warrior!$B45 / IF(Warrior!$D45&lt; 10.8, $Q$6, $Q$6 / (Warrior!$D45 / 10.8)),1)</f>
        <v>22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13</v>
      </c>
      <c r="AA70" s="1">
        <f>CEILING(Elf!$B45 / IF(Elf!$D45 &lt; 10.8, $AB$6, $AB$6 / (Elf!$D45 / 10.8)),1)</f>
        <v>15</v>
      </c>
      <c r="AB70" s="1">
        <f>CEILING(Beastgirl!$B45 / IF(Beastgirl!$D45&lt; 10.8, $AB$6, $AB$6 / (Beastgirl!$D45 / 10.8)),1)</f>
        <v>23</v>
      </c>
      <c r="AC70" s="1">
        <f>CEILING(Warrior!$B45 / IF(Warrior!$D45&lt; 10.8, $AB$6, $AB$6 / (Warrior!$D45 / 10.8)),1)</f>
        <v>17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27</v>
      </c>
      <c r="E71" s="1">
        <f>CEILING(Elf!$B46 / IF(Elf!$D46&lt; 10.8, $F$6,$F$6 / (Elf!$D46 / 10.8)),1)</f>
        <v>31</v>
      </c>
      <c r="F71" s="1">
        <f>CEILING(Beastgirl!$B46 / IF(Beastgirl!$D46&lt; 10.8, $F$6, $F$6 / (Beastgirl!$D46 / 10.8)),1)</f>
        <v>48</v>
      </c>
      <c r="G71" s="1">
        <f>CEILING(Warrior!$B46/ IF(Warrior!$D46&lt; 10.8, $F$6, $F$6 / (Warrior!$D46/ 10.8)),1)</f>
        <v>34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18</v>
      </c>
      <c r="P71" s="1">
        <f>CEILING(Elf!$B46/ IF(Elf!$D46 &lt; 10.8, $Q$6, $Q$6 / (Elf!$D46 / 10.8)),1)</f>
        <v>21</v>
      </c>
      <c r="Q71" s="1">
        <f>CEILING(Beastgirl!$B46/ IF(Beastgirl!$D46&lt; 10.8, $Q$6, $Q$6 / (Beastgirl!$D46 / 10.8)),1)</f>
        <v>32</v>
      </c>
      <c r="R71" s="1">
        <f>CEILING(Warrior!$B46 / IF(Warrior!$D46&lt; 10.8, $Q$6, $Q$6 / (Warrior!$D46 / 10.8)),1)</f>
        <v>23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14</v>
      </c>
      <c r="AA71" s="1">
        <f>CEILING(Elf!$B46 / IF(Elf!$D46 &lt; 10.8, $AB$6, $AB$6 / (Elf!$D46 / 10.8)),1)</f>
        <v>16</v>
      </c>
      <c r="AB71" s="1">
        <f>CEILING(Beastgirl!$B46 / IF(Beastgirl!$D46&lt; 10.8, $AB$6, $AB$6 / (Beastgirl!$D46 / 10.8)),1)</f>
        <v>24</v>
      </c>
      <c r="AC71" s="1">
        <f>CEILING(Warrior!$B46 / IF(Warrior!$D46&lt; 10.8, $AB$6, $AB$6 / (Warrior!$D46 / 10.8)),1)</f>
        <v>17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34</v>
      </c>
      <c r="E72" s="1">
        <f>CEILING(Elf!$B47 / IF(Elf!$D47&lt; 10.8, $F$6,$F$6 / (Elf!$D47 / 10.8)),1)</f>
        <v>39</v>
      </c>
      <c r="F72" s="1">
        <f>CEILING(Beastgirl!$B47 / IF(Beastgirl!$D47&lt; 10.8, $F$6, $F$6 / (Beastgirl!$D47 / 10.8)),1)</f>
        <v>60</v>
      </c>
      <c r="G72" s="1">
        <f>CEILING(Warrior!$B47/ IF(Warrior!$D47&lt; 10.8, $F$6, $F$6 / (Warrior!$D47/ 10.8)),1)</f>
        <v>43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23</v>
      </c>
      <c r="P72" s="1">
        <f>CEILING(Elf!$B47/ IF(Elf!$D47 &lt; 10.8, $Q$6, $Q$6 / (Elf!$D47 / 10.8)),1)</f>
        <v>26</v>
      </c>
      <c r="Q72" s="1">
        <f>CEILING(Beastgirl!$B47/ IF(Beastgirl!$D47&lt; 10.8, $Q$6, $Q$6 / (Beastgirl!$D47 / 10.8)),1)</f>
        <v>40</v>
      </c>
      <c r="R72" s="1">
        <f>CEILING(Warrior!$B47 / IF(Warrior!$D47&lt; 10.8, $Q$6, $Q$6 / (Warrior!$D47 / 10.8)),1)</f>
        <v>29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17</v>
      </c>
      <c r="AA72" s="1">
        <f>CEILING(Elf!$B47 / IF(Elf!$D47 &lt; 10.8, $AB$6, $AB$6 / (Elf!$D47 / 10.8)),1)</f>
        <v>20</v>
      </c>
      <c r="AB72" s="1">
        <f>CEILING(Beastgirl!$B47 / IF(Beastgirl!$D47&lt; 10.8, $AB$6, $AB$6 / (Beastgirl!$D47 / 10.8)),1)</f>
        <v>30</v>
      </c>
      <c r="AC72" s="1">
        <f>CEILING(Warrior!$B47 / IF(Warrior!$D47&lt; 10.8, $AB$6, $AB$6 / (Warrior!$D47 / 10.8)),1)</f>
        <v>22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36</v>
      </c>
      <c r="E73" s="1">
        <f>CEILING(Elf!$B48 / IF(Elf!$D48&lt; 10.8, $F$6,$F$6 / (Elf!$D48 / 10.8)),1)</f>
        <v>40</v>
      </c>
      <c r="F73" s="1">
        <f>CEILING(Beastgirl!$B48 / IF(Beastgirl!$D48&lt; 10.8, $F$6, $F$6 / (Beastgirl!$D48 / 10.8)),1)</f>
        <v>62</v>
      </c>
      <c r="G73" s="1">
        <f>CEILING(Warrior!$B48/ IF(Warrior!$D48&lt; 10.8, $F$6, $F$6 / (Warrior!$D48/ 10.8)),1)</f>
        <v>45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24</v>
      </c>
      <c r="P73" s="1">
        <f>CEILING(Elf!$B48/ IF(Elf!$D48 &lt; 10.8, $Q$6, $Q$6 / (Elf!$D48 / 10.8)),1)</f>
        <v>27</v>
      </c>
      <c r="Q73" s="1">
        <f>CEILING(Beastgirl!$B48/ IF(Beastgirl!$D48&lt; 10.8, $Q$6, $Q$6 / (Beastgirl!$D48 / 10.8)),1)</f>
        <v>42</v>
      </c>
      <c r="R73" s="1">
        <f>CEILING(Warrior!$B48 / IF(Warrior!$D48&lt; 10.8, $Q$6, $Q$6 / (Warrior!$D48 / 10.8)),1)</f>
        <v>30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18</v>
      </c>
      <c r="AA73" s="1">
        <f>CEILING(Elf!$B48 / IF(Elf!$D48 &lt; 10.8, $AB$6, $AB$6 / (Elf!$D48 / 10.8)),1)</f>
        <v>20</v>
      </c>
      <c r="AB73" s="1">
        <f>CEILING(Beastgirl!$B48 / IF(Beastgirl!$D48&lt; 10.8, $AB$6, $AB$6 / (Beastgirl!$D48 / 10.8)),1)</f>
        <v>31</v>
      </c>
      <c r="AC73" s="1">
        <f>CEILING(Warrior!$B48 / IF(Warrior!$D48&lt; 10.8, $AB$6, $AB$6 / (Warrior!$D48 / 10.8)),1)</f>
        <v>23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37</v>
      </c>
      <c r="E74" s="1">
        <f>CEILING(Elf!$B49 / IF(Elf!$D49&lt; 10.8, $F$6,$F$6 / (Elf!$D49 / 10.8)),1)</f>
        <v>42</v>
      </c>
      <c r="F74" s="1">
        <f>CEILING(Beastgirl!$B49 / IF(Beastgirl!$D49&lt; 10.8, $F$6, $F$6 / (Beastgirl!$D49 / 10.8)),1)</f>
        <v>65</v>
      </c>
      <c r="G74" s="1">
        <f>CEILING(Warrior!$B49/ IF(Warrior!$D49&lt; 10.8, $F$6, $F$6 / (Warrior!$D49/ 10.8)),1)</f>
        <v>46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25</v>
      </c>
      <c r="P74" s="1">
        <f>CEILING(Elf!$B49/ IF(Elf!$D49 &lt; 10.8, $Q$6, $Q$6 / (Elf!$D49 / 10.8)),1)</f>
        <v>28</v>
      </c>
      <c r="Q74" s="1">
        <f>CEILING(Beastgirl!$B49/ IF(Beastgirl!$D49&lt; 10.8, $Q$6, $Q$6 / (Beastgirl!$D49 / 10.8)),1)</f>
        <v>43</v>
      </c>
      <c r="R74" s="1">
        <f>CEILING(Warrior!$B49 / IF(Warrior!$D49&lt; 10.8, $Q$6, $Q$6 / (Warrior!$D49 / 10.8)),1)</f>
        <v>31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19</v>
      </c>
      <c r="AA74" s="1">
        <f>CEILING(Elf!$B49 / IF(Elf!$D49 &lt; 10.8, $AB$6, $AB$6 / (Elf!$D49 / 10.8)),1)</f>
        <v>21</v>
      </c>
      <c r="AB74" s="1">
        <f>CEILING(Beastgirl!$B49 / IF(Beastgirl!$D49&lt; 10.8, $AB$6, $AB$6 / (Beastgirl!$D49 / 10.8)),1)</f>
        <v>33</v>
      </c>
      <c r="AC74" s="1">
        <f>CEILING(Warrior!$B49 / IF(Warrior!$D49&lt; 10.8, $AB$6, $AB$6 / (Warrior!$D49 / 10.8)),1)</f>
        <v>23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39</v>
      </c>
      <c r="E75" s="1">
        <f>CEILING(Elf!$B50 / IF(Elf!$D50&lt; 10.8, $F$6,$F$6 / (Elf!$D50 / 10.8)),1)</f>
        <v>44</v>
      </c>
      <c r="F75" s="1">
        <f>CEILING(Beastgirl!$B50 / IF(Beastgirl!$D50&lt; 10.8, $F$6, $F$6 / (Beastgirl!$D50 / 10.8)),1)</f>
        <v>67</v>
      </c>
      <c r="G75" s="1">
        <f>CEILING(Warrior!$B50/ IF(Warrior!$D50&lt; 10.8, $F$6, $F$6 / (Warrior!$D50/ 10.8)),1)</f>
        <v>48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26</v>
      </c>
      <c r="P75" s="1">
        <f>CEILING(Elf!$B50/ IF(Elf!$D50 &lt; 10.8, $Q$6, $Q$6 / (Elf!$D50 / 10.8)),1)</f>
        <v>29</v>
      </c>
      <c r="Q75" s="1">
        <f>CEILING(Beastgirl!$B50/ IF(Beastgirl!$D50&lt; 10.8, $Q$6, $Q$6 / (Beastgirl!$D50 / 10.8)),1)</f>
        <v>45</v>
      </c>
      <c r="R75" s="1">
        <f>CEILING(Warrior!$B50 / IF(Warrior!$D50&lt; 10.8, $Q$6, $Q$6 / (Warrior!$D50 / 10.8)),1)</f>
        <v>32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20</v>
      </c>
      <c r="AA75" s="1">
        <f>CEILING(Elf!$B50 / IF(Elf!$D50 &lt; 10.8, $AB$6, $AB$6 / (Elf!$D50 / 10.8)),1)</f>
        <v>22</v>
      </c>
      <c r="AB75" s="1">
        <f>CEILING(Beastgirl!$B50 / IF(Beastgirl!$D50&lt; 10.8, $AB$6, $AB$6 / (Beastgirl!$D50 / 10.8)),1)</f>
        <v>34</v>
      </c>
      <c r="AC75" s="1">
        <f>CEILING(Warrior!$B50 / IF(Warrior!$D50&lt; 10.8, $AB$6, $AB$6 / (Warrior!$D50 / 10.8)),1)</f>
        <v>24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40</v>
      </c>
      <c r="E76" s="1">
        <f>CEILING(Elf!$B51 / IF(Elf!$D51&lt; 10.8, $F$6,$F$6 / (Elf!$D51 / 10.8)),1)</f>
        <v>46</v>
      </c>
      <c r="F76" s="1">
        <f>CEILING(Beastgirl!$B51 / IF(Beastgirl!$D51&lt; 10.8, $F$6, $F$6 / (Beastgirl!$D51 / 10.8)),1)</f>
        <v>70</v>
      </c>
      <c r="G76" s="1">
        <f>CEILING(Warrior!$B51/ IF(Warrior!$D51&lt; 10.8, $F$6, $F$6 / (Warrior!$D51/ 10.8)),1)</f>
        <v>50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27</v>
      </c>
      <c r="P76" s="1">
        <f>CEILING(Elf!$B51/ IF(Elf!$D51 &lt; 10.8, $Q$6, $Q$6 / (Elf!$D51 / 10.8)),1)</f>
        <v>31</v>
      </c>
      <c r="Q76" s="1">
        <f>CEILING(Beastgirl!$B51/ IF(Beastgirl!$D51&lt; 10.8, $Q$6, $Q$6 / (Beastgirl!$D51 / 10.8)),1)</f>
        <v>47</v>
      </c>
      <c r="R76" s="1">
        <f>CEILING(Warrior!$B51 / IF(Warrior!$D51&lt; 10.8, $Q$6, $Q$6 / (Warrior!$D51 / 10.8)),1)</f>
        <v>34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20</v>
      </c>
      <c r="AA76" s="1">
        <f>CEILING(Elf!$B51 / IF(Elf!$D51 &lt; 10.8, $AB$6, $AB$6 / (Elf!$D51 / 10.8)),1)</f>
        <v>23</v>
      </c>
      <c r="AB76" s="1">
        <f>CEILING(Beastgirl!$B51 / IF(Beastgirl!$D51&lt; 10.8, $AB$6, $AB$6 / (Beastgirl!$D51 / 10.8)),1)</f>
        <v>35</v>
      </c>
      <c r="AC76" s="1">
        <f>CEILING(Warrior!$B51 / IF(Warrior!$D51&lt; 10.8, $AB$6, $AB$6 / (Warrior!$D51 / 10.8)),1)</f>
        <v>25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42</v>
      </c>
      <c r="E77" s="1">
        <f>CEILING(Elf!$B52 / IF(Elf!$D52&lt; 10.8, $F$6,$F$6 / (Elf!$D52 / 10.8)),1)</f>
        <v>48</v>
      </c>
      <c r="F77" s="1">
        <f>CEILING(Beastgirl!$B52 / IF(Beastgirl!$D52&lt; 10.8, $F$6, $F$6 / (Beastgirl!$D52 / 10.8)),1)</f>
        <v>73</v>
      </c>
      <c r="G77" s="1">
        <f>CEILING(Warrior!$B52/ IF(Warrior!$D52&lt; 10.8, $F$6, $F$6 / (Warrior!$D52/ 10.8)),1)</f>
        <v>52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28</v>
      </c>
      <c r="P77" s="1">
        <f>CEILING(Elf!$B52/ IF(Elf!$D52 &lt; 10.8, $Q$6, $Q$6 / (Elf!$D52 / 10.8)),1)</f>
        <v>32</v>
      </c>
      <c r="Q77" s="1">
        <f>CEILING(Beastgirl!$B52/ IF(Beastgirl!$D52&lt; 10.8, $Q$6, $Q$6 / (Beastgirl!$D52 / 10.8)),1)</f>
        <v>49</v>
      </c>
      <c r="R77" s="1">
        <f>CEILING(Warrior!$B52 / IF(Warrior!$D52&lt; 10.8, $Q$6, $Q$6 / (Warrior!$D52 / 10.8)),1)</f>
        <v>35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21</v>
      </c>
      <c r="AA77" s="1">
        <f>CEILING(Elf!$B52 / IF(Elf!$D52 &lt; 10.8, $AB$6, $AB$6 / (Elf!$D52 / 10.8)),1)</f>
        <v>24</v>
      </c>
      <c r="AB77" s="1">
        <f>CEILING(Beastgirl!$B52 / IF(Beastgirl!$D52&lt; 10.8, $AB$6, $AB$6 / (Beastgirl!$D52 / 10.8)),1)</f>
        <v>37</v>
      </c>
      <c r="AC77" s="1">
        <f>CEILING(Warrior!$B52 / IF(Warrior!$D52&lt; 10.8, $AB$6, $AB$6 / (Warrior!$D52 / 10.8)),1)</f>
        <v>26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53" t="s">
        <v>68</v>
      </c>
      <c r="D79" s="53"/>
      <c r="E79" s="53"/>
      <c r="F79" s="53"/>
      <c r="G79" s="53"/>
      <c r="H79" s="4"/>
      <c r="I79" s="4"/>
      <c r="J79" s="4"/>
      <c r="K79" s="4"/>
      <c r="L79" s="4"/>
      <c r="N79" s="53" t="s">
        <v>68</v>
      </c>
      <c r="O79" s="53"/>
      <c r="P79" s="53"/>
      <c r="Q79" s="53"/>
      <c r="R79" s="53"/>
      <c r="T79" s="4"/>
      <c r="U79" s="4"/>
      <c r="V79" s="4"/>
      <c r="W79" s="4"/>
      <c r="X79" s="4"/>
      <c r="Y79" s="53" t="s">
        <v>68</v>
      </c>
      <c r="Z79" s="53"/>
      <c r="AA79" s="53"/>
      <c r="AB79" s="53"/>
      <c r="AC79" s="53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11</v>
      </c>
      <c r="E81" s="1">
        <f>CEILING(Elf!$B33 / IF(Elf!$D33&lt; 10.8, $F$7,$F$7 / (Elf!$D33 / 10.8)),1)</f>
        <v>12</v>
      </c>
      <c r="F81" s="1">
        <f>CEILING(Beastgirl!$B33 / IF(Beastgirl!$D33&lt; 10.8, $F$7, $F$7 / (Beastgirl!$D33 / 10.8)),1)</f>
        <v>20</v>
      </c>
      <c r="G81" s="1">
        <f>CEILING(Warrior!$B33/ IF(Warrior!$D33&lt; 10.8, $F$7, $F$7 / (Warrior!$D33/ 10.8)),1)</f>
        <v>14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7</v>
      </c>
      <c r="P81" s="1">
        <f>CEILING(Elf!$B33/ IF(Elf!$D33 &lt; 10.8, $Q$7, $Q$7 / (Elf!$D33/ 10.8)),1)</f>
        <v>8</v>
      </c>
      <c r="Q81" s="1">
        <f>CEILING(Beastgirl!$B33/ IF(Beastgirl!$D33&lt; 10.8, $Q$7, $Q$7/ (Beastgirl!$D33 / 10.8)),1)</f>
        <v>13</v>
      </c>
      <c r="R81" s="1">
        <f>CEILING(Warrior!$B33 / IF(Warrior!$D33&lt; 10.8, $Q$7, $Q$7 / (Warrior!$D33 / 10.8)),1)</f>
        <v>9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6</v>
      </c>
      <c r="AA81" s="1">
        <f>CEILING(Elf!$B33 / IF(Elf!$D33 &lt; 10.8, $AB$7, $AB$7 / (Elf!$D33 / 10.8)),1)</f>
        <v>6</v>
      </c>
      <c r="AB81" s="1">
        <f>CEILING(Beastgirl!$B33 / IF(Beastgirl!$D33&lt; 10.8, $AB$7, $AB$7 / (Beastgirl!$D33 / 10.8)),1)</f>
        <v>10</v>
      </c>
      <c r="AC81" s="1">
        <f>CEILING(Warrior!$B33/ IF(Warrior!$D33&lt; 10.8, $AB$7, $AB$7 / (Warrior!$D33 / 10.8)),1)</f>
        <v>7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12</v>
      </c>
      <c r="E82" s="1">
        <f>CEILING(Elf!$B34 / IF(Elf!$D34&lt; 10.8, $F$7,$F$7 / (Elf!$D34 / 10.8)),1)</f>
        <v>13</v>
      </c>
      <c r="F82" s="1">
        <f>CEILING(Beastgirl!$B34 / IF(Beastgirl!$D34&lt; 10.8, $F$7, $F$7 / (Beastgirl!$D34 / 10.8)),1)</f>
        <v>21</v>
      </c>
      <c r="G82" s="1">
        <f>CEILING(Warrior!$B34/ IF(Warrior!$D34&lt; 10.8, $F$7, $F$7 / (Warrior!$D34/ 10.8)),1)</f>
        <v>15</v>
      </c>
      <c r="N82" s="1">
        <v>32</v>
      </c>
      <c r="O82" s="1">
        <f>CEILING(Demon!$B34 / IF(Demon!$D34&lt; 10.8, $Q$7, $Q$7 / (Demon!$D34/ 10.8)),1)</f>
        <v>8</v>
      </c>
      <c r="P82" s="1">
        <f>CEILING(Elf!$B34/ IF(Elf!$D34 &lt; 10.8, $Q$7, $Q$7 / (Elf!$D34/ 10.8)),1)</f>
        <v>9</v>
      </c>
      <c r="Q82" s="1">
        <f>CEILING(Beastgirl!$B34/ IF(Beastgirl!$D34&lt; 10.8, $Q$7, $Q$7/ (Beastgirl!$D34 / 10.8)),1)</f>
        <v>14</v>
      </c>
      <c r="R82" s="1">
        <f>CEILING(Warrior!$B34 / IF(Warrior!$D34&lt; 10.8, $Q$7, $Q$7 / (Warrior!$D34 / 10.8)),1)</f>
        <v>10</v>
      </c>
      <c r="Y82" s="1">
        <v>32</v>
      </c>
      <c r="Z82" s="1">
        <f>CEILING(Demon!$B34 / IF(Demon!$D34&lt; 10.8, $AB$7, $AB$7 / (Demon!$D34 / 10.8)),1)</f>
        <v>6</v>
      </c>
      <c r="AA82" s="1">
        <f>CEILING(Elf!$B34 / IF(Elf!$D34 &lt; 10.8, $AB$7, $AB$7 / (Elf!$D34 / 10.8)),1)</f>
        <v>7</v>
      </c>
      <c r="AB82" s="1">
        <f>CEILING(Beastgirl!$B34 / IF(Beastgirl!$D34&lt; 10.8, $AB$7, $AB$7 / (Beastgirl!$D34 / 10.8)),1)</f>
        <v>11</v>
      </c>
      <c r="AC82" s="1">
        <f>CEILING(Warrior!$B34/ IF(Warrior!$D34&lt; 10.8, $AB$7, $AB$7 / (Warrior!$D34 / 10.8)),1)</f>
        <v>8</v>
      </c>
    </row>
    <row r="83" spans="1:31" x14ac:dyDescent="0.3">
      <c r="C83" s="1">
        <v>33</v>
      </c>
      <c r="D83" s="1">
        <f>CEILING(Demon!$B35/ IF(Demon!$D35&lt; 10.8, $F$7, $F$7 / (Demon!$D35 / 10.8)),1)</f>
        <v>12</v>
      </c>
      <c r="E83" s="1">
        <f>CEILING(Elf!$B35 / IF(Elf!$D35&lt; 10.8, $F$7,$F$7 / (Elf!$D35 / 10.8)),1)</f>
        <v>14</v>
      </c>
      <c r="F83" s="1">
        <f>CEILING(Beastgirl!$B35 / IF(Beastgirl!$D35&lt; 10.8, $F$7, $F$7 / (Beastgirl!$D35 / 10.8)),1)</f>
        <v>22</v>
      </c>
      <c r="G83" s="1">
        <f>CEILING(Warrior!$B35/ IF(Warrior!$D35&lt; 10.8, $F$7, $F$7 / (Warrior!$D35/ 10.8)),1)</f>
        <v>16</v>
      </c>
      <c r="N83" s="1">
        <v>33</v>
      </c>
      <c r="O83" s="1">
        <f>CEILING(Demon!$B35 / IF(Demon!$D35&lt; 10.8, $Q$7, $Q$7 / (Demon!$D35/ 10.8)),1)</f>
        <v>8</v>
      </c>
      <c r="P83" s="1">
        <f>CEILING(Elf!$B35/ IF(Elf!$D35 &lt; 10.8, $Q$7, $Q$7 / (Elf!$D35/ 10.8)),1)</f>
        <v>9</v>
      </c>
      <c r="Q83" s="1">
        <f>CEILING(Beastgirl!$B35/ IF(Beastgirl!$D35&lt; 10.8, $Q$7, $Q$7/ (Beastgirl!$D35 / 10.8)),1)</f>
        <v>15</v>
      </c>
      <c r="R83" s="1">
        <f>CEILING(Warrior!$B35 / IF(Warrior!$D35&lt; 10.8, $Q$7, $Q$7 / (Warrior!$D35 / 10.8)),1)</f>
        <v>11</v>
      </c>
      <c r="Y83" s="1">
        <v>33</v>
      </c>
      <c r="Z83" s="1">
        <f>CEILING(Demon!$B35 / IF(Demon!$D35&lt; 10.8, $AB$7, $AB$7 / (Demon!$D35 / 10.8)),1)</f>
        <v>6</v>
      </c>
      <c r="AA83" s="1">
        <f>CEILING(Elf!$B35 / IF(Elf!$D35 &lt; 10.8, $AB$7, $AB$7 / (Elf!$D35 / 10.8)),1)</f>
        <v>7</v>
      </c>
      <c r="AB83" s="1">
        <f>CEILING(Beastgirl!$B35 / IF(Beastgirl!$D35&lt; 10.8, $AB$7, $AB$7 / (Beastgirl!$D35 / 10.8)),1)</f>
        <v>11</v>
      </c>
      <c r="AC83" s="1">
        <f>CEILING(Warrior!$B35/ IF(Warrior!$D35&lt; 10.8, $AB$7, $AB$7 / (Warrior!$D35 / 10.8)),1)</f>
        <v>8</v>
      </c>
    </row>
    <row r="84" spans="1:31" x14ac:dyDescent="0.3">
      <c r="C84" s="1">
        <v>34</v>
      </c>
      <c r="D84" s="1">
        <f>CEILING(Demon!$B36/ IF(Demon!$D36&lt; 10.8, $F$7, $F$7 / (Demon!$D36 / 10.8)),1)</f>
        <v>13</v>
      </c>
      <c r="E84" s="1">
        <f>CEILING(Elf!$B36 / IF(Elf!$D36&lt; 10.8, $F$7,$F$7 / (Elf!$D36 / 10.8)),1)</f>
        <v>15</v>
      </c>
      <c r="F84" s="1">
        <f>CEILING(Beastgirl!$B36 / IF(Beastgirl!$D36&lt; 10.8, $F$7, $F$7 / (Beastgirl!$D36 / 10.8)),1)</f>
        <v>23</v>
      </c>
      <c r="G84" s="1">
        <f>CEILING(Warrior!$B36/ IF(Warrior!$D36&lt; 10.8, $F$7, $F$7 / (Warrior!$D36/ 10.8)),1)</f>
        <v>17</v>
      </c>
      <c r="N84" s="1">
        <v>34</v>
      </c>
      <c r="O84" s="1">
        <f>CEILING(Demon!$B36 / IF(Demon!$D36&lt; 10.8, $Q$7, $Q$7 / (Demon!$D36/ 10.8)),1)</f>
        <v>9</v>
      </c>
      <c r="P84" s="1">
        <f>CEILING(Elf!$B36/ IF(Elf!$D36 &lt; 10.8, $Q$7, $Q$7 / (Elf!$D36/ 10.8)),1)</f>
        <v>10</v>
      </c>
      <c r="Q84" s="1">
        <f>CEILING(Beastgirl!$B36/ IF(Beastgirl!$D36&lt; 10.8, $Q$7, $Q$7/ (Beastgirl!$D36 / 10.8)),1)</f>
        <v>16</v>
      </c>
      <c r="R84" s="1">
        <f>CEILING(Warrior!$B36 / IF(Warrior!$D36&lt; 10.8, $Q$7, $Q$7 / (Warrior!$D36 / 10.8)),1)</f>
        <v>11</v>
      </c>
      <c r="Y84" s="1">
        <v>34</v>
      </c>
      <c r="Z84" s="1">
        <f>CEILING(Demon!$B36 / IF(Demon!$D36&lt; 10.8, $AB$7, $AB$7 / (Demon!$D36 / 10.8)),1)</f>
        <v>7</v>
      </c>
      <c r="AA84" s="1">
        <f>CEILING(Elf!$B36 / IF(Elf!$D36 &lt; 10.8, $AB$7, $AB$7 / (Elf!$D36 / 10.8)),1)</f>
        <v>8</v>
      </c>
      <c r="AB84" s="1">
        <f>CEILING(Beastgirl!$B36 / IF(Beastgirl!$D36&lt; 10.8, $AB$7, $AB$7 / (Beastgirl!$D36 / 10.8)),1)</f>
        <v>12</v>
      </c>
      <c r="AC84" s="1">
        <f>CEILING(Warrior!$B36/ IF(Warrior!$D36&lt; 10.8, $AB$7, $AB$7 / (Warrior!$D36 / 10.8)),1)</f>
        <v>9</v>
      </c>
    </row>
    <row r="85" spans="1:31" x14ac:dyDescent="0.3">
      <c r="C85" s="1">
        <v>35</v>
      </c>
      <c r="D85" s="1">
        <f>CEILING(Demon!$B37/ IF(Demon!$D37&lt; 10.8, $F$7, $F$7 / (Demon!$D37 / 10.8)),1)</f>
        <v>17</v>
      </c>
      <c r="E85" s="1">
        <f>CEILING(Elf!$B37 / IF(Elf!$D37&lt; 10.8, $F$7,$F$7 / (Elf!$D37 / 10.8)),1)</f>
        <v>19</v>
      </c>
      <c r="F85" s="1">
        <f>CEILING(Beastgirl!$B37 / IF(Beastgirl!$D37&lt; 10.8, $F$7, $F$7 / (Beastgirl!$D37 / 10.8)),1)</f>
        <v>31</v>
      </c>
      <c r="G85" s="1">
        <f>CEILING(Warrior!$B37/ IF(Warrior!$D37&lt; 10.8, $F$7, $F$7 / (Warrior!$D37/ 10.8)),1)</f>
        <v>22</v>
      </c>
      <c r="N85" s="1">
        <v>35</v>
      </c>
      <c r="O85" s="1">
        <f>CEILING(Demon!$B37 / IF(Demon!$D37&lt; 10.8, $Q$7, $Q$7 / (Demon!$D37/ 10.8)),1)</f>
        <v>12</v>
      </c>
      <c r="P85" s="1">
        <f>CEILING(Elf!$B37/ IF(Elf!$D37 &lt; 10.8, $Q$7, $Q$7 / (Elf!$D37/ 10.8)),1)</f>
        <v>13</v>
      </c>
      <c r="Q85" s="1">
        <f>CEILING(Beastgirl!$B37/ IF(Beastgirl!$D37&lt; 10.8, $Q$7, $Q$7/ (Beastgirl!$D37 / 10.8)),1)</f>
        <v>21</v>
      </c>
      <c r="R85" s="1">
        <f>CEILING(Warrior!$B37 / IF(Warrior!$D37&lt; 10.8, $Q$7, $Q$7 / (Warrior!$D37 / 10.8)),1)</f>
        <v>15</v>
      </c>
      <c r="Y85" s="1">
        <v>35</v>
      </c>
      <c r="Z85" s="1">
        <f>CEILING(Demon!$B37 / IF(Demon!$D37&lt; 10.8, $AB$7, $AB$7 / (Demon!$D37 / 10.8)),1)</f>
        <v>9</v>
      </c>
      <c r="AA85" s="1">
        <f>CEILING(Elf!$B37 / IF(Elf!$D37 &lt; 10.8, $AB$7, $AB$7 / (Elf!$D37 / 10.8)),1)</f>
        <v>10</v>
      </c>
      <c r="AB85" s="1">
        <f>CEILING(Beastgirl!$B37 / IF(Beastgirl!$D37&lt; 10.8, $AB$7, $AB$7 / (Beastgirl!$D37 / 10.8)),1)</f>
        <v>16</v>
      </c>
      <c r="AC85" s="1">
        <f>CEILING(Warrior!$B37/ IF(Warrior!$D37&lt; 10.8, $AB$7, $AB$7 / (Warrior!$D37 / 10.8)),1)</f>
        <v>11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18</v>
      </c>
      <c r="E86" s="1">
        <f>CEILING(Elf!$B38 / IF(Elf!$D38&lt; 10.8, $F$7,$F$7 / (Elf!$D38 / 10.8)),1)</f>
        <v>20</v>
      </c>
      <c r="F86" s="1">
        <f>CEILING(Beastgirl!$B38 / IF(Beastgirl!$D38&lt; 10.8, $F$7, $F$7 / (Beastgirl!$D38 / 10.8)),1)</f>
        <v>32</v>
      </c>
      <c r="G86" s="1">
        <f>CEILING(Warrior!$B38/ IF(Warrior!$D38&lt; 10.8, $F$7, $F$7 / (Warrior!$D38/ 10.8)),1)</f>
        <v>23</v>
      </c>
      <c r="N86" s="1">
        <v>36</v>
      </c>
      <c r="O86" s="1">
        <f>CEILING(Demon!$B38 / IF(Demon!$D38&lt; 10.8, $Q$7, $Q$7 / (Demon!$D38/ 10.8)),1)</f>
        <v>12</v>
      </c>
      <c r="P86" s="1">
        <f>CEILING(Elf!$B38/ IF(Elf!$D38 &lt; 10.8, $Q$7, $Q$7 / (Elf!$D38/ 10.8)),1)</f>
        <v>14</v>
      </c>
      <c r="Q86" s="1">
        <f>CEILING(Beastgirl!$B38/ IF(Beastgirl!$D38&lt; 10.8, $Q$7, $Q$7/ (Beastgirl!$D38 / 10.8)),1)</f>
        <v>22</v>
      </c>
      <c r="R86" s="1">
        <f>CEILING(Warrior!$B38 / IF(Warrior!$D38&lt; 10.8, $Q$7, $Q$7 / (Warrior!$D38 / 10.8)),1)</f>
        <v>16</v>
      </c>
      <c r="Y86" s="1">
        <v>36</v>
      </c>
      <c r="Z86" s="1">
        <f>CEILING(Demon!$B38 / IF(Demon!$D38&lt; 10.8, $AB$7, $AB$7 / (Demon!$D38 / 10.8)),1)</f>
        <v>9</v>
      </c>
      <c r="AA86" s="1">
        <f>CEILING(Elf!$B38 / IF(Elf!$D38 &lt; 10.8, $AB$7, $AB$7 / (Elf!$D38 / 10.8)),1)</f>
        <v>10</v>
      </c>
      <c r="AB86" s="1">
        <f>CEILING(Beastgirl!$B38 / IF(Beastgirl!$D38&lt; 10.8, $AB$7, $AB$7 / (Beastgirl!$D38 / 10.8)),1)</f>
        <v>16</v>
      </c>
      <c r="AC86" s="1">
        <f>CEILING(Warrior!$B38/ IF(Warrior!$D38&lt; 10.8, $AB$7, $AB$7 / (Warrior!$D38 / 10.8)),1)</f>
        <v>12</v>
      </c>
    </row>
    <row r="87" spans="1:31" x14ac:dyDescent="0.3">
      <c r="C87" s="1">
        <v>37</v>
      </c>
      <c r="D87" s="1">
        <f>CEILING(Demon!$B39/ IF(Demon!$D39&lt; 10.8, $F$7, $F$7 / (Demon!$D39 / 10.8)),1)</f>
        <v>19</v>
      </c>
      <c r="E87" s="1">
        <f>CEILING(Elf!$B39 / IF(Elf!$D39&lt; 10.8, $F$7,$F$7 / (Elf!$D39 / 10.8)),1)</f>
        <v>21</v>
      </c>
      <c r="F87" s="1">
        <f>CEILING(Beastgirl!$B39 / IF(Beastgirl!$D39&lt; 10.8, $F$7, $F$7 / (Beastgirl!$D39 / 10.8)),1)</f>
        <v>34</v>
      </c>
      <c r="G87" s="1">
        <f>CEILING(Warrior!$B39/ IF(Warrior!$D39&lt; 10.8, $F$7, $F$7 / (Warrior!$D39/ 10.8)),1)</f>
        <v>24</v>
      </c>
      <c r="N87" s="1">
        <v>37</v>
      </c>
      <c r="O87" s="1">
        <f>CEILING(Demon!$B39 / IF(Demon!$D39&lt; 10.8, $Q$7, $Q$7 / (Demon!$D39/ 10.8)),1)</f>
        <v>13</v>
      </c>
      <c r="P87" s="1">
        <f>CEILING(Elf!$B39/ IF(Elf!$D39 &lt; 10.8, $Q$7, $Q$7 / (Elf!$D39/ 10.8)),1)</f>
        <v>14</v>
      </c>
      <c r="Q87" s="1">
        <f>CEILING(Beastgirl!$B39/ IF(Beastgirl!$D39&lt; 10.8, $Q$7, $Q$7/ (Beastgirl!$D39 / 10.8)),1)</f>
        <v>23</v>
      </c>
      <c r="R87" s="1">
        <f>CEILING(Warrior!$B39 / IF(Warrior!$D39&lt; 10.8, $Q$7, $Q$7 / (Warrior!$D39 / 10.8)),1)</f>
        <v>16</v>
      </c>
      <c r="Y87" s="1">
        <v>37</v>
      </c>
      <c r="Z87" s="1">
        <f>CEILING(Demon!$B39 / IF(Demon!$D39&lt; 10.8, $AB$7, $AB$7 / (Demon!$D39 / 10.8)),1)</f>
        <v>10</v>
      </c>
      <c r="AA87" s="1">
        <f>CEILING(Elf!$B39 / IF(Elf!$D39 &lt; 10.8, $AB$7, $AB$7 / (Elf!$D39 / 10.8)),1)</f>
        <v>11</v>
      </c>
      <c r="AB87" s="1">
        <f>CEILING(Beastgirl!$B39 / IF(Beastgirl!$D39&lt; 10.8, $AB$7, $AB$7 / (Beastgirl!$D39 / 10.8)),1)</f>
        <v>17</v>
      </c>
      <c r="AC87" s="1">
        <f>CEILING(Warrior!$B39/ IF(Warrior!$D39&lt; 10.8, $AB$7, $AB$7 / (Warrior!$D39 / 10.8)),1)</f>
        <v>12</v>
      </c>
    </row>
    <row r="88" spans="1:31" x14ac:dyDescent="0.3">
      <c r="C88" s="1">
        <v>38</v>
      </c>
      <c r="D88" s="1">
        <f>CEILING(Demon!$B40/ IF(Demon!$D40&lt; 10.8, $F$7, $F$7 / (Demon!$D40 / 10.8)),1)</f>
        <v>20</v>
      </c>
      <c r="E88" s="1">
        <f>CEILING(Elf!$B40 / IF(Elf!$D40&lt; 10.8, $F$7,$F$7 / (Elf!$D40 / 10.8)),1)</f>
        <v>23</v>
      </c>
      <c r="F88" s="1">
        <f>CEILING(Beastgirl!$B40 / IF(Beastgirl!$D40&lt; 10.8, $F$7, $F$7 / (Beastgirl!$D40 / 10.8)),1)</f>
        <v>35</v>
      </c>
      <c r="G88" s="1">
        <f>CEILING(Warrior!$B40/ IF(Warrior!$D40&lt; 10.8, $F$7, $F$7 / (Warrior!$D40/ 10.8)),1)</f>
        <v>25</v>
      </c>
      <c r="N88" s="1">
        <v>38</v>
      </c>
      <c r="O88" s="1">
        <f>CEILING(Demon!$B40 / IF(Demon!$D40&lt; 10.8, $Q$7, $Q$7 / (Demon!$D40/ 10.8)),1)</f>
        <v>13</v>
      </c>
      <c r="P88" s="1">
        <f>CEILING(Elf!$B40/ IF(Elf!$D40 &lt; 10.8, $Q$7, $Q$7 / (Elf!$D40/ 10.8)),1)</f>
        <v>15</v>
      </c>
      <c r="Q88" s="1">
        <f>CEILING(Beastgirl!$B40/ IF(Beastgirl!$D40&lt; 10.8, $Q$7, $Q$7/ (Beastgirl!$D40 / 10.8)),1)</f>
        <v>24</v>
      </c>
      <c r="R88" s="1">
        <f>CEILING(Warrior!$B40 / IF(Warrior!$D40&lt; 10.8, $Q$7, $Q$7 / (Warrior!$D40 / 10.8)),1)</f>
        <v>17</v>
      </c>
      <c r="Y88" s="1">
        <v>38</v>
      </c>
      <c r="Z88" s="1">
        <f>CEILING(Demon!$B40 / IF(Demon!$D40&lt; 10.8, $AB$7, $AB$7 / (Demon!$D40 / 10.8)),1)</f>
        <v>10</v>
      </c>
      <c r="AA88" s="1">
        <f>CEILING(Elf!$B40 / IF(Elf!$D40 &lt; 10.8, $AB$7, $AB$7 / (Elf!$D40 / 10.8)),1)</f>
        <v>12</v>
      </c>
      <c r="AB88" s="1">
        <f>CEILING(Beastgirl!$B40 / IF(Beastgirl!$D40&lt; 10.8, $AB$7, $AB$7 / (Beastgirl!$D40 / 10.8)),1)</f>
        <v>18</v>
      </c>
      <c r="AC88" s="1">
        <f>CEILING(Warrior!$B40/ IF(Warrior!$D40&lt; 10.8, $AB$7, $AB$7 / (Warrior!$D40 / 10.8)),1)</f>
        <v>13</v>
      </c>
    </row>
    <row r="89" spans="1:31" x14ac:dyDescent="0.3">
      <c r="C89" s="1">
        <v>39</v>
      </c>
      <c r="D89" s="1">
        <f>CEILING(Demon!$B41/ IF(Demon!$D41&lt; 10.8, $F$7, $F$7 / (Demon!$D41 / 10.8)),1)</f>
        <v>21</v>
      </c>
      <c r="E89" s="1">
        <f>CEILING(Elf!$B41 / IF(Elf!$D41&lt; 10.8, $F$7,$F$7 / (Elf!$D41 / 10.8)),1)</f>
        <v>24</v>
      </c>
      <c r="F89" s="1">
        <f>CEILING(Beastgirl!$B41 / IF(Beastgirl!$D41&lt; 10.8, $F$7, $F$7 / (Beastgirl!$D41 / 10.8)),1)</f>
        <v>37</v>
      </c>
      <c r="G89" s="1">
        <f>CEILING(Warrior!$B41/ IF(Warrior!$D41&lt; 10.8, $F$7, $F$7 / (Warrior!$D41/ 10.8)),1)</f>
        <v>27</v>
      </c>
      <c r="N89" s="1">
        <v>39</v>
      </c>
      <c r="O89" s="1">
        <f>CEILING(Demon!$B41 / IF(Demon!$D41&lt; 10.8, $Q$7, $Q$7 / (Demon!$D41/ 10.8)),1)</f>
        <v>14</v>
      </c>
      <c r="P89" s="1">
        <f>CEILING(Elf!$B41/ IF(Elf!$D41 &lt; 10.8, $Q$7, $Q$7 / (Elf!$D41/ 10.8)),1)</f>
        <v>16</v>
      </c>
      <c r="Q89" s="1">
        <f>CEILING(Beastgirl!$B41/ IF(Beastgirl!$D41&lt; 10.8, $Q$7, $Q$7/ (Beastgirl!$D41 / 10.8)),1)</f>
        <v>25</v>
      </c>
      <c r="R89" s="1">
        <f>CEILING(Warrior!$B41 / IF(Warrior!$D41&lt; 10.8, $Q$7, $Q$7 / (Warrior!$D41 / 10.8)),1)</f>
        <v>18</v>
      </c>
      <c r="Y89" s="1">
        <v>39</v>
      </c>
      <c r="Z89" s="1">
        <f>CEILING(Demon!$B41 / IF(Demon!$D41&lt; 10.8, $AB$7, $AB$7 / (Demon!$D41 / 10.8)),1)</f>
        <v>11</v>
      </c>
      <c r="AA89" s="1">
        <f>CEILING(Elf!$B41 / IF(Elf!$D41 &lt; 10.8, $AB$7, $AB$7 / (Elf!$D41 / 10.8)),1)</f>
        <v>12</v>
      </c>
      <c r="AB89" s="1">
        <f>CEILING(Beastgirl!$B41 / IF(Beastgirl!$D41&lt; 10.8, $AB$7, $AB$7 / (Beastgirl!$D41 / 10.8)),1)</f>
        <v>19</v>
      </c>
      <c r="AC89" s="1">
        <f>CEILING(Warrior!$B41/ IF(Warrior!$D41&lt; 10.8, $AB$7, $AB$7 / (Warrior!$D41 / 10.8)),1)</f>
        <v>14</v>
      </c>
    </row>
    <row r="90" spans="1:31" x14ac:dyDescent="0.3">
      <c r="C90" s="1">
        <v>40</v>
      </c>
      <c r="D90" s="1">
        <f>CEILING(Demon!$B42/ IF(Demon!$D42&lt; 10.8, $F$7, $F$7 / (Demon!$D42 / 10.8)),1)</f>
        <v>22</v>
      </c>
      <c r="E90" s="1">
        <f>CEILING(Elf!$B42 / IF(Elf!$D42&lt; 10.8, $F$7,$F$7 / (Elf!$D42 / 10.8)),1)</f>
        <v>25</v>
      </c>
      <c r="F90" s="1">
        <f>CEILING(Beastgirl!$B42 / IF(Beastgirl!$D42&lt; 10.8, $F$7, $F$7 / (Beastgirl!$D42 / 10.8)),1)</f>
        <v>39</v>
      </c>
      <c r="G90" s="1">
        <f>CEILING(Warrior!$B42/ IF(Warrior!$D42&lt; 10.8, $F$7, $F$7 / (Warrior!$D42/ 10.8)),1)</f>
        <v>28</v>
      </c>
      <c r="N90" s="1">
        <v>40</v>
      </c>
      <c r="O90" s="1">
        <f>CEILING(Demon!$B42 / IF(Demon!$D42&lt; 10.8, $Q$7, $Q$7 / (Demon!$D42/ 10.8)),1)</f>
        <v>15</v>
      </c>
      <c r="P90" s="1">
        <f>CEILING(Elf!$B42/ IF(Elf!$D42 &lt; 10.8, $Q$7, $Q$7 / (Elf!$D42/ 10.8)),1)</f>
        <v>17</v>
      </c>
      <c r="Q90" s="1">
        <f>CEILING(Beastgirl!$B42/ IF(Beastgirl!$D42&lt; 10.8, $Q$7, $Q$7/ (Beastgirl!$D42 / 10.8)),1)</f>
        <v>26</v>
      </c>
      <c r="R90" s="1">
        <f>CEILING(Warrior!$B42 / IF(Warrior!$D42&lt; 10.8, $Q$7, $Q$7 / (Warrior!$D42 / 10.8)),1)</f>
        <v>19</v>
      </c>
      <c r="Y90" s="1">
        <v>40</v>
      </c>
      <c r="Z90" s="1">
        <f>CEILING(Demon!$B42 / IF(Demon!$D42&lt; 10.8, $AB$7, $AB$7 / (Demon!$D42 / 10.8)),1)</f>
        <v>11</v>
      </c>
      <c r="AA90" s="1">
        <f>CEILING(Elf!$B42 / IF(Elf!$D42 &lt; 10.8, $AB$7, $AB$7 / (Elf!$D42 / 10.8)),1)</f>
        <v>13</v>
      </c>
      <c r="AB90" s="1">
        <f>CEILING(Beastgirl!$B42 / IF(Beastgirl!$D42&lt; 10.8, $AB$7, $AB$7 / (Beastgirl!$D42 / 10.8)),1)</f>
        <v>20</v>
      </c>
      <c r="AC90" s="1">
        <f>CEILING(Warrior!$B42/ IF(Warrior!$D42&lt; 10.8, $AB$7, $AB$7 / (Warrior!$D42 / 10.8)),1)</f>
        <v>14</v>
      </c>
    </row>
    <row r="91" spans="1:31" x14ac:dyDescent="0.3">
      <c r="C91" s="1">
        <v>41</v>
      </c>
      <c r="D91" s="1">
        <f>CEILING(Demon!$B43/ IF(Demon!$D43&lt; 10.8, $F$7, $F$7 / (Demon!$D43 / 10.8)),1)</f>
        <v>23</v>
      </c>
      <c r="E91" s="1">
        <f>CEILING(Elf!$B43 / IF(Elf!$D43&lt; 10.8, $F$7,$F$7 / (Elf!$D43 / 10.8)),1)</f>
        <v>26</v>
      </c>
      <c r="F91" s="1">
        <f>CEILING(Beastgirl!$B43 / IF(Beastgirl!$D43&lt; 10.8, $F$7, $F$7 / (Beastgirl!$D43 / 10.8)),1)</f>
        <v>41</v>
      </c>
      <c r="G91" s="1">
        <f>CEILING(Warrior!$B43/ IF(Warrior!$D43&lt; 10.8, $F$7, $F$7 / (Warrior!$D43/ 10.8)),1)</f>
        <v>29</v>
      </c>
      <c r="N91" s="1">
        <v>41</v>
      </c>
      <c r="O91" s="1">
        <f>CEILING(Demon!$B43 / IF(Demon!$D43&lt; 10.8, $Q$7, $Q$7 / (Demon!$D43/ 10.8)),1)</f>
        <v>15</v>
      </c>
      <c r="P91" s="1">
        <f>CEILING(Elf!$B43/ IF(Elf!$D43 &lt; 10.8, $Q$7, $Q$7 / (Elf!$D43/ 10.8)),1)</f>
        <v>18</v>
      </c>
      <c r="Q91" s="1">
        <f>CEILING(Beastgirl!$B43/ IF(Beastgirl!$D43&lt; 10.8, $Q$7, $Q$7/ (Beastgirl!$D43 / 10.8)),1)</f>
        <v>27</v>
      </c>
      <c r="R91" s="1">
        <f>CEILING(Warrior!$B43 / IF(Warrior!$D43&lt; 10.8, $Q$7, $Q$7 / (Warrior!$D43 / 10.8)),1)</f>
        <v>20</v>
      </c>
      <c r="Y91" s="1">
        <v>41</v>
      </c>
      <c r="Z91" s="1">
        <f>CEILING(Demon!$B43 / IF(Demon!$D43&lt; 10.8, $AB$7, $AB$7 / (Demon!$D43 / 10.8)),1)</f>
        <v>12</v>
      </c>
      <c r="AA91" s="1">
        <f>CEILING(Elf!$B43 / IF(Elf!$D43 &lt; 10.8, $AB$7, $AB$7 / (Elf!$D43 / 10.8)),1)</f>
        <v>13</v>
      </c>
      <c r="AB91" s="1">
        <f>CEILING(Beastgirl!$B43 / IF(Beastgirl!$D43&lt; 10.8, $AB$7, $AB$7 / (Beastgirl!$D43 / 10.8)),1)</f>
        <v>21</v>
      </c>
      <c r="AC91" s="1">
        <f>CEILING(Warrior!$B43/ IF(Warrior!$D43&lt; 10.8, $AB$7, $AB$7 / (Warrior!$D43 / 10.8)),1)</f>
        <v>15</v>
      </c>
    </row>
    <row r="92" spans="1:31" x14ac:dyDescent="0.3">
      <c r="C92" s="1">
        <v>42</v>
      </c>
      <c r="D92" s="1">
        <f>CEILING(Demon!$B44/ IF(Demon!$D44&lt; 10.8, $F$7, $F$7 / (Demon!$D44 / 10.8)),1)</f>
        <v>24</v>
      </c>
      <c r="E92" s="1">
        <f>CEILING(Elf!$B44 / IF(Elf!$D44&lt; 10.8, $F$7,$F$7 / (Elf!$D44 / 10.8)),1)</f>
        <v>27</v>
      </c>
      <c r="F92" s="1">
        <f>CEILING(Beastgirl!$B44 / IF(Beastgirl!$D44&lt; 10.8, $F$7, $F$7 / (Beastgirl!$D44 / 10.8)),1)</f>
        <v>42</v>
      </c>
      <c r="G92" s="1">
        <f>CEILING(Warrior!$B44/ IF(Warrior!$D44&lt; 10.8, $F$7, $F$7 / (Warrior!$D44/ 10.8)),1)</f>
        <v>31</v>
      </c>
      <c r="N92" s="1">
        <v>42</v>
      </c>
      <c r="O92" s="1">
        <f>CEILING(Demon!$B44 / IF(Demon!$D44&lt; 10.8, $Q$7, $Q$7 / (Demon!$D44/ 10.8)),1)</f>
        <v>16</v>
      </c>
      <c r="P92" s="1">
        <f>CEILING(Elf!$B44/ IF(Elf!$D44 &lt; 10.8, $Q$7, $Q$7 / (Elf!$D44/ 10.8)),1)</f>
        <v>18</v>
      </c>
      <c r="Q92" s="1">
        <f>CEILING(Beastgirl!$B44/ IF(Beastgirl!$D44&lt; 10.8, $Q$7, $Q$7/ (Beastgirl!$D44 / 10.8)),1)</f>
        <v>28</v>
      </c>
      <c r="R92" s="1">
        <f>CEILING(Warrior!$B44 / IF(Warrior!$D44&lt; 10.8, $Q$7, $Q$7 / (Warrior!$D44 / 10.8)),1)</f>
        <v>21</v>
      </c>
      <c r="Y92" s="1">
        <v>42</v>
      </c>
      <c r="Z92" s="1">
        <f>CEILING(Demon!$B44 / IF(Demon!$D44&lt; 10.8, $AB$7, $AB$7 / (Demon!$D44 / 10.8)),1)</f>
        <v>12</v>
      </c>
      <c r="AA92" s="1">
        <f>CEILING(Elf!$B44 / IF(Elf!$D44 &lt; 10.8, $AB$7, $AB$7 / (Elf!$D44 / 10.8)),1)</f>
        <v>14</v>
      </c>
      <c r="AB92" s="1">
        <f>CEILING(Beastgirl!$B44 / IF(Beastgirl!$D44&lt; 10.8, $AB$7, $AB$7 / (Beastgirl!$D44 / 10.8)),1)</f>
        <v>21</v>
      </c>
      <c r="AC92" s="1">
        <f>CEILING(Warrior!$B44/ IF(Warrior!$D44&lt; 10.8, $AB$7, $AB$7 / (Warrior!$D44 / 10.8)),1)</f>
        <v>16</v>
      </c>
    </row>
    <row r="93" spans="1:31" x14ac:dyDescent="0.3">
      <c r="C93" s="1">
        <v>43</v>
      </c>
      <c r="D93" s="1">
        <f>CEILING(Demon!$B45/ IF(Demon!$D45&lt; 10.8, $F$7, $F$7 / (Demon!$D45 / 10.8)),1)</f>
        <v>25</v>
      </c>
      <c r="E93" s="1">
        <f>CEILING(Elf!$B45 / IF(Elf!$D45&lt; 10.8, $F$7,$F$7 / (Elf!$D45 / 10.8)),1)</f>
        <v>29</v>
      </c>
      <c r="F93" s="1">
        <f>CEILING(Beastgirl!$B45 / IF(Beastgirl!$D45&lt; 10.8, $F$7, $F$7 / (Beastgirl!$D45 / 10.8)),1)</f>
        <v>44</v>
      </c>
      <c r="G93" s="1">
        <f>CEILING(Warrior!$B45/ IF(Warrior!$D45&lt; 10.8, $F$7, $F$7 / (Warrior!$D45/ 10.8)),1)</f>
        <v>32</v>
      </c>
      <c r="N93" s="1">
        <v>43</v>
      </c>
      <c r="O93" s="1">
        <f>CEILING(Demon!$B45 / IF(Demon!$D45&lt; 10.8, $Q$7, $Q$7 / (Demon!$D45/ 10.8)),1)</f>
        <v>17</v>
      </c>
      <c r="P93" s="1">
        <f>CEILING(Elf!$B45/ IF(Elf!$D45 &lt; 10.8, $Q$7, $Q$7 / (Elf!$D45/ 10.8)),1)</f>
        <v>19</v>
      </c>
      <c r="Q93" s="1">
        <f>CEILING(Beastgirl!$B45/ IF(Beastgirl!$D45&lt; 10.8, $Q$7, $Q$7/ (Beastgirl!$D45 / 10.8)),1)</f>
        <v>30</v>
      </c>
      <c r="R93" s="1">
        <f>CEILING(Warrior!$B45 / IF(Warrior!$D45&lt; 10.8, $Q$7, $Q$7 / (Warrior!$D45 / 10.8)),1)</f>
        <v>22</v>
      </c>
      <c r="Y93" s="1">
        <v>43</v>
      </c>
      <c r="Z93" s="1">
        <f>CEILING(Demon!$B45 / IF(Demon!$D45&lt; 10.8, $AB$7, $AB$7 / (Demon!$D45 / 10.8)),1)</f>
        <v>13</v>
      </c>
      <c r="AA93" s="1">
        <f>CEILING(Elf!$B45 / IF(Elf!$D45 &lt; 10.8, $AB$7, $AB$7 / (Elf!$D45 / 10.8)),1)</f>
        <v>15</v>
      </c>
      <c r="AB93" s="1">
        <f>CEILING(Beastgirl!$B45 / IF(Beastgirl!$D45&lt; 10.8, $AB$7, $AB$7 / (Beastgirl!$D45 / 10.8)),1)</f>
        <v>22</v>
      </c>
      <c r="AC93" s="1">
        <f>CEILING(Warrior!$B45/ IF(Warrior!$D45&lt; 10.8, $AB$7, $AB$7 / (Warrior!$D45 / 10.8)),1)</f>
        <v>16</v>
      </c>
    </row>
    <row r="94" spans="1:31" x14ac:dyDescent="0.3">
      <c r="C94" s="1">
        <v>44</v>
      </c>
      <c r="D94" s="1">
        <f>CEILING(Demon!$B46/ IF(Demon!$D46&lt; 10.8, $F$7, $F$7 / (Demon!$D46 / 10.8)),1)</f>
        <v>26</v>
      </c>
      <c r="E94" s="1">
        <f>CEILING(Elf!$B46 / IF(Elf!$D46&lt; 10.8, $F$7,$F$7 / (Elf!$D46 / 10.8)),1)</f>
        <v>30</v>
      </c>
      <c r="F94" s="1">
        <f>CEILING(Beastgirl!$B46 / IF(Beastgirl!$D46&lt; 10.8, $F$7, $F$7 / (Beastgirl!$D46 / 10.8)),1)</f>
        <v>46</v>
      </c>
      <c r="G94" s="1">
        <f>CEILING(Warrior!$B46/ IF(Warrior!$D46&lt; 10.8, $F$7, $F$7 / (Warrior!$D46/ 10.8)),1)</f>
        <v>34</v>
      </c>
      <c r="N94" s="1">
        <v>44</v>
      </c>
      <c r="O94" s="1">
        <f>CEILING(Demon!$B46 / IF(Demon!$D46&lt; 10.8, $Q$7, $Q$7 / (Demon!$D46/ 10.8)),1)</f>
        <v>18</v>
      </c>
      <c r="P94" s="1">
        <f>CEILING(Elf!$B46/ IF(Elf!$D46 &lt; 10.8, $Q$7, $Q$7 / (Elf!$D46/ 10.8)),1)</f>
        <v>20</v>
      </c>
      <c r="Q94" s="1">
        <f>CEILING(Beastgirl!$B46/ IF(Beastgirl!$D46&lt; 10.8, $Q$7, $Q$7/ (Beastgirl!$D46 / 10.8)),1)</f>
        <v>31</v>
      </c>
      <c r="R94" s="1">
        <f>CEILING(Warrior!$B46 / IF(Warrior!$D46&lt; 10.8, $Q$7, $Q$7 / (Warrior!$D46 / 10.8)),1)</f>
        <v>23</v>
      </c>
      <c r="Y94" s="1">
        <v>44</v>
      </c>
      <c r="Z94" s="1">
        <f>CEILING(Demon!$B46 / IF(Demon!$D46&lt; 10.8, $AB$7, $AB$7 / (Demon!$D46 / 10.8)),1)</f>
        <v>13</v>
      </c>
      <c r="AA94" s="1">
        <f>CEILING(Elf!$B46 / IF(Elf!$D46 &lt; 10.8, $AB$7, $AB$7 / (Elf!$D46 / 10.8)),1)</f>
        <v>15</v>
      </c>
      <c r="AB94" s="1">
        <f>CEILING(Beastgirl!$B46 / IF(Beastgirl!$D46&lt; 10.8, $AB$7, $AB$7 / (Beastgirl!$D46 / 10.8)),1)</f>
        <v>23</v>
      </c>
      <c r="AC94" s="1">
        <f>CEILING(Warrior!$B46/ IF(Warrior!$D46&lt; 10.8, $AB$7, $AB$7 / (Warrior!$D46 / 10.8)),1)</f>
        <v>17</v>
      </c>
    </row>
    <row r="95" spans="1:31" x14ac:dyDescent="0.3">
      <c r="C95" s="1">
        <v>45</v>
      </c>
      <c r="D95" s="1">
        <f>CEILING(Demon!$B47/ IF(Demon!$D47&lt; 10.8, $F$7, $F$7 / (Demon!$D47 / 10.8)),1)</f>
        <v>33</v>
      </c>
      <c r="E95" s="1">
        <f>CEILING(Elf!$B47 / IF(Elf!$D47&lt; 10.8, $F$7,$F$7 / (Elf!$D47 / 10.8)),1)</f>
        <v>38</v>
      </c>
      <c r="F95" s="1">
        <f>CEILING(Beastgirl!$B47 / IF(Beastgirl!$D47&lt; 10.8, $F$7, $F$7 / (Beastgirl!$D47 / 10.8)),1)</f>
        <v>58</v>
      </c>
      <c r="G95" s="1">
        <f>CEILING(Warrior!$B47/ IF(Warrior!$D47&lt; 10.8, $F$7, $F$7 / (Warrior!$D47/ 10.8)),1)</f>
        <v>42</v>
      </c>
      <c r="N95" s="1">
        <v>45</v>
      </c>
      <c r="O95" s="1">
        <f>CEILING(Demon!$B47 / IF(Demon!$D47&lt; 10.8, $Q$7, $Q$7 / (Demon!$D47/ 10.8)),1)</f>
        <v>22</v>
      </c>
      <c r="P95" s="1">
        <f>CEILING(Elf!$B47/ IF(Elf!$D47 &lt; 10.8, $Q$7, $Q$7 / (Elf!$D47/ 10.8)),1)</f>
        <v>25</v>
      </c>
      <c r="Q95" s="1">
        <f>CEILING(Beastgirl!$B47/ IF(Beastgirl!$D47&lt; 10.8, $Q$7, $Q$7/ (Beastgirl!$D47 / 10.8)),1)</f>
        <v>39</v>
      </c>
      <c r="R95" s="1">
        <f>CEILING(Warrior!$B47 / IF(Warrior!$D47&lt; 10.8, $Q$7, $Q$7 / (Warrior!$D47 / 10.8)),1)</f>
        <v>28</v>
      </c>
      <c r="Y95" s="1">
        <v>45</v>
      </c>
      <c r="Z95" s="1">
        <f>CEILING(Demon!$B47 / IF(Demon!$D47&lt; 10.8, $AB$7, $AB$7 / (Demon!$D47 / 10.8)),1)</f>
        <v>17</v>
      </c>
      <c r="AA95" s="1">
        <f>CEILING(Elf!$B47 / IF(Elf!$D47 &lt; 10.8, $AB$7, $AB$7 / (Elf!$D47 / 10.8)),1)</f>
        <v>19</v>
      </c>
      <c r="AB95" s="1">
        <f>CEILING(Beastgirl!$B47 / IF(Beastgirl!$D47&lt; 10.8, $AB$7, $AB$7 / (Beastgirl!$D47 / 10.8)),1)</f>
        <v>29</v>
      </c>
      <c r="AC95" s="1">
        <f>CEILING(Warrior!$B47/ IF(Warrior!$D47&lt; 10.8, $AB$7, $AB$7 / (Warrior!$D47 / 10.8)),1)</f>
        <v>21</v>
      </c>
    </row>
    <row r="96" spans="1:31" x14ac:dyDescent="0.3">
      <c r="C96" s="1">
        <v>46</v>
      </c>
      <c r="D96" s="1">
        <f>CEILING(Demon!$B48/ IF(Demon!$D48&lt; 10.8, $F$7, $F$7 / (Demon!$D48 / 10.8)),1)</f>
        <v>35</v>
      </c>
      <c r="E96" s="1">
        <f>CEILING(Elf!$B48 / IF(Elf!$D48&lt; 10.8, $F$7,$F$7 / (Elf!$D48 / 10.8)),1)</f>
        <v>39</v>
      </c>
      <c r="F96" s="1">
        <f>CEILING(Beastgirl!$B48 / IF(Beastgirl!$D48&lt; 10.8, $F$7, $F$7 / (Beastgirl!$D48 / 10.8)),1)</f>
        <v>61</v>
      </c>
      <c r="G96" s="1">
        <f>CEILING(Warrior!$B48/ IF(Warrior!$D48&lt; 10.8, $F$7, $F$7 / (Warrior!$D48/ 10.8)),1)</f>
        <v>44</v>
      </c>
      <c r="N96" s="1">
        <v>46</v>
      </c>
      <c r="O96" s="1">
        <f>CEILING(Demon!$B48 / IF(Demon!$D48&lt; 10.8, $Q$7, $Q$7 / (Demon!$D48/ 10.8)),1)</f>
        <v>23</v>
      </c>
      <c r="P96" s="1">
        <f>CEILING(Elf!$B48/ IF(Elf!$D48 &lt; 10.8, $Q$7, $Q$7 / (Elf!$D48/ 10.8)),1)</f>
        <v>26</v>
      </c>
      <c r="Q96" s="1">
        <f>CEILING(Beastgirl!$B48/ IF(Beastgirl!$D48&lt; 10.8, $Q$7, $Q$7/ (Beastgirl!$D48 / 10.8)),1)</f>
        <v>41</v>
      </c>
      <c r="R96" s="1">
        <f>CEILING(Warrior!$B48 / IF(Warrior!$D48&lt; 10.8, $Q$7, $Q$7 / (Warrior!$D48 / 10.8)),1)</f>
        <v>29</v>
      </c>
      <c r="Y96" s="1">
        <v>46</v>
      </c>
      <c r="Z96" s="1">
        <f>CEILING(Demon!$B48 / IF(Demon!$D48&lt; 10.8, $AB$7, $AB$7 / (Demon!$D48 / 10.8)),1)</f>
        <v>18</v>
      </c>
      <c r="AA96" s="1">
        <f>CEILING(Elf!$B48 / IF(Elf!$D48 &lt; 10.8, $AB$7, $AB$7 / (Elf!$D48 / 10.8)),1)</f>
        <v>20</v>
      </c>
      <c r="AB96" s="1">
        <f>CEILING(Beastgirl!$B48 / IF(Beastgirl!$D48&lt; 10.8, $AB$7, $AB$7 / (Beastgirl!$D48 / 10.8)),1)</f>
        <v>31</v>
      </c>
      <c r="AC96" s="1">
        <f>CEILING(Warrior!$B48/ IF(Warrior!$D48&lt; 10.8, $AB$7, $AB$7 / (Warrior!$D48 / 10.8)),1)</f>
        <v>22</v>
      </c>
    </row>
    <row r="97" spans="3:29" x14ac:dyDescent="0.3">
      <c r="C97" s="1">
        <v>47</v>
      </c>
      <c r="D97" s="1">
        <f>CEILING(Demon!$B49/ IF(Demon!$D49&lt; 10.8, $F$7, $F$7 / (Demon!$D49 / 10.8)),1)</f>
        <v>36</v>
      </c>
      <c r="E97" s="1">
        <f>CEILING(Elf!$B49 / IF(Elf!$D49&lt; 10.8, $F$7,$F$7 / (Elf!$D49 / 10.8)),1)</f>
        <v>41</v>
      </c>
      <c r="F97" s="1">
        <f>CEILING(Beastgirl!$B49 / IF(Beastgirl!$D49&lt; 10.8, $F$7, $F$7 / (Beastgirl!$D49 / 10.8)),1)</f>
        <v>63</v>
      </c>
      <c r="G97" s="1">
        <f>CEILING(Warrior!$B49/ IF(Warrior!$D49&lt; 10.8, $F$7, $F$7 / (Warrior!$D49/ 10.8)),1)</f>
        <v>45</v>
      </c>
      <c r="N97" s="1">
        <v>47</v>
      </c>
      <c r="O97" s="1">
        <f>CEILING(Demon!$B49 / IF(Demon!$D49&lt; 10.8, $Q$7, $Q$7 / (Demon!$D49/ 10.8)),1)</f>
        <v>24</v>
      </c>
      <c r="P97" s="1">
        <f>CEILING(Elf!$B49/ IF(Elf!$D49 &lt; 10.8, $Q$7, $Q$7 / (Elf!$D49/ 10.8)),1)</f>
        <v>28</v>
      </c>
      <c r="Q97" s="1">
        <f>CEILING(Beastgirl!$B49/ IF(Beastgirl!$D49&lt; 10.8, $Q$7, $Q$7/ (Beastgirl!$D49 / 10.8)),1)</f>
        <v>42</v>
      </c>
      <c r="R97" s="1">
        <f>CEILING(Warrior!$B49 / IF(Warrior!$D49&lt; 10.8, $Q$7, $Q$7 / (Warrior!$D49 / 10.8)),1)</f>
        <v>30</v>
      </c>
      <c r="Y97" s="1">
        <v>47</v>
      </c>
      <c r="Z97" s="1">
        <f>CEILING(Demon!$B49 / IF(Demon!$D49&lt; 10.8, $AB$7, $AB$7 / (Demon!$D49 / 10.8)),1)</f>
        <v>18</v>
      </c>
      <c r="AA97" s="1">
        <f>CEILING(Elf!$B49 / IF(Elf!$D49 &lt; 10.8, $AB$7, $AB$7 / (Elf!$D49 / 10.8)),1)</f>
        <v>21</v>
      </c>
      <c r="AB97" s="1">
        <f>CEILING(Beastgirl!$B49 / IF(Beastgirl!$D49&lt; 10.8, $AB$7, $AB$7 / (Beastgirl!$D49 / 10.8)),1)</f>
        <v>32</v>
      </c>
      <c r="AC97" s="1">
        <f>CEILING(Warrior!$B49/ IF(Warrior!$D49&lt; 10.8, $AB$7, $AB$7 / (Warrior!$D49 / 10.8)),1)</f>
        <v>23</v>
      </c>
    </row>
    <row r="98" spans="3:29" x14ac:dyDescent="0.3">
      <c r="C98" s="1">
        <v>48</v>
      </c>
      <c r="D98" s="1">
        <f>CEILING(Demon!$B50/ IF(Demon!$D50&lt; 10.8, $F$7, $F$7 / (Demon!$D50 / 10.8)),1)</f>
        <v>38</v>
      </c>
      <c r="E98" s="1">
        <f>CEILING(Elf!$B50 / IF(Elf!$D50&lt; 10.8, $F$7,$F$7 / (Elf!$D50 / 10.8)),1)</f>
        <v>43</v>
      </c>
      <c r="F98" s="1">
        <f>CEILING(Beastgirl!$B50 / IF(Beastgirl!$D50&lt; 10.8, $F$7, $F$7 / (Beastgirl!$D50 / 10.8)),1)</f>
        <v>65</v>
      </c>
      <c r="G98" s="1">
        <f>CEILING(Warrior!$B50/ IF(Warrior!$D50&lt; 10.8, $F$7, $F$7 / (Warrior!$D50/ 10.8)),1)</f>
        <v>47</v>
      </c>
      <c r="N98" s="1">
        <v>48</v>
      </c>
      <c r="O98" s="1">
        <f>CEILING(Demon!$B50 / IF(Demon!$D50&lt; 10.8, $Q$7, $Q$7 / (Demon!$D50/ 10.8)),1)</f>
        <v>25</v>
      </c>
      <c r="P98" s="1">
        <f>CEILING(Elf!$B50/ IF(Elf!$D50 &lt; 10.8, $Q$7, $Q$7 / (Elf!$D50/ 10.8)),1)</f>
        <v>29</v>
      </c>
      <c r="Q98" s="1">
        <f>CEILING(Beastgirl!$B50/ IF(Beastgirl!$D50&lt; 10.8, $Q$7, $Q$7/ (Beastgirl!$D50 / 10.8)),1)</f>
        <v>44</v>
      </c>
      <c r="R98" s="1">
        <f>CEILING(Warrior!$B50 / IF(Warrior!$D50&lt; 10.8, $Q$7, $Q$7 / (Warrior!$D50 / 10.8)),1)</f>
        <v>32</v>
      </c>
      <c r="Y98" s="1">
        <v>48</v>
      </c>
      <c r="Z98" s="1">
        <f>CEILING(Demon!$B50 / IF(Demon!$D50&lt; 10.8, $AB$7, $AB$7 / (Demon!$D50 / 10.8)),1)</f>
        <v>19</v>
      </c>
      <c r="AA98" s="1">
        <f>CEILING(Elf!$B50 / IF(Elf!$D50 &lt; 10.8, $AB$7, $AB$7 / (Elf!$D50 / 10.8)),1)</f>
        <v>22</v>
      </c>
      <c r="AB98" s="1">
        <f>CEILING(Beastgirl!$B50 / IF(Beastgirl!$D50&lt; 10.8, $AB$7, $AB$7 / (Beastgirl!$D50 / 10.8)),1)</f>
        <v>33</v>
      </c>
      <c r="AC98" s="1">
        <f>CEILING(Warrior!$B50/ IF(Warrior!$D50&lt; 10.8, $AB$7, $AB$7 / (Warrior!$D50 / 10.8)),1)</f>
        <v>24</v>
      </c>
    </row>
    <row r="99" spans="3:29" x14ac:dyDescent="0.3">
      <c r="C99" s="1">
        <v>49</v>
      </c>
      <c r="D99" s="1">
        <f>CEILING(Demon!$B51/ IF(Demon!$D51&lt; 10.8, $F$7, $F$7 / (Demon!$D51 / 10.8)),1)</f>
        <v>39</v>
      </c>
      <c r="E99" s="1">
        <f>CEILING(Elf!$B51 / IF(Elf!$D51&lt; 10.8, $F$7,$F$7 / (Elf!$D51 / 10.8)),1)</f>
        <v>44</v>
      </c>
      <c r="F99" s="1">
        <f>CEILING(Beastgirl!$B51 / IF(Beastgirl!$D51&lt; 10.8, $F$7, $F$7 / (Beastgirl!$D51 / 10.8)),1)</f>
        <v>68</v>
      </c>
      <c r="G99" s="1">
        <f>CEILING(Warrior!$B51/ IF(Warrior!$D51&lt; 10.8, $F$7, $F$7 / (Warrior!$D51/ 10.8)),1)</f>
        <v>49</v>
      </c>
      <c r="N99" s="1">
        <v>49</v>
      </c>
      <c r="O99" s="1">
        <f>CEILING(Demon!$B51 / IF(Demon!$D51&lt; 10.8, $Q$7, $Q$7 / (Demon!$D51/ 10.8)),1)</f>
        <v>26</v>
      </c>
      <c r="P99" s="1">
        <f>CEILING(Elf!$B51/ IF(Elf!$D51 &lt; 10.8, $Q$7, $Q$7 / (Elf!$D51/ 10.8)),1)</f>
        <v>30</v>
      </c>
      <c r="Q99" s="1">
        <f>CEILING(Beastgirl!$B51/ IF(Beastgirl!$D51&lt; 10.8, $Q$7, $Q$7/ (Beastgirl!$D51 / 10.8)),1)</f>
        <v>46</v>
      </c>
      <c r="R99" s="1">
        <f>CEILING(Warrior!$B51 / IF(Warrior!$D51&lt; 10.8, $Q$7, $Q$7 / (Warrior!$D51 / 10.8)),1)</f>
        <v>33</v>
      </c>
      <c r="Y99" s="1">
        <v>49</v>
      </c>
      <c r="Z99" s="1">
        <f>CEILING(Demon!$B51 / IF(Demon!$D51&lt; 10.8, $AB$7, $AB$7 / (Demon!$D51 / 10.8)),1)</f>
        <v>20</v>
      </c>
      <c r="AA99" s="1">
        <f>CEILING(Elf!$B51 / IF(Elf!$D51 &lt; 10.8, $AB$7, $AB$7 / (Elf!$D51 / 10.8)),1)</f>
        <v>22</v>
      </c>
      <c r="AB99" s="1">
        <f>CEILING(Beastgirl!$B51 / IF(Beastgirl!$D51&lt; 10.8, $AB$7, $AB$7 / (Beastgirl!$D51 / 10.8)),1)</f>
        <v>34</v>
      </c>
      <c r="AC99" s="1">
        <f>CEILING(Warrior!$B51/ IF(Warrior!$D51&lt; 10.8, $AB$7, $AB$7 / (Warrior!$D51 / 10.8)),1)</f>
        <v>25</v>
      </c>
    </row>
    <row r="100" spans="3:29" x14ac:dyDescent="0.3">
      <c r="C100" s="1">
        <v>50</v>
      </c>
      <c r="D100" s="1">
        <f>CEILING(Demon!$B52/ IF(Demon!$D52&lt; 10.8, $F$7, $F$7 / (Demon!$D52 / 10.8)),1)</f>
        <v>41</v>
      </c>
      <c r="E100" s="1">
        <f>CEILING(Elf!$B52 / IF(Elf!$D52&lt; 10.8, $F$7,$F$7 / (Elf!$D52 / 10.8)),1)</f>
        <v>46</v>
      </c>
      <c r="F100" s="1">
        <f>CEILING(Beastgirl!$B52 / IF(Beastgirl!$D52&lt; 10.8, $F$7, $F$7 / (Beastgirl!$D52 / 10.8)),1)</f>
        <v>71</v>
      </c>
      <c r="G100" s="1">
        <f>CEILING(Warrior!$B52/ IF(Warrior!$D52&lt; 10.8, $F$7, $F$7 / (Warrior!$D52/ 10.8)),1)</f>
        <v>51</v>
      </c>
      <c r="N100" s="1">
        <v>50</v>
      </c>
      <c r="O100" s="1">
        <f>CEILING(Demon!$B52 / IF(Demon!$D52&lt; 10.8, $Q$7, $Q$7 / (Demon!$D52/ 10.8)),1)</f>
        <v>27</v>
      </c>
      <c r="P100" s="1">
        <f>CEILING(Elf!$B52/ IF(Elf!$D52 &lt; 10.8, $Q$7, $Q$7 / (Elf!$D52/ 10.8)),1)</f>
        <v>31</v>
      </c>
      <c r="Q100" s="1">
        <f>CEILING(Beastgirl!$B52/ IF(Beastgirl!$D52&lt; 10.8, $Q$7, $Q$7/ (Beastgirl!$D52 / 10.8)),1)</f>
        <v>47</v>
      </c>
      <c r="R100" s="1">
        <f>CEILING(Warrior!$B52 / IF(Warrior!$D52&lt; 10.8, $Q$7, $Q$7 / (Warrior!$D52 / 10.8)),1)</f>
        <v>34</v>
      </c>
      <c r="Y100" s="1">
        <v>50</v>
      </c>
      <c r="Z100" s="1">
        <f>CEILING(Demon!$B52 / IF(Demon!$D52&lt; 10.8, $AB$7, $AB$7 / (Demon!$D52 / 10.8)),1)</f>
        <v>21</v>
      </c>
      <c r="AA100" s="1">
        <f>CEILING(Elf!$B52 / IF(Elf!$D52 &lt; 10.8, $AB$7, $AB$7 / (Elf!$D52 / 10.8)),1)</f>
        <v>23</v>
      </c>
      <c r="AB100" s="1">
        <f>CEILING(Beastgirl!$B52 / IF(Beastgirl!$D52&lt; 10.8, $AB$7, $AB$7 / (Beastgirl!$D52 / 10.8)),1)</f>
        <v>36</v>
      </c>
      <c r="AC100" s="1">
        <f>CEILING(Warrior!$B52/ IF(Warrior!$D52&lt; 10.8, $AB$7, $AB$7 / (Warrior!$D52 / 10.8)),1)</f>
        <v>26</v>
      </c>
    </row>
    <row r="102" spans="3:29" ht="25.8" x14ac:dyDescent="0.3">
      <c r="C102" s="53" t="s">
        <v>69</v>
      </c>
      <c r="D102" s="53"/>
      <c r="E102" s="53"/>
      <c r="F102" s="53"/>
      <c r="G102" s="53"/>
      <c r="N102" s="53" t="s">
        <v>69</v>
      </c>
      <c r="O102" s="53"/>
      <c r="P102" s="53"/>
      <c r="Q102" s="53"/>
      <c r="R102" s="53"/>
      <c r="Y102" s="53" t="s">
        <v>69</v>
      </c>
      <c r="Z102" s="53"/>
      <c r="AA102" s="53"/>
      <c r="AB102" s="53"/>
      <c r="AC102" s="53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11</v>
      </c>
      <c r="E104" s="1">
        <f>CEILING(Elf!$B33 / IF(Elf!$D33&lt; 10.8, $F$8,$F$8 / (Elf!$D33/ 10.8)),1)</f>
        <v>12</v>
      </c>
      <c r="F104" s="1">
        <f>CEILING(Beastgirl!$B33/ IF(Beastgirl!$D33&lt; 10.8, $F$8, $F$8 / (Beastgirl!$D33 / 10.8)),1)</f>
        <v>19</v>
      </c>
      <c r="G104" s="1">
        <f>CEILING(Warrior!$B33/ IF(Warrior!$D33&lt; 10.8, $F$8, $F$8 / (Warrior!$D33/ 10.8)),1)</f>
        <v>14</v>
      </c>
      <c r="N104" s="1">
        <v>31</v>
      </c>
      <c r="O104" s="1">
        <f>CEILING(Demon!$B33 / IF(Demon!$D33&lt; 10.8, $Q$8, $Q$8 / (Demon!$D33/ 10.8)),1)</f>
        <v>7</v>
      </c>
      <c r="P104" s="1">
        <f>CEILING(Elf!$B33/ IF(Elf!$D33 &lt; 10.8, $Q$8, $Q$8 / (Elf!$D33/ 10.8)),1)</f>
        <v>8</v>
      </c>
      <c r="Q104" s="1">
        <f>CEILING(Beastgirl!$B33/ IF(Beastgirl!$D33&lt; 10.8, $Q$8, $Q$8/ (Beastgirl!$D33 / 10.8)),1)</f>
        <v>13</v>
      </c>
      <c r="R104" s="1">
        <f>CEILING(Warrior!$B33 / IF(Warrior!$D33&lt; 10.8, $Q$8, $Q$8 / (Warrior!$D33 / 10.8)),1)</f>
        <v>9</v>
      </c>
      <c r="Y104" s="1">
        <v>31</v>
      </c>
      <c r="Z104" s="1">
        <f>CEILING(Demon!$B33 / IF(Demon!$D33&lt; 10.8, $AB$8, $AB$8 / (Demon!$D33 / 10.8)),1)</f>
        <v>6</v>
      </c>
      <c r="AA104" s="1">
        <f>CEILING(Elf!$B33 / IF(Elf!$D33 &lt; 10.8, $AB$8, $AB$8 / (Elf!$D33 / 10.8)),1)</f>
        <v>6</v>
      </c>
      <c r="AB104" s="1">
        <f>CEILING(Beastgirl!$B33 / IF(Beastgirl!$D33&lt; 10.8, $AB$8, $AB$8 / (Beastgirl!$D33 / 10.8)),1)</f>
        <v>10</v>
      </c>
      <c r="AC104" s="1">
        <f>CEILING(Warrior!$B33/ IF(Warrior!$D33&lt; 10.8, $AB$8, $AB$8/ (Warrior!$D33 / 10.8)),1)</f>
        <v>7</v>
      </c>
    </row>
    <row r="105" spans="3:29" x14ac:dyDescent="0.3">
      <c r="C105" s="1">
        <v>32</v>
      </c>
      <c r="D105" s="1">
        <f>CEILING(Demon!$B34/ IF(Demon!$D34&lt; 10.8, $F$8, $F$8 / (Demon!$D34 / 10.8)),1)</f>
        <v>11</v>
      </c>
      <c r="E105" s="1">
        <f>CEILING(Elf!$B34 / IF(Elf!$D34&lt; 10.8, $F$8,$F$8 / (Elf!$D34/ 10.8)),1)</f>
        <v>13</v>
      </c>
      <c r="F105" s="1">
        <f>CEILING(Beastgirl!$B34/ IF(Beastgirl!$D34&lt; 10.8, $F$8, $F$8 / (Beastgirl!$D34 / 10.8)),1)</f>
        <v>20</v>
      </c>
      <c r="G105" s="1">
        <f>CEILING(Warrior!$B34/ IF(Warrior!$D34&lt; 10.8, $F$8, $F$8 / (Warrior!$D34/ 10.8)),1)</f>
        <v>14</v>
      </c>
      <c r="N105" s="1">
        <v>32</v>
      </c>
      <c r="O105" s="1">
        <f>CEILING(Demon!$B34 / IF(Demon!$D34&lt; 10.8, $Q$8, $Q$8 / (Demon!$D34/ 10.8)),1)</f>
        <v>8</v>
      </c>
      <c r="P105" s="1">
        <f>CEILING(Elf!$B34/ IF(Elf!$D34 &lt; 10.8, $Q$8, $Q$8 / (Elf!$D34/ 10.8)),1)</f>
        <v>9</v>
      </c>
      <c r="Q105" s="1">
        <f>CEILING(Beastgirl!$B34/ IF(Beastgirl!$D34&lt; 10.8, $Q$8, $Q$8/ (Beastgirl!$D34 / 10.8)),1)</f>
        <v>14</v>
      </c>
      <c r="R105" s="1">
        <f>CEILING(Warrior!$B34 / IF(Warrior!$D34&lt; 10.8, $Q$8, $Q$8 / (Warrior!$D34 / 10.8)),1)</f>
        <v>10</v>
      </c>
      <c r="Y105" s="1">
        <v>32</v>
      </c>
      <c r="Z105" s="1">
        <f>CEILING(Demon!$B34 / IF(Demon!$D34&lt; 10.8, $AB$8, $AB$8 / (Demon!$D34 / 10.8)),1)</f>
        <v>6</v>
      </c>
      <c r="AA105" s="1">
        <f>CEILING(Elf!$B34 / IF(Elf!$D34 &lt; 10.8, $AB$8, $AB$8 / (Elf!$D34 / 10.8)),1)</f>
        <v>7</v>
      </c>
      <c r="AB105" s="1">
        <f>CEILING(Beastgirl!$B34 / IF(Beastgirl!$D34&lt; 10.8, $AB$8, $AB$8 / (Beastgirl!$D34 / 10.8)),1)</f>
        <v>10</v>
      </c>
      <c r="AC105" s="1">
        <f>CEILING(Warrior!$B34/ IF(Warrior!$D34&lt; 10.8, $AB$8, $AB$8/ (Warrior!$D34 / 10.8)),1)</f>
        <v>7</v>
      </c>
    </row>
    <row r="106" spans="3:29" x14ac:dyDescent="0.3">
      <c r="C106" s="1">
        <v>33</v>
      </c>
      <c r="D106" s="1">
        <f>CEILING(Demon!$B35/ IF(Demon!$D35&lt; 10.8, $F$8, $F$8 / (Demon!$D35 / 10.8)),1)</f>
        <v>12</v>
      </c>
      <c r="E106" s="1">
        <f>CEILING(Elf!$B35 / IF(Elf!$D35&lt; 10.8, $F$8,$F$8 / (Elf!$D35/ 10.8)),1)</f>
        <v>13</v>
      </c>
      <c r="F106" s="1">
        <f>CEILING(Beastgirl!$B35/ IF(Beastgirl!$D35&lt; 10.8, $F$8, $F$8 / (Beastgirl!$D35 / 10.8)),1)</f>
        <v>22</v>
      </c>
      <c r="G106" s="1">
        <f>CEILING(Warrior!$B35/ IF(Warrior!$D35&lt; 10.8, $F$8, $F$8 / (Warrior!$D35/ 10.8)),1)</f>
        <v>15</v>
      </c>
      <c r="N106" s="1">
        <v>33</v>
      </c>
      <c r="O106" s="1">
        <f>CEILING(Demon!$B35 / IF(Demon!$D35&lt; 10.8, $Q$8, $Q$8 / (Demon!$D35/ 10.8)),1)</f>
        <v>8</v>
      </c>
      <c r="P106" s="1">
        <f>CEILING(Elf!$B35/ IF(Elf!$D35 &lt; 10.8, $Q$8, $Q$8 / (Elf!$D35/ 10.8)),1)</f>
        <v>9</v>
      </c>
      <c r="Q106" s="1">
        <f>CEILING(Beastgirl!$B35/ IF(Beastgirl!$D35&lt; 10.8, $Q$8, $Q$8/ (Beastgirl!$D35 / 10.8)),1)</f>
        <v>15</v>
      </c>
      <c r="R106" s="1">
        <f>CEILING(Warrior!$B35 / IF(Warrior!$D35&lt; 10.8, $Q$8, $Q$8 / (Warrior!$D35 / 10.8)),1)</f>
        <v>10</v>
      </c>
      <c r="Y106" s="1">
        <v>33</v>
      </c>
      <c r="Z106" s="1">
        <f>CEILING(Demon!$B35 / IF(Demon!$D35&lt; 10.8, $AB$8, $AB$8 / (Demon!$D35 / 10.8)),1)</f>
        <v>6</v>
      </c>
      <c r="AA106" s="1">
        <f>CEILING(Elf!$B35 / IF(Elf!$D35 &lt; 10.8, $AB$8, $AB$8 / (Elf!$D35 / 10.8)),1)</f>
        <v>7</v>
      </c>
      <c r="AB106" s="1">
        <f>CEILING(Beastgirl!$B35 / IF(Beastgirl!$D35&lt; 10.8, $AB$8, $AB$8 / (Beastgirl!$D35 / 10.8)),1)</f>
        <v>11</v>
      </c>
      <c r="AC106" s="1">
        <f>CEILING(Warrior!$B35/ IF(Warrior!$D35&lt; 10.8, $AB$8, $AB$8/ (Warrior!$D35 / 10.8)),1)</f>
        <v>8</v>
      </c>
    </row>
    <row r="107" spans="3:29" x14ac:dyDescent="0.3">
      <c r="C107" s="1">
        <v>34</v>
      </c>
      <c r="D107" s="1">
        <f>CEILING(Demon!$B36/ IF(Demon!$D36&lt; 10.8, $F$8, $F$8 / (Demon!$D36 / 10.8)),1)</f>
        <v>13</v>
      </c>
      <c r="E107" s="1">
        <f>CEILING(Elf!$B36 / IF(Elf!$D36&lt; 10.8, $F$8,$F$8 / (Elf!$D36/ 10.8)),1)</f>
        <v>14</v>
      </c>
      <c r="F107" s="1">
        <f>CEILING(Beastgirl!$B36/ IF(Beastgirl!$D36&lt; 10.8, $F$8, $F$8 / (Beastgirl!$D36 / 10.8)),1)</f>
        <v>23</v>
      </c>
      <c r="G107" s="1">
        <f>CEILING(Warrior!$B36/ IF(Warrior!$D36&lt; 10.8, $F$8, $F$8 / (Warrior!$D36/ 10.8)),1)</f>
        <v>16</v>
      </c>
      <c r="N107" s="1">
        <v>34</v>
      </c>
      <c r="O107" s="1">
        <f>CEILING(Demon!$B36 / IF(Demon!$D36&lt; 10.8, $Q$8, $Q$8 / (Demon!$D36/ 10.8)),1)</f>
        <v>9</v>
      </c>
      <c r="P107" s="1">
        <f>CEILING(Elf!$B36/ IF(Elf!$D36 &lt; 10.8, $Q$8, $Q$8 / (Elf!$D36/ 10.8)),1)</f>
        <v>10</v>
      </c>
      <c r="Q107" s="1">
        <f>CEILING(Beastgirl!$B36/ IF(Beastgirl!$D36&lt; 10.8, $Q$8, $Q$8/ (Beastgirl!$D36 / 10.8)),1)</f>
        <v>15</v>
      </c>
      <c r="R107" s="1">
        <f>CEILING(Warrior!$B36 / IF(Warrior!$D36&lt; 10.8, $Q$8, $Q$8 / (Warrior!$D36 / 10.8)),1)</f>
        <v>11</v>
      </c>
      <c r="Y107" s="1">
        <v>34</v>
      </c>
      <c r="Z107" s="1">
        <f>CEILING(Demon!$B36 / IF(Demon!$D36&lt; 10.8, $AB$8, $AB$8 / (Demon!$D36 / 10.8)),1)</f>
        <v>7</v>
      </c>
      <c r="AA107" s="1">
        <f>CEILING(Elf!$B36 / IF(Elf!$D36 &lt; 10.8, $AB$8, $AB$8 / (Elf!$D36 / 10.8)),1)</f>
        <v>7</v>
      </c>
      <c r="AB107" s="1">
        <f>CEILING(Beastgirl!$B36 / IF(Beastgirl!$D36&lt; 10.8, $AB$8, $AB$8 / (Beastgirl!$D36 / 10.8)),1)</f>
        <v>12</v>
      </c>
      <c r="AC107" s="1">
        <f>CEILING(Warrior!$B36/ IF(Warrior!$D36&lt; 10.8, $AB$8, $AB$8/ (Warrior!$D36 / 10.8)),1)</f>
        <v>8</v>
      </c>
    </row>
    <row r="108" spans="3:29" x14ac:dyDescent="0.3">
      <c r="C108" s="1">
        <v>35</v>
      </c>
      <c r="D108" s="1">
        <f>CEILING(Demon!$B37/ IF(Demon!$D37&lt; 10.8, $F$8, $F$8 / (Demon!$D37 / 10.8)),1)</f>
        <v>17</v>
      </c>
      <c r="E108" s="1">
        <f>CEILING(Elf!$B37 / IF(Elf!$D37&lt; 10.8, $F$8,$F$8 / (Elf!$D37/ 10.8)),1)</f>
        <v>19</v>
      </c>
      <c r="F108" s="1">
        <f>CEILING(Beastgirl!$B37/ IF(Beastgirl!$D37&lt; 10.8, $F$8, $F$8 / (Beastgirl!$D37 / 10.8)),1)</f>
        <v>30</v>
      </c>
      <c r="G108" s="1">
        <f>CEILING(Warrior!$B37/ IF(Warrior!$D37&lt; 10.8, $F$8, $F$8 / (Warrior!$D37/ 10.8)),1)</f>
        <v>21</v>
      </c>
      <c r="N108" s="1">
        <v>35</v>
      </c>
      <c r="O108" s="1">
        <f>CEILING(Demon!$B37 / IF(Demon!$D37&lt; 10.8, $Q$8, $Q$8 / (Demon!$D37/ 10.8)),1)</f>
        <v>11</v>
      </c>
      <c r="P108" s="1">
        <f>CEILING(Elf!$B37/ IF(Elf!$D37 &lt; 10.8, $Q$8, $Q$8 / (Elf!$D37/ 10.8)),1)</f>
        <v>13</v>
      </c>
      <c r="Q108" s="1">
        <f>CEILING(Beastgirl!$B37/ IF(Beastgirl!$D37&lt; 10.8, $Q$8, $Q$8/ (Beastgirl!$D37 / 10.8)),1)</f>
        <v>20</v>
      </c>
      <c r="R108" s="1">
        <f>CEILING(Warrior!$B37 / IF(Warrior!$D37&lt; 10.8, $Q$8, $Q$8 / (Warrior!$D37 / 10.8)),1)</f>
        <v>14</v>
      </c>
      <c r="Y108" s="1">
        <v>35</v>
      </c>
      <c r="Z108" s="1">
        <f>CEILING(Demon!$B37 / IF(Demon!$D37&lt; 10.8, $AB$8, $AB$8 / (Demon!$D37 / 10.8)),1)</f>
        <v>9</v>
      </c>
      <c r="AA108" s="1">
        <f>CEILING(Elf!$B37 / IF(Elf!$D37 &lt; 10.8, $AB$8, $AB$8 / (Elf!$D37 / 10.8)),1)</f>
        <v>10</v>
      </c>
      <c r="AB108" s="1">
        <f>CEILING(Beastgirl!$B37 / IF(Beastgirl!$D37&lt; 10.8, $AB$8, $AB$8 / (Beastgirl!$D37 / 10.8)),1)</f>
        <v>15</v>
      </c>
      <c r="AC108" s="1">
        <f>CEILING(Warrior!$B37/ IF(Warrior!$D37&lt; 10.8, $AB$8, $AB$8/ (Warrior!$D37 / 10.8)),1)</f>
        <v>11</v>
      </c>
    </row>
    <row r="109" spans="3:29" x14ac:dyDescent="0.3">
      <c r="C109" s="1">
        <v>36</v>
      </c>
      <c r="D109" s="1">
        <f>CEILING(Demon!$B38/ IF(Demon!$D38&lt; 10.8, $F$8, $F$8 / (Demon!$D38 / 10.8)),1)</f>
        <v>18</v>
      </c>
      <c r="E109" s="1">
        <f>CEILING(Elf!$B38 / IF(Elf!$D38&lt; 10.8, $F$8,$F$8 / (Elf!$D38/ 10.8)),1)</f>
        <v>20</v>
      </c>
      <c r="F109" s="1">
        <f>CEILING(Beastgirl!$B38/ IF(Beastgirl!$D38&lt; 10.8, $F$8, $F$8 / (Beastgirl!$D38 / 10.8)),1)</f>
        <v>31</v>
      </c>
      <c r="G109" s="1">
        <f>CEILING(Warrior!$B38/ IF(Warrior!$D38&lt; 10.8, $F$8, $F$8 / (Warrior!$D38/ 10.8)),1)</f>
        <v>23</v>
      </c>
      <c r="N109" s="1">
        <v>36</v>
      </c>
      <c r="O109" s="1">
        <f>CEILING(Demon!$B38 / IF(Demon!$D38&lt; 10.8, $Q$8, $Q$8 / (Demon!$D38/ 10.8)),1)</f>
        <v>12</v>
      </c>
      <c r="P109" s="1">
        <f>CEILING(Elf!$B38/ IF(Elf!$D38 &lt; 10.8, $Q$8, $Q$8 / (Elf!$D38/ 10.8)),1)</f>
        <v>13</v>
      </c>
      <c r="Q109" s="1">
        <f>CEILING(Beastgirl!$B38/ IF(Beastgirl!$D38&lt; 10.8, $Q$8, $Q$8/ (Beastgirl!$D38 / 10.8)),1)</f>
        <v>21</v>
      </c>
      <c r="R109" s="1">
        <f>CEILING(Warrior!$B38 / IF(Warrior!$D38&lt; 10.8, $Q$8, $Q$8 / (Warrior!$D38 / 10.8)),1)</f>
        <v>15</v>
      </c>
      <c r="Y109" s="1">
        <v>36</v>
      </c>
      <c r="Z109" s="1">
        <f>CEILING(Demon!$B38 / IF(Demon!$D38&lt; 10.8, $AB$8, $AB$8 / (Demon!$D38 / 10.8)),1)</f>
        <v>9</v>
      </c>
      <c r="AA109" s="1">
        <f>CEILING(Elf!$B38 / IF(Elf!$D38 &lt; 10.8, $AB$8, $AB$8 / (Elf!$D38 / 10.8)),1)</f>
        <v>10</v>
      </c>
      <c r="AB109" s="1">
        <f>CEILING(Beastgirl!$B38 / IF(Beastgirl!$D38&lt; 10.8, $AB$8, $AB$8 / (Beastgirl!$D38 / 10.8)),1)</f>
        <v>16</v>
      </c>
      <c r="AC109" s="1">
        <f>CEILING(Warrior!$B38/ IF(Warrior!$D38&lt; 10.8, $AB$8, $AB$8/ (Warrior!$D38 / 10.8)),1)</f>
        <v>12</v>
      </c>
    </row>
    <row r="110" spans="3:29" x14ac:dyDescent="0.3">
      <c r="C110" s="1">
        <v>37</v>
      </c>
      <c r="D110" s="1">
        <f>CEILING(Demon!$B39/ IF(Demon!$D39&lt; 10.8, $F$8, $F$8 / (Demon!$D39 / 10.8)),1)</f>
        <v>18</v>
      </c>
      <c r="E110" s="1">
        <f>CEILING(Elf!$B39 / IF(Elf!$D39&lt; 10.8, $F$8,$F$8 / (Elf!$D39/ 10.8)),1)</f>
        <v>21</v>
      </c>
      <c r="F110" s="1">
        <f>CEILING(Beastgirl!$B39/ IF(Beastgirl!$D39&lt; 10.8, $F$8, $F$8 / (Beastgirl!$D39 / 10.8)),1)</f>
        <v>33</v>
      </c>
      <c r="G110" s="1">
        <f>CEILING(Warrior!$B39/ IF(Warrior!$D39&lt; 10.8, $F$8, $F$8 / (Warrior!$D39/ 10.8)),1)</f>
        <v>24</v>
      </c>
      <c r="N110" s="1">
        <v>37</v>
      </c>
      <c r="O110" s="1">
        <f>CEILING(Demon!$B39 / IF(Demon!$D39&lt; 10.8, $Q$8, $Q$8 / (Demon!$D39/ 10.8)),1)</f>
        <v>12</v>
      </c>
      <c r="P110" s="1">
        <f>CEILING(Elf!$B39/ IF(Elf!$D39 &lt; 10.8, $Q$8, $Q$8 / (Elf!$D39/ 10.8)),1)</f>
        <v>14</v>
      </c>
      <c r="Q110" s="1">
        <f>CEILING(Beastgirl!$B39/ IF(Beastgirl!$D39&lt; 10.8, $Q$8, $Q$8/ (Beastgirl!$D39 / 10.8)),1)</f>
        <v>22</v>
      </c>
      <c r="R110" s="1">
        <f>CEILING(Warrior!$B39 / IF(Warrior!$D39&lt; 10.8, $Q$8, $Q$8 / (Warrior!$D39 / 10.8)),1)</f>
        <v>16</v>
      </c>
      <c r="Y110" s="1">
        <v>37</v>
      </c>
      <c r="Z110" s="1">
        <f>CEILING(Demon!$B39 / IF(Demon!$D39&lt; 10.8, $AB$8, $AB$8 / (Demon!$D39 / 10.8)),1)</f>
        <v>9</v>
      </c>
      <c r="AA110" s="1">
        <f>CEILING(Elf!$B39 / IF(Elf!$D39 &lt; 10.8, $AB$8, $AB$8 / (Elf!$D39 / 10.8)),1)</f>
        <v>11</v>
      </c>
      <c r="AB110" s="1">
        <f>CEILING(Beastgirl!$B39 / IF(Beastgirl!$D39&lt; 10.8, $AB$8, $AB$8 / (Beastgirl!$D39 / 10.8)),1)</f>
        <v>17</v>
      </c>
      <c r="AC110" s="1">
        <f>CEILING(Warrior!$B39/ IF(Warrior!$D39&lt; 10.8, $AB$8, $AB$8/ (Warrior!$D39 / 10.8)),1)</f>
        <v>12</v>
      </c>
    </row>
    <row r="111" spans="3:29" x14ac:dyDescent="0.3">
      <c r="C111" s="1">
        <v>38</v>
      </c>
      <c r="D111" s="1">
        <f>CEILING(Demon!$B40/ IF(Demon!$D40&lt; 10.8, $F$8, $F$8 / (Demon!$D40 / 10.8)),1)</f>
        <v>19</v>
      </c>
      <c r="E111" s="1">
        <f>CEILING(Elf!$B40 / IF(Elf!$D40&lt; 10.8, $F$8,$F$8 / (Elf!$D40/ 10.8)),1)</f>
        <v>22</v>
      </c>
      <c r="F111" s="1">
        <f>CEILING(Beastgirl!$B40/ IF(Beastgirl!$D40&lt; 10.8, $F$8, $F$8 / (Beastgirl!$D40 / 10.8)),1)</f>
        <v>34</v>
      </c>
      <c r="G111" s="1">
        <f>CEILING(Warrior!$B40/ IF(Warrior!$D40&lt; 10.8, $F$8, $F$8 / (Warrior!$D40/ 10.8)),1)</f>
        <v>25</v>
      </c>
      <c r="N111" s="1">
        <v>38</v>
      </c>
      <c r="O111" s="1">
        <f>CEILING(Demon!$B40 / IF(Demon!$D40&lt; 10.8, $Q$8, $Q$8 / (Demon!$D40/ 10.8)),1)</f>
        <v>13</v>
      </c>
      <c r="P111" s="1">
        <f>CEILING(Elf!$B40/ IF(Elf!$D40 &lt; 10.8, $Q$8, $Q$8 / (Elf!$D40/ 10.8)),1)</f>
        <v>15</v>
      </c>
      <c r="Q111" s="1">
        <f>CEILING(Beastgirl!$B40/ IF(Beastgirl!$D40&lt; 10.8, $Q$8, $Q$8/ (Beastgirl!$D40 / 10.8)),1)</f>
        <v>23</v>
      </c>
      <c r="R111" s="1">
        <f>CEILING(Warrior!$B40 / IF(Warrior!$D40&lt; 10.8, $Q$8, $Q$8 / (Warrior!$D40 / 10.8)),1)</f>
        <v>17</v>
      </c>
      <c r="Y111" s="1">
        <v>38</v>
      </c>
      <c r="Z111" s="1">
        <f>CEILING(Demon!$B40 / IF(Demon!$D40&lt; 10.8, $AB$8, $AB$8 / (Demon!$D40 / 10.8)),1)</f>
        <v>10</v>
      </c>
      <c r="AA111" s="1">
        <f>CEILING(Elf!$B40 / IF(Elf!$D40 &lt; 10.8, $AB$8, $AB$8 / (Elf!$D40 / 10.8)),1)</f>
        <v>11</v>
      </c>
      <c r="AB111" s="1">
        <f>CEILING(Beastgirl!$B40 / IF(Beastgirl!$D40&lt; 10.8, $AB$8, $AB$8 / (Beastgirl!$D40 / 10.8)),1)</f>
        <v>17</v>
      </c>
      <c r="AC111" s="1">
        <f>CEILING(Warrior!$B40/ IF(Warrior!$D40&lt; 10.8, $AB$8, $AB$8/ (Warrior!$D40 / 10.8)),1)</f>
        <v>13</v>
      </c>
    </row>
    <row r="112" spans="3:29" x14ac:dyDescent="0.3">
      <c r="C112" s="1">
        <v>39</v>
      </c>
      <c r="D112" s="1">
        <f>CEILING(Demon!$B41/ IF(Demon!$D41&lt; 10.8, $F$8, $F$8 / (Demon!$D41 / 10.8)),1)</f>
        <v>20</v>
      </c>
      <c r="E112" s="1">
        <f>CEILING(Elf!$B41 / IF(Elf!$D41&lt; 10.8, $F$8,$F$8 / (Elf!$D41/ 10.8)),1)</f>
        <v>23</v>
      </c>
      <c r="F112" s="1">
        <f>CEILING(Beastgirl!$B41/ IF(Beastgirl!$D41&lt; 10.8, $F$8, $F$8 / (Beastgirl!$D41 / 10.8)),1)</f>
        <v>36</v>
      </c>
      <c r="G112" s="1">
        <f>CEILING(Warrior!$B41/ IF(Warrior!$D41&lt; 10.8, $F$8, $F$8 / (Warrior!$D41/ 10.8)),1)</f>
        <v>26</v>
      </c>
      <c r="N112" s="1">
        <v>39</v>
      </c>
      <c r="O112" s="1">
        <f>CEILING(Demon!$B41 / IF(Demon!$D41&lt; 10.8, $Q$8, $Q$8 / (Demon!$D41/ 10.8)),1)</f>
        <v>14</v>
      </c>
      <c r="P112" s="1">
        <f>CEILING(Elf!$B41/ IF(Elf!$D41 &lt; 10.8, $Q$8, $Q$8 / (Elf!$D41/ 10.8)),1)</f>
        <v>16</v>
      </c>
      <c r="Q112" s="1">
        <f>CEILING(Beastgirl!$B41/ IF(Beastgirl!$D41&lt; 10.8, $Q$8, $Q$8/ (Beastgirl!$D41 / 10.8)),1)</f>
        <v>24</v>
      </c>
      <c r="R112" s="1">
        <f>CEILING(Warrior!$B41 / IF(Warrior!$D41&lt; 10.8, $Q$8, $Q$8 / (Warrior!$D41 / 10.8)),1)</f>
        <v>17</v>
      </c>
      <c r="Y112" s="1">
        <v>39</v>
      </c>
      <c r="Z112" s="1">
        <f>CEILING(Demon!$B41 / IF(Demon!$D41&lt; 10.8, $AB$8, $AB$8 / (Demon!$D41 / 10.8)),1)</f>
        <v>10</v>
      </c>
      <c r="AA112" s="1">
        <f>CEILING(Elf!$B41 / IF(Elf!$D41 &lt; 10.8, $AB$8, $AB$8 / (Elf!$D41 / 10.8)),1)</f>
        <v>12</v>
      </c>
      <c r="AB112" s="1">
        <f>CEILING(Beastgirl!$B41 / IF(Beastgirl!$D41&lt; 10.8, $AB$8, $AB$8 / (Beastgirl!$D41 / 10.8)),1)</f>
        <v>18</v>
      </c>
      <c r="AC112" s="1">
        <f>CEILING(Warrior!$B41/ IF(Warrior!$D41&lt; 10.8, $AB$8, $AB$8/ (Warrior!$D41 / 10.8)),1)</f>
        <v>13</v>
      </c>
    </row>
    <row r="113" spans="3:29" x14ac:dyDescent="0.3">
      <c r="C113" s="1">
        <v>40</v>
      </c>
      <c r="D113" s="1">
        <f>CEILING(Demon!$B42/ IF(Demon!$D42&lt; 10.8, $F$8, $F$8 / (Demon!$D42 / 10.8)),1)</f>
        <v>21</v>
      </c>
      <c r="E113" s="1">
        <f>CEILING(Elf!$B42 / IF(Elf!$D42&lt; 10.8, $F$8,$F$8 / (Elf!$D42/ 10.8)),1)</f>
        <v>24</v>
      </c>
      <c r="F113" s="1">
        <f>CEILING(Beastgirl!$B42/ IF(Beastgirl!$D42&lt; 10.8, $F$8, $F$8 / (Beastgirl!$D42 / 10.8)),1)</f>
        <v>38</v>
      </c>
      <c r="G113" s="1">
        <f>CEILING(Warrior!$B42/ IF(Warrior!$D42&lt; 10.8, $F$8, $F$8 / (Warrior!$D42/ 10.8)),1)</f>
        <v>27</v>
      </c>
      <c r="N113" s="1">
        <v>40</v>
      </c>
      <c r="O113" s="1">
        <f>CEILING(Demon!$B42 / IF(Demon!$D42&lt; 10.8, $Q$8, $Q$8 / (Demon!$D42/ 10.8)),1)</f>
        <v>14</v>
      </c>
      <c r="P113" s="1">
        <f>CEILING(Elf!$B42/ IF(Elf!$D42 &lt; 10.8, $Q$8, $Q$8 / (Elf!$D42/ 10.8)),1)</f>
        <v>16</v>
      </c>
      <c r="Q113" s="1">
        <f>CEILING(Beastgirl!$B42/ IF(Beastgirl!$D42&lt; 10.8, $Q$8, $Q$8/ (Beastgirl!$D42 / 10.8)),1)</f>
        <v>25</v>
      </c>
      <c r="R113" s="1">
        <f>CEILING(Warrior!$B42 / IF(Warrior!$D42&lt; 10.8, $Q$8, $Q$8 / (Warrior!$D42 / 10.8)),1)</f>
        <v>18</v>
      </c>
      <c r="Y113" s="1">
        <v>40</v>
      </c>
      <c r="Z113" s="1">
        <f>CEILING(Demon!$B42 / IF(Demon!$D42&lt; 10.8, $AB$8, $AB$8 / (Demon!$D42 / 10.8)),1)</f>
        <v>11</v>
      </c>
      <c r="AA113" s="1">
        <f>CEILING(Elf!$B42 / IF(Elf!$D42 &lt; 10.8, $AB$8, $AB$8 / (Elf!$D42 / 10.8)),1)</f>
        <v>12</v>
      </c>
      <c r="AB113" s="1">
        <f>CEILING(Beastgirl!$B42 / IF(Beastgirl!$D42&lt; 10.8, $AB$8, $AB$8 / (Beastgirl!$D42 / 10.8)),1)</f>
        <v>19</v>
      </c>
      <c r="AC113" s="1">
        <f>CEILING(Warrior!$B42/ IF(Warrior!$D42&lt; 10.8, $AB$8, $AB$8/ (Warrior!$D42 / 10.8)),1)</f>
        <v>14</v>
      </c>
    </row>
    <row r="114" spans="3:29" x14ac:dyDescent="0.3">
      <c r="C114" s="1">
        <v>41</v>
      </c>
      <c r="D114" s="1">
        <f>CEILING(Demon!$B43/ IF(Demon!$D43&lt; 10.8, $F$8, $F$8 / (Demon!$D43 / 10.8)),1)</f>
        <v>22</v>
      </c>
      <c r="E114" s="1">
        <f>CEILING(Elf!$B43 / IF(Elf!$D43&lt; 10.8, $F$8,$F$8 / (Elf!$D43/ 10.8)),1)</f>
        <v>25</v>
      </c>
      <c r="F114" s="1">
        <f>CEILING(Beastgirl!$B43/ IF(Beastgirl!$D43&lt; 10.8, $F$8, $F$8 / (Beastgirl!$D43 / 10.8)),1)</f>
        <v>40</v>
      </c>
      <c r="G114" s="1">
        <f>CEILING(Warrior!$B43/ IF(Warrior!$D43&lt; 10.8, $F$8, $F$8 / (Warrior!$D43/ 10.8)),1)</f>
        <v>29</v>
      </c>
      <c r="N114" s="1">
        <v>41</v>
      </c>
      <c r="O114" s="1">
        <f>CEILING(Demon!$B43 / IF(Demon!$D43&lt; 10.8, $Q$8, $Q$8 / (Demon!$D43/ 10.8)),1)</f>
        <v>15</v>
      </c>
      <c r="P114" s="1">
        <f>CEILING(Elf!$B43/ IF(Elf!$D43 &lt; 10.8, $Q$8, $Q$8 / (Elf!$D43/ 10.8)),1)</f>
        <v>17</v>
      </c>
      <c r="Q114" s="1">
        <f>CEILING(Beastgirl!$B43/ IF(Beastgirl!$D43&lt; 10.8, $Q$8, $Q$8/ (Beastgirl!$D43 / 10.8)),1)</f>
        <v>27</v>
      </c>
      <c r="R114" s="1">
        <f>CEILING(Warrior!$B43 / IF(Warrior!$D43&lt; 10.8, $Q$8, $Q$8 / (Warrior!$D43 / 10.8)),1)</f>
        <v>19</v>
      </c>
      <c r="Y114" s="1">
        <v>41</v>
      </c>
      <c r="Z114" s="1">
        <f>CEILING(Demon!$B43 / IF(Demon!$D43&lt; 10.8, $AB$8, $AB$8 / (Demon!$D43 / 10.8)),1)</f>
        <v>11</v>
      </c>
      <c r="AA114" s="1">
        <f>CEILING(Elf!$B43 / IF(Elf!$D43 &lt; 10.8, $AB$8, $AB$8 / (Elf!$D43 / 10.8)),1)</f>
        <v>13</v>
      </c>
      <c r="AB114" s="1">
        <f>CEILING(Beastgirl!$B43 / IF(Beastgirl!$D43&lt; 10.8, $AB$8, $AB$8 / (Beastgirl!$D43 / 10.8)),1)</f>
        <v>20</v>
      </c>
      <c r="AC114" s="1">
        <f>CEILING(Warrior!$B43/ IF(Warrior!$D43&lt; 10.8, $AB$8, $AB$8/ (Warrior!$D43 / 10.8)),1)</f>
        <v>15</v>
      </c>
    </row>
    <row r="115" spans="3:29" x14ac:dyDescent="0.3">
      <c r="C115" s="1">
        <v>42</v>
      </c>
      <c r="D115" s="1">
        <f>CEILING(Demon!$B44/ IF(Demon!$D44&lt; 10.8, $F$8, $F$8 / (Demon!$D44 / 10.8)),1)</f>
        <v>23</v>
      </c>
      <c r="E115" s="1">
        <f>CEILING(Elf!$B44 / IF(Elf!$D44&lt; 10.8, $F$8,$F$8 / (Elf!$D44/ 10.8)),1)</f>
        <v>27</v>
      </c>
      <c r="F115" s="1">
        <f>CEILING(Beastgirl!$B44/ IF(Beastgirl!$D44&lt; 10.8, $F$8, $F$8 / (Beastgirl!$D44 / 10.8)),1)</f>
        <v>41</v>
      </c>
      <c r="G115" s="1">
        <f>CEILING(Warrior!$B44/ IF(Warrior!$D44&lt; 10.8, $F$8, $F$8 / (Warrior!$D44/ 10.8)),1)</f>
        <v>30</v>
      </c>
      <c r="N115" s="1">
        <v>42</v>
      </c>
      <c r="O115" s="1">
        <f>CEILING(Demon!$B44 / IF(Demon!$D44&lt; 10.8, $Q$8, $Q$8 / (Demon!$D44/ 10.8)),1)</f>
        <v>16</v>
      </c>
      <c r="P115" s="1">
        <f>CEILING(Elf!$B44/ IF(Elf!$D44 &lt; 10.8, $Q$8, $Q$8 / (Elf!$D44/ 10.8)),1)</f>
        <v>18</v>
      </c>
      <c r="Q115" s="1">
        <f>CEILING(Beastgirl!$B44/ IF(Beastgirl!$D44&lt; 10.8, $Q$8, $Q$8/ (Beastgirl!$D44 / 10.8)),1)</f>
        <v>28</v>
      </c>
      <c r="R115" s="1">
        <f>CEILING(Warrior!$B44 / IF(Warrior!$D44&lt; 10.8, $Q$8, $Q$8 / (Warrior!$D44 / 10.8)),1)</f>
        <v>20</v>
      </c>
      <c r="Y115" s="1">
        <v>42</v>
      </c>
      <c r="Z115" s="1">
        <f>CEILING(Demon!$B44 / IF(Demon!$D44&lt; 10.8, $AB$8, $AB$8 / (Demon!$D44 / 10.8)),1)</f>
        <v>12</v>
      </c>
      <c r="AA115" s="1">
        <f>CEILING(Elf!$B44 / IF(Elf!$D44 &lt; 10.8, $AB$8, $AB$8 / (Elf!$D44 / 10.8)),1)</f>
        <v>14</v>
      </c>
      <c r="AB115" s="1">
        <f>CEILING(Beastgirl!$B44 / IF(Beastgirl!$D44&lt; 10.8, $AB$8, $AB$8 / (Beastgirl!$D44 / 10.8)),1)</f>
        <v>21</v>
      </c>
      <c r="AC115" s="1">
        <f>CEILING(Warrior!$B44/ IF(Warrior!$D44&lt; 10.8, $AB$8, $AB$8/ (Warrior!$D44 / 10.8)),1)</f>
        <v>15</v>
      </c>
    </row>
    <row r="116" spans="3:29" x14ac:dyDescent="0.3">
      <c r="C116" s="1">
        <v>43</v>
      </c>
      <c r="D116" s="1">
        <f>CEILING(Demon!$B45/ IF(Demon!$D45&lt; 10.8, $F$8, $F$8 / (Demon!$D45 / 10.8)),1)</f>
        <v>25</v>
      </c>
      <c r="E116" s="1">
        <f>CEILING(Elf!$B45 / IF(Elf!$D45&lt; 10.8, $F$8,$F$8 / (Elf!$D45/ 10.8)),1)</f>
        <v>28</v>
      </c>
      <c r="F116" s="1">
        <f>CEILING(Beastgirl!$B45/ IF(Beastgirl!$D45&lt; 10.8, $F$8, $F$8 / (Beastgirl!$D45 / 10.8)),1)</f>
        <v>43</v>
      </c>
      <c r="G116" s="1">
        <f>CEILING(Warrior!$B45/ IF(Warrior!$D45&lt; 10.8, $F$8, $F$8 / (Warrior!$D45/ 10.8)),1)</f>
        <v>31</v>
      </c>
      <c r="N116" s="1">
        <v>43</v>
      </c>
      <c r="O116" s="1">
        <f>CEILING(Demon!$B45 / IF(Demon!$D45&lt; 10.8, $Q$8, $Q$8 / (Demon!$D45/ 10.8)),1)</f>
        <v>17</v>
      </c>
      <c r="P116" s="1">
        <f>CEILING(Elf!$B45/ IF(Elf!$D45 &lt; 10.8, $Q$8, $Q$8 / (Elf!$D45/ 10.8)),1)</f>
        <v>19</v>
      </c>
      <c r="Q116" s="1">
        <f>CEILING(Beastgirl!$B45/ IF(Beastgirl!$D45&lt; 10.8, $Q$8, $Q$8/ (Beastgirl!$D45 / 10.8)),1)</f>
        <v>29</v>
      </c>
      <c r="R116" s="1">
        <f>CEILING(Warrior!$B45 / IF(Warrior!$D45&lt; 10.8, $Q$8, $Q$8 / (Warrior!$D45 / 10.8)),1)</f>
        <v>21</v>
      </c>
      <c r="Y116" s="1">
        <v>43</v>
      </c>
      <c r="Z116" s="1">
        <f>CEILING(Demon!$B45 / IF(Demon!$D45&lt; 10.8, $AB$8, $AB$8 / (Demon!$D45 / 10.8)),1)</f>
        <v>13</v>
      </c>
      <c r="AA116" s="1">
        <f>CEILING(Elf!$B45 / IF(Elf!$D45 &lt; 10.8, $AB$8, $AB$8 / (Elf!$D45 / 10.8)),1)</f>
        <v>14</v>
      </c>
      <c r="AB116" s="1">
        <f>CEILING(Beastgirl!$B45 / IF(Beastgirl!$D45&lt; 10.8, $AB$8, $AB$8 / (Beastgirl!$D45 / 10.8)),1)</f>
        <v>22</v>
      </c>
      <c r="AC116" s="1">
        <f>CEILING(Warrior!$B45/ IF(Warrior!$D45&lt; 10.8, $AB$8, $AB$8/ (Warrior!$D45 / 10.8)),1)</f>
        <v>16</v>
      </c>
    </row>
    <row r="117" spans="3:29" x14ac:dyDescent="0.3">
      <c r="C117" s="1">
        <v>44</v>
      </c>
      <c r="D117" s="1">
        <f>CEILING(Demon!$B46/ IF(Demon!$D46&lt; 10.8, $F$8, $F$8 / (Demon!$D46 / 10.8)),1)</f>
        <v>26</v>
      </c>
      <c r="E117" s="1">
        <f>CEILING(Elf!$B46 / IF(Elf!$D46&lt; 10.8, $F$8,$F$8 / (Elf!$D46/ 10.8)),1)</f>
        <v>29</v>
      </c>
      <c r="F117" s="1">
        <f>CEILING(Beastgirl!$B46/ IF(Beastgirl!$D46&lt; 10.8, $F$8, $F$8 / (Beastgirl!$D46 / 10.8)),1)</f>
        <v>45</v>
      </c>
      <c r="G117" s="1">
        <f>CEILING(Warrior!$B46/ IF(Warrior!$D46&lt; 10.8, $F$8, $F$8 / (Warrior!$D46/ 10.8)),1)</f>
        <v>33</v>
      </c>
      <c r="N117" s="1">
        <v>44</v>
      </c>
      <c r="O117" s="1">
        <f>CEILING(Demon!$B46 / IF(Demon!$D46&lt; 10.8, $Q$8, $Q$8 / (Demon!$D46/ 10.8)),1)</f>
        <v>17</v>
      </c>
      <c r="P117" s="1">
        <f>CEILING(Elf!$B46/ IF(Elf!$D46 &lt; 10.8, $Q$8, $Q$8 / (Elf!$D46/ 10.8)),1)</f>
        <v>20</v>
      </c>
      <c r="Q117" s="1">
        <f>CEILING(Beastgirl!$B46/ IF(Beastgirl!$D46&lt; 10.8, $Q$8, $Q$8/ (Beastgirl!$D46 / 10.8)),1)</f>
        <v>30</v>
      </c>
      <c r="R117" s="1">
        <f>CEILING(Warrior!$B46 / IF(Warrior!$D46&lt; 10.8, $Q$8, $Q$8 / (Warrior!$D46 / 10.8)),1)</f>
        <v>22</v>
      </c>
      <c r="Y117" s="1">
        <v>44</v>
      </c>
      <c r="Z117" s="1">
        <f>CEILING(Demon!$B46 / IF(Demon!$D46&lt; 10.8, $AB$8, $AB$8 / (Demon!$D46 / 10.8)),1)</f>
        <v>13</v>
      </c>
      <c r="AA117" s="1">
        <f>CEILING(Elf!$B46 / IF(Elf!$D46 &lt; 10.8, $AB$8, $AB$8 / (Elf!$D46 / 10.8)),1)</f>
        <v>15</v>
      </c>
      <c r="AB117" s="1">
        <f>CEILING(Beastgirl!$B46 / IF(Beastgirl!$D46&lt; 10.8, $AB$8, $AB$8 / (Beastgirl!$D46 / 10.8)),1)</f>
        <v>23</v>
      </c>
      <c r="AC117" s="1">
        <f>CEILING(Warrior!$B46/ IF(Warrior!$D46&lt; 10.8, $AB$8, $AB$8/ (Warrior!$D46 / 10.8)),1)</f>
        <v>17</v>
      </c>
    </row>
    <row r="118" spans="3:29" x14ac:dyDescent="0.3">
      <c r="C118" s="1">
        <v>45</v>
      </c>
      <c r="D118" s="1">
        <f>CEILING(Demon!$B47/ IF(Demon!$D47&lt; 10.8, $F$8, $F$8 / (Demon!$D47 / 10.8)),1)</f>
        <v>33</v>
      </c>
      <c r="E118" s="1">
        <f>CEILING(Elf!$B47 / IF(Elf!$D47&lt; 10.8, $F$8,$F$8 / (Elf!$D47/ 10.8)),1)</f>
        <v>37</v>
      </c>
      <c r="F118" s="1">
        <f>CEILING(Beastgirl!$B47/ IF(Beastgirl!$D47&lt; 10.8, $F$8, $F$8 / (Beastgirl!$D47 / 10.8)),1)</f>
        <v>57</v>
      </c>
      <c r="G118" s="1">
        <f>CEILING(Warrior!$B47/ IF(Warrior!$D47&lt; 10.8, $F$8, $F$8 / (Warrior!$D47/ 10.8)),1)</f>
        <v>41</v>
      </c>
      <c r="N118" s="1">
        <v>45</v>
      </c>
      <c r="O118" s="1">
        <f>CEILING(Demon!$B47 / IF(Demon!$D47&lt; 10.8, $Q$8, $Q$8 / (Demon!$D47/ 10.8)),1)</f>
        <v>22</v>
      </c>
      <c r="P118" s="1">
        <f>CEILING(Elf!$B47/ IF(Elf!$D47 &lt; 10.8, $Q$8, $Q$8 / (Elf!$D47/ 10.8)),1)</f>
        <v>25</v>
      </c>
      <c r="Q118" s="1">
        <f>CEILING(Beastgirl!$B47/ IF(Beastgirl!$D47&lt; 10.8, $Q$8, $Q$8/ (Beastgirl!$D47 / 10.8)),1)</f>
        <v>38</v>
      </c>
      <c r="R118" s="1">
        <f>CEILING(Warrior!$B47 / IF(Warrior!$D47&lt; 10.8, $Q$8, $Q$8 / (Warrior!$D47 / 10.8)),1)</f>
        <v>27</v>
      </c>
      <c r="Y118" s="1">
        <v>45</v>
      </c>
      <c r="Z118" s="1">
        <f>CEILING(Demon!$B47 / IF(Demon!$D47&lt; 10.8, $AB$8, $AB$8 / (Demon!$D47 / 10.8)),1)</f>
        <v>17</v>
      </c>
      <c r="AA118" s="1">
        <f>CEILING(Elf!$B47 / IF(Elf!$D47 &lt; 10.8, $AB$8, $AB$8 / (Elf!$D47 / 10.8)),1)</f>
        <v>19</v>
      </c>
      <c r="AB118" s="1">
        <f>CEILING(Beastgirl!$B47 / IF(Beastgirl!$D47&lt; 10.8, $AB$8, $AB$8 / (Beastgirl!$D47 / 10.8)),1)</f>
        <v>29</v>
      </c>
      <c r="AC118" s="1">
        <f>CEILING(Warrior!$B47/ IF(Warrior!$D47&lt; 10.8, $AB$8, $AB$8/ (Warrior!$D47 / 10.8)),1)</f>
        <v>21</v>
      </c>
    </row>
    <row r="119" spans="3:29" x14ac:dyDescent="0.3">
      <c r="C119" s="1">
        <v>46</v>
      </c>
      <c r="D119" s="1">
        <f>CEILING(Demon!$B48/ IF(Demon!$D48&lt; 10.8, $F$8, $F$8 / (Demon!$D48 / 10.8)),1)</f>
        <v>34</v>
      </c>
      <c r="E119" s="1">
        <f>CEILING(Elf!$B48 / IF(Elf!$D48&lt; 10.8, $F$8,$F$8 / (Elf!$D48/ 10.8)),1)</f>
        <v>38</v>
      </c>
      <c r="F119" s="1">
        <f>CEILING(Beastgirl!$B48/ IF(Beastgirl!$D48&lt; 10.8, $F$8, $F$8 / (Beastgirl!$D48 / 10.8)),1)</f>
        <v>59</v>
      </c>
      <c r="G119" s="1">
        <f>CEILING(Warrior!$B48/ IF(Warrior!$D48&lt; 10.8, $F$8, $F$8 / (Warrior!$D48/ 10.8)),1)</f>
        <v>42</v>
      </c>
      <c r="N119" s="1">
        <v>46</v>
      </c>
      <c r="O119" s="1">
        <f>CEILING(Demon!$B48 / IF(Demon!$D48&lt; 10.8, $Q$8, $Q$8 / (Demon!$D48/ 10.8)),1)</f>
        <v>23</v>
      </c>
      <c r="P119" s="1">
        <f>CEILING(Elf!$B48/ IF(Elf!$D48 &lt; 10.8, $Q$8, $Q$8 / (Elf!$D48/ 10.8)),1)</f>
        <v>26</v>
      </c>
      <c r="Q119" s="1">
        <f>CEILING(Beastgirl!$B48/ IF(Beastgirl!$D48&lt; 10.8, $Q$8, $Q$8/ (Beastgirl!$D48 / 10.8)),1)</f>
        <v>40</v>
      </c>
      <c r="R119" s="1">
        <f>CEILING(Warrior!$B48 / IF(Warrior!$D48&lt; 10.8, $Q$8, $Q$8 / (Warrior!$D48 / 10.8)),1)</f>
        <v>28</v>
      </c>
      <c r="Y119" s="1">
        <v>46</v>
      </c>
      <c r="Z119" s="1">
        <f>CEILING(Demon!$B48 / IF(Demon!$D48&lt; 10.8, $AB$8, $AB$8 / (Demon!$D48 / 10.8)),1)</f>
        <v>17</v>
      </c>
      <c r="AA119" s="1">
        <f>CEILING(Elf!$B48 / IF(Elf!$D48 &lt; 10.8, $AB$8, $AB$8 / (Elf!$D48 / 10.8)),1)</f>
        <v>19</v>
      </c>
      <c r="AB119" s="1">
        <f>CEILING(Beastgirl!$B48 / IF(Beastgirl!$D48&lt; 10.8, $AB$8, $AB$8 / (Beastgirl!$D48 / 10.8)),1)</f>
        <v>30</v>
      </c>
      <c r="AC119" s="1">
        <f>CEILING(Warrior!$B48/ IF(Warrior!$D48&lt; 10.8, $AB$8, $AB$8/ (Warrior!$D48 / 10.8)),1)</f>
        <v>21</v>
      </c>
    </row>
    <row r="120" spans="3:29" x14ac:dyDescent="0.3">
      <c r="C120" s="1">
        <v>47</v>
      </c>
      <c r="D120" s="1">
        <f>CEILING(Demon!$B49/ IF(Demon!$D49&lt; 10.8, $F$8, $F$8 / (Demon!$D49 / 10.8)),1)</f>
        <v>35</v>
      </c>
      <c r="E120" s="1">
        <f>CEILING(Elf!$B49 / IF(Elf!$D49&lt; 10.8, $F$8,$F$8 / (Elf!$D49/ 10.8)),1)</f>
        <v>40</v>
      </c>
      <c r="F120" s="1">
        <f>CEILING(Beastgirl!$B49/ IF(Beastgirl!$D49&lt; 10.8, $F$8, $F$8 / (Beastgirl!$D49 / 10.8)),1)</f>
        <v>61</v>
      </c>
      <c r="G120" s="1">
        <f>CEILING(Warrior!$B49/ IF(Warrior!$D49&lt; 10.8, $F$8, $F$8 / (Warrior!$D49/ 10.8)),1)</f>
        <v>44</v>
      </c>
      <c r="N120" s="1">
        <v>47</v>
      </c>
      <c r="O120" s="1">
        <f>CEILING(Demon!$B49 / IF(Demon!$D49&lt; 10.8, $Q$8, $Q$8 / (Demon!$D49/ 10.8)),1)</f>
        <v>24</v>
      </c>
      <c r="P120" s="1">
        <f>CEILING(Elf!$B49/ IF(Elf!$D49 &lt; 10.8, $Q$8, $Q$8 / (Elf!$D49/ 10.8)),1)</f>
        <v>27</v>
      </c>
      <c r="Q120" s="1">
        <f>CEILING(Beastgirl!$B49/ IF(Beastgirl!$D49&lt; 10.8, $Q$8, $Q$8/ (Beastgirl!$D49 / 10.8)),1)</f>
        <v>41</v>
      </c>
      <c r="R120" s="1">
        <f>CEILING(Warrior!$B49 / IF(Warrior!$D49&lt; 10.8, $Q$8, $Q$8 / (Warrior!$D49 / 10.8)),1)</f>
        <v>30</v>
      </c>
      <c r="Y120" s="1">
        <v>47</v>
      </c>
      <c r="Z120" s="1">
        <f>CEILING(Demon!$B49 / IF(Demon!$D49&lt; 10.8, $AB$8, $AB$8 / (Demon!$D49 / 10.8)),1)</f>
        <v>18</v>
      </c>
      <c r="AA120" s="1">
        <f>CEILING(Elf!$B49 / IF(Elf!$D49 &lt; 10.8, $AB$8, $AB$8 / (Elf!$D49 / 10.8)),1)</f>
        <v>20</v>
      </c>
      <c r="AB120" s="1">
        <f>CEILING(Beastgirl!$B49 / IF(Beastgirl!$D49&lt; 10.8, $AB$8, $AB$8 / (Beastgirl!$D49 / 10.8)),1)</f>
        <v>31</v>
      </c>
      <c r="AC120" s="1">
        <f>CEILING(Warrior!$B49/ IF(Warrior!$D49&lt; 10.8, $AB$8, $AB$8/ (Warrior!$D49 / 10.8)),1)</f>
        <v>22</v>
      </c>
    </row>
    <row r="121" spans="3:29" x14ac:dyDescent="0.3">
      <c r="C121" s="1">
        <v>48</v>
      </c>
      <c r="D121" s="1">
        <f>CEILING(Demon!$B50/ IF(Demon!$D50&lt; 10.8, $F$8, $F$8 / (Demon!$D50 / 10.8)),1)</f>
        <v>37</v>
      </c>
      <c r="E121" s="1">
        <f>CEILING(Elf!$B50 / IF(Elf!$D50&lt; 10.8, $F$8,$F$8 / (Elf!$D50/ 10.8)),1)</f>
        <v>42</v>
      </c>
      <c r="F121" s="1">
        <f>CEILING(Beastgirl!$B50/ IF(Beastgirl!$D50&lt; 10.8, $F$8, $F$8 / (Beastgirl!$D50 / 10.8)),1)</f>
        <v>64</v>
      </c>
      <c r="G121" s="1">
        <f>CEILING(Warrior!$B50/ IF(Warrior!$D50&lt; 10.8, $F$8, $F$8 / (Warrior!$D50/ 10.8)),1)</f>
        <v>46</v>
      </c>
      <c r="N121" s="1">
        <v>48</v>
      </c>
      <c r="O121" s="1">
        <f>CEILING(Demon!$B50 / IF(Demon!$D50&lt; 10.8, $Q$8, $Q$8 / (Demon!$D50/ 10.8)),1)</f>
        <v>25</v>
      </c>
      <c r="P121" s="1">
        <f>CEILING(Elf!$B50/ IF(Elf!$D50 &lt; 10.8, $Q$8, $Q$8 / (Elf!$D50/ 10.8)),1)</f>
        <v>28</v>
      </c>
      <c r="Q121" s="1">
        <f>CEILING(Beastgirl!$B50/ IF(Beastgirl!$D50&lt; 10.8, $Q$8, $Q$8/ (Beastgirl!$D50 / 10.8)),1)</f>
        <v>43</v>
      </c>
      <c r="R121" s="1">
        <f>CEILING(Warrior!$B50 / IF(Warrior!$D50&lt; 10.8, $Q$8, $Q$8 / (Warrior!$D50 / 10.8)),1)</f>
        <v>31</v>
      </c>
      <c r="Y121" s="1">
        <v>48</v>
      </c>
      <c r="Z121" s="1">
        <f>CEILING(Demon!$B50 / IF(Demon!$D50&lt; 10.8, $AB$8, $AB$8 / (Demon!$D50 / 10.8)),1)</f>
        <v>19</v>
      </c>
      <c r="AA121" s="1">
        <f>CEILING(Elf!$B50 / IF(Elf!$D50 &lt; 10.8, $AB$8, $AB$8 / (Elf!$D50 / 10.8)),1)</f>
        <v>21</v>
      </c>
      <c r="AB121" s="1">
        <f>CEILING(Beastgirl!$B50 / IF(Beastgirl!$D50&lt; 10.8, $AB$8, $AB$8 / (Beastgirl!$D50 / 10.8)),1)</f>
        <v>32</v>
      </c>
      <c r="AC121" s="1">
        <f>CEILING(Warrior!$B50/ IF(Warrior!$D50&lt; 10.8, $AB$8, $AB$8/ (Warrior!$D50 / 10.8)),1)</f>
        <v>23</v>
      </c>
    </row>
    <row r="122" spans="3:29" x14ac:dyDescent="0.3">
      <c r="C122" s="1">
        <v>49</v>
      </c>
      <c r="D122" s="1">
        <f>CEILING(Demon!$B51/ IF(Demon!$D51&lt; 10.8, $F$8, $F$8 / (Demon!$D51 / 10.8)),1)</f>
        <v>38</v>
      </c>
      <c r="E122" s="1">
        <f>CEILING(Elf!$B51 / IF(Elf!$D51&lt; 10.8, $F$8,$F$8 / (Elf!$D51/ 10.8)),1)</f>
        <v>43</v>
      </c>
      <c r="F122" s="1">
        <f>CEILING(Beastgirl!$B51/ IF(Beastgirl!$D51&lt; 10.8, $F$8, $F$8 / (Beastgirl!$D51 / 10.8)),1)</f>
        <v>66</v>
      </c>
      <c r="G122" s="1">
        <f>CEILING(Warrior!$B51/ IF(Warrior!$D51&lt; 10.8, $F$8, $F$8 / (Warrior!$D51/ 10.8)),1)</f>
        <v>48</v>
      </c>
      <c r="N122" s="1">
        <v>49</v>
      </c>
      <c r="O122" s="1">
        <f>CEILING(Demon!$B51 / IF(Demon!$D51&lt; 10.8, $Q$8, $Q$8 / (Demon!$D51/ 10.8)),1)</f>
        <v>26</v>
      </c>
      <c r="P122" s="1">
        <f>CEILING(Elf!$B51/ IF(Elf!$D51 &lt; 10.8, $Q$8, $Q$8 / (Elf!$D51/ 10.8)),1)</f>
        <v>29</v>
      </c>
      <c r="Q122" s="1">
        <f>CEILING(Beastgirl!$B51/ IF(Beastgirl!$D51&lt; 10.8, $Q$8, $Q$8/ (Beastgirl!$D51 / 10.8)),1)</f>
        <v>44</v>
      </c>
      <c r="R122" s="1">
        <f>CEILING(Warrior!$B51 / IF(Warrior!$D51&lt; 10.8, $Q$8, $Q$8 / (Warrior!$D51 / 10.8)),1)</f>
        <v>32</v>
      </c>
      <c r="Y122" s="1">
        <v>49</v>
      </c>
      <c r="Z122" s="1">
        <f>CEILING(Demon!$B51 / IF(Demon!$D51&lt; 10.8, $AB$8, $AB$8 / (Demon!$D51 / 10.8)),1)</f>
        <v>19</v>
      </c>
      <c r="AA122" s="1">
        <f>CEILING(Elf!$B51 / IF(Elf!$D51 &lt; 10.8, $AB$8, $AB$8 / (Elf!$D51 / 10.8)),1)</f>
        <v>22</v>
      </c>
      <c r="AB122" s="1">
        <f>CEILING(Beastgirl!$B51 / IF(Beastgirl!$D51&lt; 10.8, $AB$8, $AB$8 / (Beastgirl!$D51 / 10.8)),1)</f>
        <v>33</v>
      </c>
      <c r="AC122" s="1">
        <f>CEILING(Warrior!$B51/ IF(Warrior!$D51&lt; 10.8, $AB$8, $AB$8/ (Warrior!$D51 / 10.8)),1)</f>
        <v>24</v>
      </c>
    </row>
    <row r="123" spans="3:29" x14ac:dyDescent="0.3">
      <c r="C123" s="1">
        <v>50</v>
      </c>
      <c r="D123" s="1">
        <f>CEILING(Demon!$B52/ IF(Demon!$D52&lt; 10.8, $F$8, $F$8 / (Demon!$D52 / 10.8)),1)</f>
        <v>40</v>
      </c>
      <c r="E123" s="1">
        <f>CEILING(Elf!$B52 / IF(Elf!$D52&lt; 10.8, $F$8,$F$8 / (Elf!$D52/ 10.8)),1)</f>
        <v>45</v>
      </c>
      <c r="F123" s="1">
        <f>CEILING(Beastgirl!$B52/ IF(Beastgirl!$D52&lt; 10.8, $F$8, $F$8 / (Beastgirl!$D52 / 10.8)),1)</f>
        <v>69</v>
      </c>
      <c r="G123" s="1">
        <f>CEILING(Warrior!$B52/ IF(Warrior!$D52&lt; 10.8, $F$8, $F$8 / (Warrior!$D52/ 10.8)),1)</f>
        <v>50</v>
      </c>
      <c r="N123" s="1">
        <v>50</v>
      </c>
      <c r="O123" s="1">
        <f>CEILING(Demon!$B52 / IF(Demon!$D52&lt; 10.8, $Q$8, $Q$8 / (Demon!$D52/ 10.8)),1)</f>
        <v>27</v>
      </c>
      <c r="P123" s="1">
        <f>CEILING(Elf!$B52/ IF(Elf!$D52 &lt; 10.8, $Q$8, $Q$8 / (Elf!$D52/ 10.8)),1)</f>
        <v>30</v>
      </c>
      <c r="Q123" s="1">
        <f>CEILING(Beastgirl!$B52/ IF(Beastgirl!$D52&lt; 10.8, $Q$8, $Q$8/ (Beastgirl!$D52 / 10.8)),1)</f>
        <v>46</v>
      </c>
      <c r="R123" s="1">
        <f>CEILING(Warrior!$B52 / IF(Warrior!$D52&lt; 10.8, $Q$8, $Q$8 / (Warrior!$D52 / 10.8)),1)</f>
        <v>33</v>
      </c>
      <c r="Y123" s="1">
        <v>50</v>
      </c>
      <c r="Z123" s="1">
        <f>CEILING(Demon!$B52 / IF(Demon!$D52&lt; 10.8, $AB$8, $AB$8 / (Demon!$D52 / 10.8)),1)</f>
        <v>20</v>
      </c>
      <c r="AA123" s="1">
        <f>CEILING(Elf!$B52 / IF(Elf!$D52 &lt; 10.8, $AB$8, $AB$8 / (Elf!$D52 / 10.8)),1)</f>
        <v>23</v>
      </c>
      <c r="AB123" s="1">
        <f>CEILING(Beastgirl!$B52 / IF(Beastgirl!$D52&lt; 10.8, $AB$8, $AB$8 / (Beastgirl!$D52 / 10.8)),1)</f>
        <v>35</v>
      </c>
      <c r="AC123" s="1">
        <f>CEILING(Warrior!$B52/ IF(Warrior!$D52&lt; 10.8, $AB$8, $AB$8/ (Warrior!$D52 / 10.8)),1)</f>
        <v>25</v>
      </c>
    </row>
  </sheetData>
  <mergeCells count="18">
    <mergeCell ref="C79:G79"/>
    <mergeCell ref="N79:R79"/>
    <mergeCell ref="Y79:AC79"/>
    <mergeCell ref="C102:G102"/>
    <mergeCell ref="N102:R102"/>
    <mergeCell ref="Y102:AC102"/>
    <mergeCell ref="C33:G33"/>
    <mergeCell ref="N33:R33"/>
    <mergeCell ref="Y33:AC33"/>
    <mergeCell ref="C56:G56"/>
    <mergeCell ref="N56:R56"/>
    <mergeCell ref="Y56:AC56"/>
    <mergeCell ref="A1:K1"/>
    <mergeCell ref="L1:V1"/>
    <mergeCell ref="W1:AF1"/>
    <mergeCell ref="C10:G10"/>
    <mergeCell ref="N10:R10"/>
    <mergeCell ref="Y10:AC10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7648-613B-4B8C-A56B-DBB3C6AD7396}">
  <dimension ref="A1:AG12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3</v>
      </c>
      <c r="C3" s="1"/>
      <c r="D3" s="1">
        <v>12</v>
      </c>
      <c r="E3" s="1">
        <v>10</v>
      </c>
      <c r="F3" s="1">
        <v>12</v>
      </c>
      <c r="G3" s="1">
        <v>10</v>
      </c>
      <c r="H3" s="1">
        <v>12</v>
      </c>
      <c r="I3" s="1">
        <v>26</v>
      </c>
      <c r="J3" s="1">
        <v>58</v>
      </c>
      <c r="K3" s="1"/>
      <c r="L3" s="4">
        <v>1</v>
      </c>
      <c r="M3" s="1">
        <f>Table596183195207231264[[#This Row],[HP]] * 1.5</f>
        <v>4.5</v>
      </c>
      <c r="N3" s="1"/>
      <c r="O3" s="1">
        <f>Table596183195207231264[[#This Row],[DEF]] * 1.5</f>
        <v>18</v>
      </c>
      <c r="P3" s="1">
        <f>Table596183195207231264[[#This Row],[AGI]] * 1.5</f>
        <v>15</v>
      </c>
      <c r="Q3" s="1">
        <f>Table596183195207231264[[#This Row],[STR]] * 1.5</f>
        <v>18</v>
      </c>
      <c r="R3" s="1">
        <f>Table596183195207231264[[#This Row],[INT]] * 1.5</f>
        <v>15</v>
      </c>
      <c r="S3" s="1">
        <f xml:space="preserve"> Table596183195207231264[[#This Row],[DEX]] * 1.5</f>
        <v>18</v>
      </c>
      <c r="T3" s="1">
        <f>Table596183195207231264[[#This Row],[XP Given]]*1.25</f>
        <v>32.5</v>
      </c>
      <c r="U3" s="1"/>
      <c r="V3" s="1"/>
      <c r="W3" s="4">
        <v>1</v>
      </c>
      <c r="X3" s="1">
        <f>Table596183195207231264[[#This Row],[HP]] * 2</f>
        <v>6</v>
      </c>
      <c r="Y3" s="1"/>
      <c r="Z3" s="1">
        <f>Table596183195207231264[[#This Row],[DEF]] * 2</f>
        <v>24</v>
      </c>
      <c r="AA3" s="1">
        <f>Table596183195207231264[[#This Row],[AGI]] * 2</f>
        <v>20</v>
      </c>
      <c r="AB3" s="1">
        <f>Table596183195207231264[[#This Row],[STR]] * 2</f>
        <v>24</v>
      </c>
      <c r="AC3" s="1">
        <f>Table596183195207231264[[#This Row],[INT]] * 2</f>
        <v>20</v>
      </c>
      <c r="AD3" s="1">
        <f xml:space="preserve"> Table596183195207231264[[#This Row],[DEX]] * 2</f>
        <v>24</v>
      </c>
      <c r="AE3" s="1">
        <f>Table596183195207231264[[#This Row],[XP Given]]*1.5</f>
        <v>39</v>
      </c>
      <c r="AF3" s="1"/>
    </row>
    <row r="4" spans="1:32" x14ac:dyDescent="0.3">
      <c r="A4" s="4">
        <v>36</v>
      </c>
      <c r="B4" s="1">
        <f>$B$3 + ((Table596183195207231264[[#This Row],[LV]] / 10) + $B$3 / 8) * Table596183195207231264[[#This Row],[LV]]</f>
        <v>146.1</v>
      </c>
      <c r="C4" s="1"/>
      <c r="D4" s="1">
        <f>$D$3 + ($D$3 / 4) * Table596183195207231264[[#This Row],[LV]]</f>
        <v>120</v>
      </c>
      <c r="E4" s="1">
        <f>$E$3 + ($E$3 / 4) * Table596183195207231264[[#This Row],[LV]]</f>
        <v>100</v>
      </c>
      <c r="F4" s="1">
        <f>$F$3 + ($F$3 / 4) * Table596183195207231264[[#This Row],[LV]]</f>
        <v>120</v>
      </c>
      <c r="G4" s="1">
        <f>$G$3 + ($G$3 / 4) * Table596183195207231264[[#This Row],[LV]]</f>
        <v>100</v>
      </c>
      <c r="H4" s="1">
        <f>$H$3 + ($H$3 / 4) * Table596183195207231264[[#This Row],[LV]]</f>
        <v>120</v>
      </c>
      <c r="I4" s="1">
        <f>$I$3 + $I$3 * Table596183195207231264[[#This Row],[LV]] *25 / 100</f>
        <v>260</v>
      </c>
      <c r="J4" s="1">
        <f>$J$3 + $J$3 * Table596183195207231264[[#This Row],[LV]] * 25 / 100</f>
        <v>580</v>
      </c>
      <c r="K4" s="1"/>
      <c r="L4" s="4">
        <v>36</v>
      </c>
      <c r="M4" s="1">
        <f>$M$3 + ((Table5997184196208232265[[#This Row],[LV]] / 10) + $M$3 / 8) * Table5997184196208232265[[#This Row],[LV]]</f>
        <v>154.35</v>
      </c>
      <c r="N4" s="1"/>
      <c r="O4" s="1">
        <f>$O$3 + ($O$3 / 4) * Table5997184196208232265[[#This Row],[LV]]</f>
        <v>180</v>
      </c>
      <c r="P4" s="1">
        <f>$P$3 + ($P$3 / 4) * Table5997184196208232265[[#This Row],[LV]]</f>
        <v>150</v>
      </c>
      <c r="Q4" s="1">
        <f>$Q$3 + ($Q$3 / 4) * Table5997184196208232265[[#This Row],[LV]]</f>
        <v>180</v>
      </c>
      <c r="R4" s="1">
        <f>$R$3 + ($R$3 / 4) * Table5997184196208232265[[#This Row],[LV]]</f>
        <v>150</v>
      </c>
      <c r="S4" s="1">
        <f>$S$3 + ($S$3 / 4) * Table5997184196208232265[[#This Row],[LV]]</f>
        <v>180</v>
      </c>
      <c r="T4" s="1">
        <f>Table596183195207231264[[#This Row],[XP Given]]*1.25</f>
        <v>325</v>
      </c>
      <c r="U4" s="1">
        <f>Table596183195207231264[[#This Row],[Gold Given]]*1.25</f>
        <v>725</v>
      </c>
      <c r="V4" s="1"/>
      <c r="W4" s="4">
        <v>36</v>
      </c>
      <c r="X4" s="1">
        <f>$X$3 + ((Table591098185197209233266[[#This Row],[LV]] / 10) + $X$3 / 8) * Table591098185197209233266[[#This Row],[LV]]</f>
        <v>162.6</v>
      </c>
      <c r="Y4" s="1"/>
      <c r="Z4" s="1">
        <f>$Z$3 + ($Z$3 / 4) * Table591098185197209233266[[#This Row],[LV]]</f>
        <v>240</v>
      </c>
      <c r="AA4" s="1">
        <f>$AA$3 + ($AA$3 / 4) * Table591098185197209233266[[#This Row],[LV]]</f>
        <v>200</v>
      </c>
      <c r="AB4" s="1">
        <f>$AB$3 + ($AB$3 / 4) * Table591098185197209233266[[#This Row],[LV]]</f>
        <v>240</v>
      </c>
      <c r="AC4" s="1">
        <f>$AC$3 + ($AC$3 / 4) * Table591098185197209233266[[#This Row],[LV]]</f>
        <v>200</v>
      </c>
      <c r="AD4" s="1">
        <f>$AD$3 + ($AD$3 / 4) * Table591098185197209233266[[#This Row],[LV]]</f>
        <v>240</v>
      </c>
      <c r="AE4" s="1">
        <f>Table596183195207231264[[#This Row],[XP Given]]*1.5</f>
        <v>390</v>
      </c>
      <c r="AF4" s="1">
        <f>Table596183195207231264[[#This Row],[Gold Given]]*1.5</f>
        <v>870</v>
      </c>
    </row>
    <row r="5" spans="1:32" x14ac:dyDescent="0.3">
      <c r="A5" s="4">
        <v>37</v>
      </c>
      <c r="B5" s="1">
        <f>$B$3 + ((Table596183195207231264[[#This Row],[LV]] / 10) + $B$3 / 8) * Table596183195207231264[[#This Row],[LV]]</f>
        <v>153.77500000000001</v>
      </c>
      <c r="C5" s="1"/>
      <c r="D5" s="1">
        <f>$D$3 + ($D$3 / 4) * Table596183195207231264[[#This Row],[LV]]</f>
        <v>123</v>
      </c>
      <c r="E5" s="1">
        <f>$E$3 + ($E$3 / 4) * Table596183195207231264[[#This Row],[LV]]</f>
        <v>102.5</v>
      </c>
      <c r="F5" s="1">
        <f>$F$3 + ($F$3 / 4) * Table596183195207231264[[#This Row],[LV]]</f>
        <v>123</v>
      </c>
      <c r="G5" s="1">
        <f>$G$3 + ($G$3 / 4) * Table596183195207231264[[#This Row],[LV]]</f>
        <v>102.5</v>
      </c>
      <c r="H5" s="1">
        <f>$H$3 + ($H$3 / 4) * Table596183195207231264[[#This Row],[LV]]</f>
        <v>123</v>
      </c>
      <c r="I5" s="1">
        <f>$I$3 + $I$3 * Table596183195207231264[[#This Row],[LV]] *25 / 100</f>
        <v>266.5</v>
      </c>
      <c r="J5" s="1">
        <f>$J$3 + $J$3 * Table596183195207231264[[#This Row],[LV]] * 25 / 100</f>
        <v>594.5</v>
      </c>
      <c r="K5" s="1"/>
      <c r="L5" s="4">
        <v>37</v>
      </c>
      <c r="M5" s="1">
        <f>$M$3 + ((Table5997184196208232265[[#This Row],[LV]] / 10) + $M$3 / 8) * Table5997184196208232265[[#This Row],[LV]]</f>
        <v>162.21250000000001</v>
      </c>
      <c r="N5" s="1"/>
      <c r="O5" s="1">
        <f>$O$3 + ($O$3 / 4) * Table5997184196208232265[[#This Row],[LV]]</f>
        <v>184.5</v>
      </c>
      <c r="P5" s="1">
        <f>$P$3 + ($P$3 / 4) * Table5997184196208232265[[#This Row],[LV]]</f>
        <v>153.75</v>
      </c>
      <c r="Q5" s="1">
        <f>$Q$3 + ($Q$3 / 4) * Table5997184196208232265[[#This Row],[LV]]</f>
        <v>184.5</v>
      </c>
      <c r="R5" s="1">
        <f>$R$3 + ($R$3 / 4) * Table5997184196208232265[[#This Row],[LV]]</f>
        <v>153.75</v>
      </c>
      <c r="S5" s="1">
        <f>$S$3 + ($S$3 / 4) * Table5997184196208232265[[#This Row],[LV]]</f>
        <v>184.5</v>
      </c>
      <c r="T5" s="1">
        <f>Table596183195207231264[[#This Row],[XP Given]]*1.25</f>
        <v>333.125</v>
      </c>
      <c r="U5" s="1">
        <f>Table596183195207231264[[#This Row],[Gold Given]]*1.25</f>
        <v>743.125</v>
      </c>
      <c r="V5" s="1"/>
      <c r="W5" s="4">
        <v>37</v>
      </c>
      <c r="X5" s="1">
        <f>$X$3 + ((Table591098185197209233266[[#This Row],[LV]] / 10) + $X$3 / 8) * Table591098185197209233266[[#This Row],[LV]]</f>
        <v>170.65</v>
      </c>
      <c r="Y5" s="1"/>
      <c r="Z5" s="1">
        <f>$Z$3 + ($Z$3 / 4) * Table591098185197209233266[[#This Row],[LV]]</f>
        <v>246</v>
      </c>
      <c r="AA5" s="1">
        <f>$AA$3 + ($AA$3 / 4) * Table591098185197209233266[[#This Row],[LV]]</f>
        <v>205</v>
      </c>
      <c r="AB5" s="1">
        <f>$AB$3 + ($AB$3 / 4) * Table591098185197209233266[[#This Row],[LV]]</f>
        <v>246</v>
      </c>
      <c r="AC5" s="1">
        <f>$AC$3 + ($AC$3 / 4) * Table591098185197209233266[[#This Row],[LV]]</f>
        <v>205</v>
      </c>
      <c r="AD5" s="1">
        <f>$AD$3 + ($AD$3 / 4) * Table591098185197209233266[[#This Row],[LV]]</f>
        <v>246</v>
      </c>
      <c r="AE5" s="1">
        <f>Table596183195207231264[[#This Row],[XP Given]]*1.5</f>
        <v>399.75</v>
      </c>
      <c r="AF5" s="1">
        <f>Table596183195207231264[[#This Row],[Gold Given]]*1.5</f>
        <v>891.75</v>
      </c>
    </row>
    <row r="6" spans="1:32" x14ac:dyDescent="0.3">
      <c r="A6" s="4">
        <v>38</v>
      </c>
      <c r="B6" s="1">
        <f>$B$3 + ((Table596183195207231264[[#This Row],[LV]] / 10) + $B$3 / 8) * Table596183195207231264[[#This Row],[LV]]</f>
        <v>161.65</v>
      </c>
      <c r="C6" s="1"/>
      <c r="D6" s="1">
        <f>$D$3 + ($D$3 / 4) * Table596183195207231264[[#This Row],[LV]]</f>
        <v>126</v>
      </c>
      <c r="E6" s="1">
        <f>$E$3 + ($E$3 / 4) * Table596183195207231264[[#This Row],[LV]]</f>
        <v>105</v>
      </c>
      <c r="F6" s="1">
        <f>$F$3 + ($F$3 / 4) * Table596183195207231264[[#This Row],[LV]]</f>
        <v>126</v>
      </c>
      <c r="G6" s="1">
        <f>$G$3 + ($G$3 / 4) * Table596183195207231264[[#This Row],[LV]]</f>
        <v>105</v>
      </c>
      <c r="H6" s="1">
        <f>$H$3 + ($H$3 / 4) * Table596183195207231264[[#This Row],[LV]]</f>
        <v>126</v>
      </c>
      <c r="I6" s="1">
        <f>$I$3 + $I$3 * Table596183195207231264[[#This Row],[LV]] *25 / 100</f>
        <v>273</v>
      </c>
      <c r="J6" s="1">
        <f>$J$3 + $J$3 * Table596183195207231264[[#This Row],[LV]] * 25 / 100</f>
        <v>609</v>
      </c>
      <c r="K6" s="1"/>
      <c r="L6" s="4">
        <v>38</v>
      </c>
      <c r="M6" s="1">
        <f>$M$3 + ((Table5997184196208232265[[#This Row],[LV]] / 10) + $M$3 / 8) * Table5997184196208232265[[#This Row],[LV]]</f>
        <v>170.27500000000001</v>
      </c>
      <c r="N6" s="1"/>
      <c r="O6" s="1">
        <f>$O$3 + ($O$3 / 4) * Table5997184196208232265[[#This Row],[LV]]</f>
        <v>189</v>
      </c>
      <c r="P6" s="1">
        <f>$P$3 + ($P$3 / 4) * Table5997184196208232265[[#This Row],[LV]]</f>
        <v>157.5</v>
      </c>
      <c r="Q6" s="1">
        <f>$Q$3 + ($Q$3 / 4) * Table5997184196208232265[[#This Row],[LV]]</f>
        <v>189</v>
      </c>
      <c r="R6" s="1">
        <f>$R$3 + ($R$3 / 4) * Table5997184196208232265[[#This Row],[LV]]</f>
        <v>157.5</v>
      </c>
      <c r="S6" s="1">
        <f>$S$3 + ($S$3 / 4) * Table5997184196208232265[[#This Row],[LV]]</f>
        <v>189</v>
      </c>
      <c r="T6" s="1">
        <f>Table596183195207231264[[#This Row],[XP Given]]*1.25</f>
        <v>341.25</v>
      </c>
      <c r="U6" s="1">
        <f>Table596183195207231264[[#This Row],[Gold Given]]*1.25</f>
        <v>761.25</v>
      </c>
      <c r="V6" s="1"/>
      <c r="W6" s="4">
        <v>38</v>
      </c>
      <c r="X6" s="1">
        <f>$X$3 + ((Table591098185197209233266[[#This Row],[LV]] / 10) + $X$3 / 8) * Table591098185197209233266[[#This Row],[LV]]</f>
        <v>178.9</v>
      </c>
      <c r="Y6" s="1"/>
      <c r="Z6" s="1">
        <f>$Z$3 + ($Z$3 / 4) * Table591098185197209233266[[#This Row],[LV]]</f>
        <v>252</v>
      </c>
      <c r="AA6" s="1">
        <f>$AA$3 + ($AA$3 / 4) * Table591098185197209233266[[#This Row],[LV]]</f>
        <v>210</v>
      </c>
      <c r="AB6" s="1">
        <f>$AB$3 + ($AB$3 / 4) * Table591098185197209233266[[#This Row],[LV]]</f>
        <v>252</v>
      </c>
      <c r="AC6" s="1">
        <f>$AC$3 + ($AC$3 / 4) * Table591098185197209233266[[#This Row],[LV]]</f>
        <v>210</v>
      </c>
      <c r="AD6" s="1">
        <f>$AD$3 + ($AD$3 / 4) * Table591098185197209233266[[#This Row],[LV]]</f>
        <v>252</v>
      </c>
      <c r="AE6" s="1">
        <f>Table596183195207231264[[#This Row],[XP Given]]*1.5</f>
        <v>409.5</v>
      </c>
      <c r="AF6" s="1">
        <f>Table596183195207231264[[#This Row],[Gold Given]]*1.5</f>
        <v>913.5</v>
      </c>
    </row>
    <row r="7" spans="1:32" x14ac:dyDescent="0.3">
      <c r="A7" s="4">
        <v>39</v>
      </c>
      <c r="B7" s="1">
        <f>$B$3 + ((Table596183195207231264[[#This Row],[LV]] / 10) + $B$3 / 8) * Table596183195207231264[[#This Row],[LV]]</f>
        <v>169.72500000000002</v>
      </c>
      <c r="C7" s="1"/>
      <c r="D7" s="1">
        <f>$D$3 + ($D$3 / 4) * Table596183195207231264[[#This Row],[LV]]</f>
        <v>129</v>
      </c>
      <c r="E7" s="1">
        <f>$E$3 + ($E$3 / 4) * Table596183195207231264[[#This Row],[LV]]</f>
        <v>107.5</v>
      </c>
      <c r="F7" s="1">
        <f>$F$3 + ($F$3 / 4) * Table596183195207231264[[#This Row],[LV]]</f>
        <v>129</v>
      </c>
      <c r="G7" s="1">
        <f>$G$3 + ($G$3 / 4) * Table596183195207231264[[#This Row],[LV]]</f>
        <v>107.5</v>
      </c>
      <c r="H7" s="1">
        <f>$H$3 + ($H$3 / 4) * Table596183195207231264[[#This Row],[LV]]</f>
        <v>129</v>
      </c>
      <c r="I7" s="1">
        <f>$I$3 + $I$3 * Table596183195207231264[[#This Row],[LV]] *25 / 100</f>
        <v>279.5</v>
      </c>
      <c r="J7" s="1">
        <f>$J$3 + $J$3 * Table596183195207231264[[#This Row],[LV]] * 25 / 100</f>
        <v>623.5</v>
      </c>
      <c r="K7" s="1"/>
      <c r="L7" s="4">
        <v>39</v>
      </c>
      <c r="M7" s="1">
        <f>$M$3 + ((Table5997184196208232265[[#This Row],[LV]] / 10) + $M$3 / 8) * Table5997184196208232265[[#This Row],[LV]]</f>
        <v>178.53750000000002</v>
      </c>
      <c r="N7" s="1"/>
      <c r="O7" s="1">
        <f>$O$3 + ($O$3 / 4) * Table5997184196208232265[[#This Row],[LV]]</f>
        <v>193.5</v>
      </c>
      <c r="P7" s="1">
        <f>$P$3 + ($P$3 / 4) * Table5997184196208232265[[#This Row],[LV]]</f>
        <v>161.25</v>
      </c>
      <c r="Q7" s="1">
        <f>$Q$3 + ($Q$3 / 4) * Table5997184196208232265[[#This Row],[LV]]</f>
        <v>193.5</v>
      </c>
      <c r="R7" s="1">
        <f>$R$3 + ($R$3 / 4) * Table5997184196208232265[[#This Row],[LV]]</f>
        <v>161.25</v>
      </c>
      <c r="S7" s="1">
        <f>$S$3 + ($S$3 / 4) * Table5997184196208232265[[#This Row],[LV]]</f>
        <v>193.5</v>
      </c>
      <c r="T7" s="1">
        <f>Table596183195207231264[[#This Row],[XP Given]]*1.25</f>
        <v>349.375</v>
      </c>
      <c r="U7" s="1">
        <f>Table596183195207231264[[#This Row],[Gold Given]]*1.25</f>
        <v>779.375</v>
      </c>
      <c r="V7" s="1"/>
      <c r="W7" s="4">
        <v>39</v>
      </c>
      <c r="X7" s="1">
        <f>$X$3 + ((Table591098185197209233266[[#This Row],[LV]] / 10) + $X$3 / 8) * Table591098185197209233266[[#This Row],[LV]]</f>
        <v>187.35000000000002</v>
      </c>
      <c r="Y7" s="1"/>
      <c r="Z7" s="1">
        <f>$Z$3 + ($Z$3 / 4) * Table591098185197209233266[[#This Row],[LV]]</f>
        <v>258</v>
      </c>
      <c r="AA7" s="1">
        <f>$AA$3 + ($AA$3 / 4) * Table591098185197209233266[[#This Row],[LV]]</f>
        <v>215</v>
      </c>
      <c r="AB7" s="1">
        <f>$AB$3 + ($AB$3 / 4) * Table591098185197209233266[[#This Row],[LV]]</f>
        <v>258</v>
      </c>
      <c r="AC7" s="1">
        <f>$AC$3 + ($AC$3 / 4) * Table591098185197209233266[[#This Row],[LV]]</f>
        <v>215</v>
      </c>
      <c r="AD7" s="1">
        <f>$AD$3 + ($AD$3 / 4) * Table591098185197209233266[[#This Row],[LV]]</f>
        <v>258</v>
      </c>
      <c r="AE7" s="1">
        <f>Table596183195207231264[[#This Row],[XP Given]]*1.5</f>
        <v>419.25</v>
      </c>
      <c r="AF7" s="1">
        <f>Table596183195207231264[[#This Row],[Gold Given]]*1.5</f>
        <v>935.25</v>
      </c>
    </row>
    <row r="8" spans="1:32" x14ac:dyDescent="0.3">
      <c r="A8" s="4">
        <v>40</v>
      </c>
      <c r="B8" s="1">
        <f>$B$3 + ((Table596183195207231264[[#This Row],[LV]] / 10) + $B$3 / 8) * Table596183195207231264[[#This Row],[LV]]</f>
        <v>178</v>
      </c>
      <c r="C8" s="1"/>
      <c r="D8" s="1">
        <f>$D$3 + ($D$3 / 4) * Table596183195207231264[[#This Row],[LV]]</f>
        <v>132</v>
      </c>
      <c r="E8" s="1">
        <f>$E$3 + ($E$3 / 4) * Table596183195207231264[[#This Row],[LV]]</f>
        <v>110</v>
      </c>
      <c r="F8" s="1">
        <f>$F$3 + ($F$3 / 4) * Table596183195207231264[[#This Row],[LV]]</f>
        <v>132</v>
      </c>
      <c r="G8" s="1">
        <f>$G$3 + ($G$3 / 4) * Table596183195207231264[[#This Row],[LV]]</f>
        <v>110</v>
      </c>
      <c r="H8" s="1">
        <f>$H$3 + ($H$3 / 4) * Table596183195207231264[[#This Row],[LV]]</f>
        <v>132</v>
      </c>
      <c r="I8" s="1">
        <f>$I$3 + $I$3 * Table596183195207231264[[#This Row],[LV]] *25 / 100</f>
        <v>286</v>
      </c>
      <c r="J8" s="1">
        <f>$J$3 + $J$3 * Table596183195207231264[[#This Row],[LV]] * 25 / 100</f>
        <v>638</v>
      </c>
      <c r="K8" s="1"/>
      <c r="L8" s="4">
        <v>40</v>
      </c>
      <c r="M8" s="1">
        <f>$M$3 + ((Table5997184196208232265[[#This Row],[LV]] / 10) + $M$3 / 8) * Table5997184196208232265[[#This Row],[LV]]</f>
        <v>187</v>
      </c>
      <c r="N8" s="1"/>
      <c r="O8" s="1">
        <f>$O$3 + ($O$3 / 4) * Table5997184196208232265[[#This Row],[LV]]</f>
        <v>198</v>
      </c>
      <c r="P8" s="1">
        <f>$P$3 + ($P$3 / 4) * Table5997184196208232265[[#This Row],[LV]]</f>
        <v>165</v>
      </c>
      <c r="Q8" s="1">
        <f>$Q$3 + ($Q$3 / 4) * Table5997184196208232265[[#This Row],[LV]]</f>
        <v>198</v>
      </c>
      <c r="R8" s="1">
        <f>$R$3 + ($R$3 / 4) * Table5997184196208232265[[#This Row],[LV]]</f>
        <v>165</v>
      </c>
      <c r="S8" s="1">
        <f>$S$3 + ($S$3 / 4) * Table5997184196208232265[[#This Row],[LV]]</f>
        <v>198</v>
      </c>
      <c r="T8" s="1">
        <f>Table596183195207231264[[#This Row],[XP Given]]*1.25</f>
        <v>357.5</v>
      </c>
      <c r="U8" s="1">
        <f>Table596183195207231264[[#This Row],[Gold Given]]*1.25</f>
        <v>797.5</v>
      </c>
      <c r="V8" s="1"/>
      <c r="W8" s="4">
        <v>40</v>
      </c>
      <c r="X8" s="1">
        <f>$X$3 + ((Table591098185197209233266[[#This Row],[LV]] / 10) + $X$3 / 8) * Table591098185197209233266[[#This Row],[LV]]</f>
        <v>196</v>
      </c>
      <c r="Y8" s="1"/>
      <c r="Z8" s="1">
        <f>$Z$3 + ($Z$3 / 4) * Table591098185197209233266[[#This Row],[LV]]</f>
        <v>264</v>
      </c>
      <c r="AA8" s="1">
        <f>$AA$3 + ($AA$3 / 4) * Table591098185197209233266[[#This Row],[LV]]</f>
        <v>220</v>
      </c>
      <c r="AB8" s="1">
        <f>$AB$3 + ($AB$3 / 4) * Table591098185197209233266[[#This Row],[LV]]</f>
        <v>264</v>
      </c>
      <c r="AC8" s="1">
        <f>$AC$3 + ($AC$3 / 4) * Table591098185197209233266[[#This Row],[LV]]</f>
        <v>220</v>
      </c>
      <c r="AD8" s="1">
        <f>$AD$3 + ($AD$3 / 4) * Table591098185197209233266[[#This Row],[LV]]</f>
        <v>264</v>
      </c>
      <c r="AE8" s="1">
        <f>Table596183195207231264[[#This Row],[XP Given]]*1.5</f>
        <v>429</v>
      </c>
      <c r="AF8" s="1">
        <f>Table596183195207231264[[#This Row],[Gold Given]]*1.5</f>
        <v>957</v>
      </c>
    </row>
    <row r="10" spans="1:32" ht="25.8" x14ac:dyDescent="0.3">
      <c r="C10" s="53" t="s">
        <v>70</v>
      </c>
      <c r="D10" s="53"/>
      <c r="E10" s="53"/>
      <c r="F10" s="53"/>
      <c r="G10" s="53"/>
      <c r="H10" s="7"/>
      <c r="N10" s="53" t="s">
        <v>70</v>
      </c>
      <c r="O10" s="53"/>
      <c r="P10" s="53"/>
      <c r="Q10" s="53"/>
      <c r="R10" s="53"/>
      <c r="S10" s="7"/>
      <c r="T10" s="7"/>
      <c r="U10" s="7"/>
      <c r="V10" s="7"/>
      <c r="Y10" s="53" t="s">
        <v>70</v>
      </c>
      <c r="Z10" s="53"/>
      <c r="AA10" s="53"/>
      <c r="AB10" s="53"/>
      <c r="AC10" s="53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9</v>
      </c>
      <c r="E12" s="1">
        <f>CEILING(Elf!$B33 / IF(Elf!$D33 &lt; 10.8, $F$4, $F$4 / (Elf!$D33 / 10.8)),1)</f>
        <v>10</v>
      </c>
      <c r="F12" s="1">
        <f>CEILING(Beastgirl!$B33/ IF(Beastgirl!$D33&lt; 10.8,$F$4, $F$4 / (Beastgirl!$D33 / 10.8)),1)</f>
        <v>16</v>
      </c>
      <c r="G12" s="1">
        <f>CEILING(Warrior!$B33/ IF(Warrior!$D33&lt; 10.8, $F$4, $F$4 / (Warrior!$D33 / 10.8)),1)</f>
        <v>11</v>
      </c>
      <c r="I12" s="1">
        <v>237</v>
      </c>
      <c r="N12" s="1">
        <v>31</v>
      </c>
      <c r="O12" s="1">
        <f>CEILING(Demon!$B33 / IF(Demon!$D33&lt; 10.8, $Q$4, $Q$4 / (Demon!$D33/ 10.8)),1)</f>
        <v>6</v>
      </c>
      <c r="P12" s="1">
        <f>CEILING(Elf!$B33 / IF(Elf!$D33 &lt; 10.8, $Q$4, $Q$4 / (Elf!$D33 / 10.8)),1)</f>
        <v>7</v>
      </c>
      <c r="Q12" s="1">
        <f>CEILING(Beastgirl!$B33 / IF(Beastgirl!$D33&lt; 10.8, $Q$4, $Q$4 / (Beastgirl!$D33/ 10.8)),1)</f>
        <v>11</v>
      </c>
      <c r="R12" s="1">
        <f>CEILING(Warrior!$B33 / IF(Warrior!$D33&lt; 10.8, $Q$4, $Q$4 / (Warrior!$D33 / 10.8)),1)</f>
        <v>8</v>
      </c>
      <c r="Y12" s="1">
        <v>31</v>
      </c>
      <c r="Z12" s="1">
        <f>CEILING(Demon!$B33 / IF(Demon!$D33&lt; 10.8, $AB$4, $AB$4 / (Demon!$D33 / 10.8)),1)</f>
        <v>5</v>
      </c>
      <c r="AA12" s="1">
        <f>CEILING(Elf!$B33 / IF(Elf!$D33 &lt; 10.8, $AB$4, $AB$4 / (Elf!$D33 / 10.8)),1)</f>
        <v>5</v>
      </c>
      <c r="AB12" s="1">
        <f>CEILING(Beastgirl!$B33 / IF(Beastgirl!$D33&lt; 10.8, $AB$4, $AB$4 / (Beastgirl!$D33 / 10.8)),1)</f>
        <v>8</v>
      </c>
      <c r="AC12" s="1">
        <f>CEILING(Warrior!$B33 / IF(Warrior!$D33&lt; 10.8, $AB$4, $AB$4 / (Warrior!$D33 / 10.8)),1)</f>
        <v>6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9</v>
      </c>
      <c r="E13" s="1">
        <f>CEILING(Elf!$B34 / IF(Elf!$D34 &lt; 10.8, $F$4, $F$4 / (Elf!$D34 / 10.8)),1)</f>
        <v>10</v>
      </c>
      <c r="F13" s="1">
        <f>CEILING(Beastgirl!$B34/ IF(Beastgirl!$D34&lt; 10.8,$F$4, $F$4 / (Beastgirl!$D34 / 10.8)),1)</f>
        <v>17</v>
      </c>
      <c r="G13" s="1">
        <f>CEILING(Warrior!$B34/ IF(Warrior!$D34&lt; 10.8, $F$4, $F$4 / (Warrior!$D34 / 10.8)),1)</f>
        <v>12</v>
      </c>
      <c r="I13" s="1">
        <v>256</v>
      </c>
      <c r="N13" s="1">
        <v>32</v>
      </c>
      <c r="O13" s="1">
        <f>CEILING(Demon!$B34 / IF(Demon!$D34&lt; 10.8, $Q$4, $Q$4 / (Demon!$D34/ 10.8)),1)</f>
        <v>6</v>
      </c>
      <c r="P13" s="1">
        <f>CEILING(Elf!$B34 / IF(Elf!$D34 &lt; 10.8, $Q$4, $Q$4 / (Elf!$D34 / 10.8)),1)</f>
        <v>7</v>
      </c>
      <c r="Q13" s="1">
        <f>CEILING(Beastgirl!$B34 / IF(Beastgirl!$D34&lt; 10.8, $Q$4, $Q$4 / (Beastgirl!$D34/ 10.8)),1)</f>
        <v>11</v>
      </c>
      <c r="R13" s="1">
        <f>CEILING(Warrior!$B34 / IF(Warrior!$D34&lt; 10.8, $Q$4, $Q$4 / (Warrior!$D34 / 10.8)),1)</f>
        <v>8</v>
      </c>
      <c r="Y13" s="1">
        <v>32</v>
      </c>
      <c r="Z13" s="1">
        <f>CEILING(Demon!$B34 / IF(Demon!$D34&lt; 10.8, $AB$4, $AB$4 / (Demon!$D34 / 10.8)),1)</f>
        <v>5</v>
      </c>
      <c r="AA13" s="1">
        <f>CEILING(Elf!$B34 / IF(Elf!$D34 &lt; 10.8, $AB$4, $AB$4 / (Elf!$D34 / 10.8)),1)</f>
        <v>5</v>
      </c>
      <c r="AB13" s="1">
        <f>CEILING(Beastgirl!$B34 / IF(Beastgirl!$D34&lt; 10.8, $AB$4, $AB$4 / (Beastgirl!$D34 / 10.8)),1)</f>
        <v>9</v>
      </c>
      <c r="AC13" s="1">
        <f>CEILING(Warrior!$B34 / IF(Warrior!$D34&lt; 10.8, $AB$4, $AB$4 / (Warrior!$D34 / 10.8)),1)</f>
        <v>6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10</v>
      </c>
      <c r="E14" s="1">
        <f>CEILING(Elf!$B35 / IF(Elf!$D35 &lt; 10.8, $F$4, $F$4 / (Elf!$D35 / 10.8)),1)</f>
        <v>11</v>
      </c>
      <c r="F14" s="1">
        <f>CEILING(Beastgirl!$B35/ IF(Beastgirl!$D35&lt; 10.8,$F$4, $F$4 / (Beastgirl!$D35 / 10.8)),1)</f>
        <v>18</v>
      </c>
      <c r="G14" s="1">
        <f>CEILING(Warrior!$B35/ IF(Warrior!$D35&lt; 10.8, $F$4, $F$4 / (Warrior!$D35 / 10.8)),1)</f>
        <v>12</v>
      </c>
      <c r="I14" s="1">
        <v>276</v>
      </c>
      <c r="N14" s="1">
        <v>33</v>
      </c>
      <c r="O14" s="1">
        <f>CEILING(Demon!$B35 / IF(Demon!$D35&lt; 10.8, $Q$4, $Q$4 / (Demon!$D35/ 10.8)),1)</f>
        <v>7</v>
      </c>
      <c r="P14" s="1">
        <f>CEILING(Elf!$B35 / IF(Elf!$D35 &lt; 10.8, $Q$4, $Q$4 / (Elf!$D35 / 10.8)),1)</f>
        <v>7</v>
      </c>
      <c r="Q14" s="1">
        <f>CEILING(Beastgirl!$B35 / IF(Beastgirl!$D35&lt; 10.8, $Q$4, $Q$4 / (Beastgirl!$D35/ 10.8)),1)</f>
        <v>12</v>
      </c>
      <c r="R14" s="1">
        <f>CEILING(Warrior!$B35 / IF(Warrior!$D35&lt; 10.8, $Q$4, $Q$4 / (Warrior!$D35 / 10.8)),1)</f>
        <v>8</v>
      </c>
      <c r="Y14" s="1">
        <v>33</v>
      </c>
      <c r="Z14" s="1">
        <f>CEILING(Demon!$B35 / IF(Demon!$D35&lt; 10.8, $AB$4, $AB$4 / (Demon!$D35 / 10.8)),1)</f>
        <v>5</v>
      </c>
      <c r="AA14" s="1">
        <f>CEILING(Elf!$B35 / IF(Elf!$D35 &lt; 10.8, $AB$4, $AB$4 / (Elf!$D35 / 10.8)),1)</f>
        <v>6</v>
      </c>
      <c r="AB14" s="1">
        <f>CEILING(Beastgirl!$B35 / IF(Beastgirl!$D35&lt; 10.8, $AB$4, $AB$4 / (Beastgirl!$D35 / 10.8)),1)</f>
        <v>9</v>
      </c>
      <c r="AC14" s="1">
        <f>CEILING(Warrior!$B35 / IF(Warrior!$D35&lt; 10.8, $AB$4, $AB$4 / (Warrior!$D35 / 10.8)),1)</f>
        <v>6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10</v>
      </c>
      <c r="E15" s="1">
        <f>CEILING(Elf!$B36 / IF(Elf!$D36 &lt; 10.8, $F$4, $F$4 / (Elf!$D36 / 10.8)),1)</f>
        <v>12</v>
      </c>
      <c r="F15" s="1">
        <f>CEILING(Beastgirl!$B36/ IF(Beastgirl!$D36&lt; 10.8,$F$4, $F$4 / (Beastgirl!$D36 / 10.8)),1)</f>
        <v>19</v>
      </c>
      <c r="G15" s="1">
        <f>CEILING(Warrior!$B36/ IF(Warrior!$D36&lt; 10.8, $F$4, $F$4 / (Warrior!$D36 / 10.8)),1)</f>
        <v>13</v>
      </c>
      <c r="I15" s="1">
        <v>297</v>
      </c>
      <c r="N15" s="1">
        <v>34</v>
      </c>
      <c r="O15" s="1">
        <f>CEILING(Demon!$B36 / IF(Demon!$D36&lt; 10.8, $Q$4, $Q$4 / (Demon!$D36/ 10.8)),1)</f>
        <v>7</v>
      </c>
      <c r="P15" s="1">
        <f>CEILING(Elf!$B36 / IF(Elf!$D36 &lt; 10.8, $Q$4, $Q$4 / (Elf!$D36 / 10.8)),1)</f>
        <v>8</v>
      </c>
      <c r="Q15" s="1">
        <f>CEILING(Beastgirl!$B36 / IF(Beastgirl!$D36&lt; 10.8, $Q$4, $Q$4 / (Beastgirl!$D36/ 10.8)),1)</f>
        <v>13</v>
      </c>
      <c r="R15" s="1">
        <f>CEILING(Warrior!$B36 / IF(Warrior!$D36&lt; 10.8, $Q$4, $Q$4 / (Warrior!$D36 / 10.8)),1)</f>
        <v>9</v>
      </c>
      <c r="Y15" s="1">
        <v>34</v>
      </c>
      <c r="Z15" s="1">
        <f>CEILING(Demon!$B36 / IF(Demon!$D36&lt; 10.8, $AB$4, $AB$4 / (Demon!$D36 / 10.8)),1)</f>
        <v>5</v>
      </c>
      <c r="AA15" s="1">
        <f>CEILING(Elf!$B36 / IF(Elf!$D36 &lt; 10.8, $AB$4, $AB$4 / (Elf!$D36 / 10.8)),1)</f>
        <v>6</v>
      </c>
      <c r="AB15" s="1">
        <f>CEILING(Beastgirl!$B36 / IF(Beastgirl!$D36&lt; 10.8, $AB$4, $AB$4 / (Beastgirl!$D36 / 10.8)),1)</f>
        <v>10</v>
      </c>
      <c r="AC15" s="1">
        <f>CEILING(Warrior!$B36 / IF(Warrior!$D36&lt; 10.8, $AB$4, $AB$4 / (Warrior!$D36 / 10.8)),1)</f>
        <v>7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14</v>
      </c>
      <c r="E16" s="1">
        <f>CEILING(Elf!$B37 / IF(Elf!$D37 &lt; 10.8, $F$4, $F$4 / (Elf!$D37 / 10.8)),1)</f>
        <v>15</v>
      </c>
      <c r="F16" s="1">
        <f>CEILING(Beastgirl!$B37/ IF(Beastgirl!$D37&lt; 10.8,$F$4, $F$4 / (Beastgirl!$D37 / 10.8)),1)</f>
        <v>24</v>
      </c>
      <c r="G16" s="1">
        <f>CEILING(Warrior!$B37/ IF(Warrior!$D37&lt; 10.8, $F$4, $F$4 / (Warrior!$D37 / 10.8)),1)</f>
        <v>18</v>
      </c>
      <c r="I16" s="1">
        <v>319</v>
      </c>
      <c r="N16" s="1">
        <v>35</v>
      </c>
      <c r="O16" s="1">
        <f>CEILING(Demon!$B37 / IF(Demon!$D37&lt; 10.8, $Q$4, $Q$4 / (Demon!$D37/ 10.8)),1)</f>
        <v>9</v>
      </c>
      <c r="P16" s="1">
        <f>CEILING(Elf!$B37 / IF(Elf!$D37 &lt; 10.8, $Q$4, $Q$4 / (Elf!$D37 / 10.8)),1)</f>
        <v>10</v>
      </c>
      <c r="Q16" s="1">
        <f>CEILING(Beastgirl!$B37 / IF(Beastgirl!$D37&lt; 10.8, $Q$4, $Q$4 / (Beastgirl!$D37/ 10.8)),1)</f>
        <v>16</v>
      </c>
      <c r="R16" s="1">
        <f>CEILING(Warrior!$B37 / IF(Warrior!$D37&lt; 10.8, $Q$4, $Q$4 / (Warrior!$D37 / 10.8)),1)</f>
        <v>12</v>
      </c>
      <c r="Y16" s="1">
        <v>35</v>
      </c>
      <c r="Z16" s="1">
        <f>CEILING(Demon!$B37 / IF(Demon!$D37&lt; 10.8, $AB$4, $AB$4 / (Demon!$D37 / 10.8)),1)</f>
        <v>7</v>
      </c>
      <c r="AA16" s="1">
        <f>CEILING(Elf!$B37 / IF(Elf!$D37 &lt; 10.8, $AB$4, $AB$4 / (Elf!$D37 / 10.8)),1)</f>
        <v>8</v>
      </c>
      <c r="AB16" s="1">
        <f>CEILING(Beastgirl!$B37 / IF(Beastgirl!$D37&lt; 10.8, $AB$4, $AB$4 / (Beastgirl!$D37 / 10.8)),1)</f>
        <v>12</v>
      </c>
      <c r="AC16" s="1">
        <f>CEILING(Warrior!$B37 / IF(Warrior!$D37&lt; 10.8, $AB$4, $AB$4 / (Warrior!$D37 / 10.8)),1)</f>
        <v>9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14</v>
      </c>
      <c r="E17" s="1">
        <f>CEILING(Elf!$B38 / IF(Elf!$D38 &lt; 10.8, $F$4, $F$4 / (Elf!$D38 / 10.8)),1)</f>
        <v>16</v>
      </c>
      <c r="F17" s="1">
        <f>CEILING(Beastgirl!$B38/ IF(Beastgirl!$D38&lt; 10.8,$F$4, $F$4 / (Beastgirl!$D38 / 10.8)),1)</f>
        <v>26</v>
      </c>
      <c r="G17" s="1">
        <f>CEILING(Warrior!$B38/ IF(Warrior!$D38&lt; 10.8, $F$4, $F$4 / (Warrior!$D38 / 10.8)),1)</f>
        <v>18</v>
      </c>
      <c r="N17" s="1">
        <v>36</v>
      </c>
      <c r="O17" s="1">
        <f>CEILING(Demon!$B38 / IF(Demon!$D38&lt; 10.8, $Q$4, $Q$4 / (Demon!$D38/ 10.8)),1)</f>
        <v>10</v>
      </c>
      <c r="P17" s="1">
        <f>CEILING(Elf!$B38 / IF(Elf!$D38 &lt; 10.8, $Q$4, $Q$4 / (Elf!$D38 / 10.8)),1)</f>
        <v>11</v>
      </c>
      <c r="Q17" s="1">
        <f>CEILING(Beastgirl!$B38 / IF(Beastgirl!$D38&lt; 10.8, $Q$4, $Q$4 / (Beastgirl!$D38/ 10.8)),1)</f>
        <v>17</v>
      </c>
      <c r="R17" s="1">
        <f>CEILING(Warrior!$B38 / IF(Warrior!$D38&lt; 10.8, $Q$4, $Q$4 / (Warrior!$D38 / 10.8)),1)</f>
        <v>12</v>
      </c>
      <c r="Y17" s="1">
        <v>36</v>
      </c>
      <c r="Z17" s="1">
        <f>CEILING(Demon!$B38 / IF(Demon!$D38&lt; 10.8, $AB$4, $AB$4 / (Demon!$D38 / 10.8)),1)</f>
        <v>7</v>
      </c>
      <c r="AA17" s="1">
        <f>CEILING(Elf!$B38 / IF(Elf!$D38 &lt; 10.8, $AB$4, $AB$4 / (Elf!$D38 / 10.8)),1)</f>
        <v>8</v>
      </c>
      <c r="AB17" s="1">
        <f>CEILING(Beastgirl!$B38 / IF(Beastgirl!$D38&lt; 10.8, $AB$4, $AB$4 / (Beastgirl!$D38 / 10.8)),1)</f>
        <v>13</v>
      </c>
      <c r="AC17" s="1">
        <f>CEILING(Warrior!$B38 / IF(Warrior!$D38&lt; 10.8, $AB$4, $AB$4 / (Warrior!$D38 / 10.8)),1)</f>
        <v>9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15</v>
      </c>
      <c r="E18" s="1">
        <f>CEILING(Elf!$B39 / IF(Elf!$D39 &lt; 10.8, $F$4, $F$4 / (Elf!$D39 / 10.8)),1)</f>
        <v>17</v>
      </c>
      <c r="F18" s="1">
        <f>CEILING(Beastgirl!$B39/ IF(Beastgirl!$D39&lt; 10.8,$F$4, $F$4 / (Beastgirl!$D39 / 10.8)),1)</f>
        <v>27</v>
      </c>
      <c r="G18" s="1">
        <f>CEILING(Warrior!$B39/ IF(Warrior!$D39&lt; 10.8, $F$4, $F$4 / (Warrior!$D39 / 10.8)),1)</f>
        <v>19</v>
      </c>
      <c r="N18" s="1">
        <v>37</v>
      </c>
      <c r="O18" s="1">
        <f>CEILING(Demon!$B39 / IF(Demon!$D39&lt; 10.8, $Q$4, $Q$4 / (Demon!$D39/ 10.8)),1)</f>
        <v>10</v>
      </c>
      <c r="P18" s="1">
        <f>CEILING(Elf!$B39 / IF(Elf!$D39 &lt; 10.8, $Q$4, $Q$4 / (Elf!$D39 / 10.8)),1)</f>
        <v>12</v>
      </c>
      <c r="Q18" s="1">
        <f>CEILING(Beastgirl!$B39 / IF(Beastgirl!$D39&lt; 10.8, $Q$4, $Q$4 / (Beastgirl!$D39/ 10.8)),1)</f>
        <v>18</v>
      </c>
      <c r="R18" s="1">
        <f>CEILING(Warrior!$B39 / IF(Warrior!$D39&lt; 10.8, $Q$4, $Q$4 / (Warrior!$D39 / 10.8)),1)</f>
        <v>13</v>
      </c>
      <c r="Y18" s="1">
        <v>37</v>
      </c>
      <c r="Z18" s="1">
        <f>CEILING(Demon!$B39 / IF(Demon!$D39&lt; 10.8, $AB$4, $AB$4 / (Demon!$D39 / 10.8)),1)</f>
        <v>8</v>
      </c>
      <c r="AA18" s="1">
        <f>CEILING(Elf!$B39 / IF(Elf!$D39 &lt; 10.8, $AB$4, $AB$4 / (Elf!$D39 / 10.8)),1)</f>
        <v>9</v>
      </c>
      <c r="AB18" s="1">
        <f>CEILING(Beastgirl!$B39 / IF(Beastgirl!$D39&lt; 10.8, $AB$4, $AB$4 / (Beastgirl!$D39 / 10.8)),1)</f>
        <v>14</v>
      </c>
      <c r="AC18" s="1">
        <f>CEILING(Warrior!$B39 / IF(Warrior!$D39&lt; 10.8, $AB$4, $AB$4 / (Warrior!$D39 / 10.8)),1)</f>
        <v>10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16</v>
      </c>
      <c r="E19" s="1">
        <f>CEILING(Elf!$B40 / IF(Elf!$D40 &lt; 10.8, $F$4, $F$4 / (Elf!$D40 / 10.8)),1)</f>
        <v>18</v>
      </c>
      <c r="F19" s="1">
        <f>CEILING(Beastgirl!$B40/ IF(Beastgirl!$D40&lt; 10.8,$F$4, $F$4 / (Beastgirl!$D40 / 10.8)),1)</f>
        <v>28</v>
      </c>
      <c r="G19" s="1">
        <f>CEILING(Warrior!$B40/ IF(Warrior!$D40&lt; 10.8, $F$4, $F$4 / (Warrior!$D40 / 10.8)),1)</f>
        <v>20</v>
      </c>
      <c r="N19" s="1">
        <v>38</v>
      </c>
      <c r="O19" s="1">
        <f>CEILING(Demon!$B40 / IF(Demon!$D40&lt; 10.8, $Q$4, $Q$4 / (Demon!$D40/ 10.8)),1)</f>
        <v>11</v>
      </c>
      <c r="P19" s="1">
        <f>CEILING(Elf!$B40 / IF(Elf!$D40 &lt; 10.8, $Q$4, $Q$4 / (Elf!$D40 / 10.8)),1)</f>
        <v>12</v>
      </c>
      <c r="Q19" s="1">
        <f>CEILING(Beastgirl!$B40 / IF(Beastgirl!$D40&lt; 10.8, $Q$4, $Q$4 / (Beastgirl!$D40/ 10.8)),1)</f>
        <v>19</v>
      </c>
      <c r="R19" s="1">
        <f>CEILING(Warrior!$B40 / IF(Warrior!$D40&lt; 10.8, $Q$4, $Q$4 / (Warrior!$D40 / 10.8)),1)</f>
        <v>14</v>
      </c>
      <c r="Y19" s="1">
        <v>38</v>
      </c>
      <c r="Z19" s="1">
        <f>CEILING(Demon!$B40 / IF(Demon!$D40&lt; 10.8, $AB$4, $AB$4 / (Demon!$D40 / 10.8)),1)</f>
        <v>8</v>
      </c>
      <c r="AA19" s="1">
        <f>CEILING(Elf!$B40 / IF(Elf!$D40 &lt; 10.8, $AB$4, $AB$4 / (Elf!$D40 / 10.8)),1)</f>
        <v>9</v>
      </c>
      <c r="AB19" s="1">
        <f>CEILING(Beastgirl!$B40 / IF(Beastgirl!$D40&lt; 10.8, $AB$4, $AB$4 / (Beastgirl!$D40 / 10.8)),1)</f>
        <v>14</v>
      </c>
      <c r="AC19" s="1">
        <f>CEILING(Warrior!$B40 / IF(Warrior!$D40&lt; 10.8, $AB$4, $AB$4 / (Warrior!$D40 / 10.8)),1)</f>
        <v>10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17</v>
      </c>
      <c r="E20" s="1">
        <f>CEILING(Elf!$B41 / IF(Elf!$D41 &lt; 10.8, $F$4, $F$4 / (Elf!$D41 / 10.8)),1)</f>
        <v>19</v>
      </c>
      <c r="F20" s="1">
        <f>CEILING(Beastgirl!$B41/ IF(Beastgirl!$D41&lt; 10.8,$F$4, $F$4 / (Beastgirl!$D41 / 10.8)),1)</f>
        <v>29</v>
      </c>
      <c r="G20" s="1">
        <f>CEILING(Warrior!$B41/ IF(Warrior!$D41&lt; 10.8, $F$4, $F$4 / (Warrior!$D41 / 10.8)),1)</f>
        <v>21</v>
      </c>
      <c r="N20" s="1">
        <v>39</v>
      </c>
      <c r="O20" s="1">
        <f>CEILING(Demon!$B41 / IF(Demon!$D41&lt; 10.8, $Q$4, $Q$4 / (Demon!$D41/ 10.8)),1)</f>
        <v>11</v>
      </c>
      <c r="P20" s="1">
        <f>CEILING(Elf!$B41 / IF(Elf!$D41 &lt; 10.8, $Q$4, $Q$4 / (Elf!$D41 / 10.8)),1)</f>
        <v>13</v>
      </c>
      <c r="Q20" s="1">
        <f>CEILING(Beastgirl!$B41 / IF(Beastgirl!$D41&lt; 10.8, $Q$4, $Q$4 / (Beastgirl!$D41/ 10.8)),1)</f>
        <v>20</v>
      </c>
      <c r="R20" s="1">
        <f>CEILING(Warrior!$B41 / IF(Warrior!$D41&lt; 10.8, $Q$4, $Q$4 / (Warrior!$D41 / 10.8)),1)</f>
        <v>14</v>
      </c>
      <c r="Y20" s="1">
        <v>39</v>
      </c>
      <c r="Z20" s="1">
        <f>CEILING(Demon!$B41 / IF(Demon!$D41&lt; 10.8, $AB$4, $AB$4 / (Demon!$D41 / 10.8)),1)</f>
        <v>9</v>
      </c>
      <c r="AA20" s="1">
        <f>CEILING(Elf!$B41 / IF(Elf!$D41 &lt; 10.8, $AB$4, $AB$4 / (Elf!$D41 / 10.8)),1)</f>
        <v>10</v>
      </c>
      <c r="AB20" s="1">
        <f>CEILING(Beastgirl!$B41 / IF(Beastgirl!$D41&lt; 10.8, $AB$4, $AB$4 / (Beastgirl!$D41 / 10.8)),1)</f>
        <v>15</v>
      </c>
      <c r="AC20" s="1">
        <f>CEILING(Warrior!$B41 / IF(Warrior!$D41&lt; 10.8, $AB$4, $AB$4 / (Warrior!$D41 / 10.8)),1)</f>
        <v>11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17</v>
      </c>
      <c r="E21" s="1">
        <f>CEILING(Elf!$B42 / IF(Elf!$D42 &lt; 10.8, $F$4, $F$4 / (Elf!$D42 / 10.8)),1)</f>
        <v>20</v>
      </c>
      <c r="F21" s="1">
        <f>CEILING(Beastgirl!$B42/ IF(Beastgirl!$D42&lt; 10.8,$F$4, $F$4 / (Beastgirl!$D42 / 10.8)),1)</f>
        <v>31</v>
      </c>
      <c r="G21" s="1">
        <f>CEILING(Warrior!$B42/ IF(Warrior!$D42&lt; 10.8, $F$4, $F$4 / (Warrior!$D42 / 10.8)),1)</f>
        <v>22</v>
      </c>
      <c r="N21" s="1">
        <v>40</v>
      </c>
      <c r="O21" s="1">
        <f>CEILING(Demon!$B42 / IF(Demon!$D42&lt; 10.8, $Q$4, $Q$4 / (Demon!$D42/ 10.8)),1)</f>
        <v>12</v>
      </c>
      <c r="P21" s="1">
        <f>CEILING(Elf!$B42 / IF(Elf!$D42 &lt; 10.8, $Q$4, $Q$4 / (Elf!$D42 / 10.8)),1)</f>
        <v>13</v>
      </c>
      <c r="Q21" s="1">
        <f>CEILING(Beastgirl!$B42 / IF(Beastgirl!$D42&lt; 10.8, $Q$4, $Q$4 / (Beastgirl!$D42/ 10.8)),1)</f>
        <v>21</v>
      </c>
      <c r="R21" s="1">
        <f>CEILING(Warrior!$B42 / IF(Warrior!$D42&lt; 10.8, $Q$4, $Q$4 / (Warrior!$D42 / 10.8)),1)</f>
        <v>15</v>
      </c>
      <c r="Y21" s="1">
        <v>40</v>
      </c>
      <c r="Z21" s="1">
        <f>CEILING(Demon!$B42 / IF(Demon!$D42&lt; 10.8, $AB$4, $AB$4 / (Demon!$D42 / 10.8)),1)</f>
        <v>9</v>
      </c>
      <c r="AA21" s="1">
        <f>CEILING(Elf!$B42 / IF(Elf!$D42 &lt; 10.8, $AB$4, $AB$4 / (Elf!$D42 / 10.8)),1)</f>
        <v>10</v>
      </c>
      <c r="AB21" s="1">
        <f>CEILING(Beastgirl!$B42 / IF(Beastgirl!$D42&lt; 10.8, $AB$4, $AB$4 / (Beastgirl!$D42 / 10.8)),1)</f>
        <v>16</v>
      </c>
      <c r="AC21" s="1">
        <f>CEILING(Warrior!$B42 / IF(Warrior!$D42&lt; 10.8, $AB$4, $AB$4 / (Warrior!$D42 / 10.8)),1)</f>
        <v>11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18</v>
      </c>
      <c r="E22" s="1">
        <f>CEILING(Elf!$B43 / IF(Elf!$D43 &lt; 10.8, $F$4, $F$4 / (Elf!$D43 / 10.8)),1)</f>
        <v>21</v>
      </c>
      <c r="F22" s="1">
        <f>CEILING(Beastgirl!$B43/ IF(Beastgirl!$D43&lt; 10.8,$F$4, $F$4 / (Beastgirl!$D43 / 10.8)),1)</f>
        <v>32</v>
      </c>
      <c r="G22" s="1">
        <f>CEILING(Warrior!$B43/ IF(Warrior!$D43&lt; 10.8, $F$4, $F$4 / (Warrior!$D43 / 10.8)),1)</f>
        <v>23</v>
      </c>
      <c r="N22" s="1">
        <v>41</v>
      </c>
      <c r="O22" s="1">
        <f>CEILING(Demon!$B43 / IF(Demon!$D43&lt; 10.8, $Q$4, $Q$4 / (Demon!$D43/ 10.8)),1)</f>
        <v>12</v>
      </c>
      <c r="P22" s="1">
        <f>CEILING(Elf!$B43 / IF(Elf!$D43 &lt; 10.8, $Q$4, $Q$4 / (Elf!$D43 / 10.8)),1)</f>
        <v>14</v>
      </c>
      <c r="Q22" s="1">
        <f>CEILING(Beastgirl!$B43 / IF(Beastgirl!$D43&lt; 10.8, $Q$4, $Q$4 / (Beastgirl!$D43/ 10.8)),1)</f>
        <v>22</v>
      </c>
      <c r="R22" s="1">
        <f>CEILING(Warrior!$B43 / IF(Warrior!$D43&lt; 10.8, $Q$4, $Q$4 / (Warrior!$D43 / 10.8)),1)</f>
        <v>16</v>
      </c>
      <c r="Y22" s="1">
        <v>41</v>
      </c>
      <c r="Z22" s="1">
        <f>CEILING(Demon!$B43 / IF(Demon!$D43&lt; 10.8, $AB$4, $AB$4 / (Demon!$D43 / 10.8)),1)</f>
        <v>9</v>
      </c>
      <c r="AA22" s="1">
        <f>CEILING(Elf!$B43 / IF(Elf!$D43 &lt; 10.8, $AB$4, $AB$4 / (Elf!$D43 / 10.8)),1)</f>
        <v>11</v>
      </c>
      <c r="AB22" s="1">
        <f>CEILING(Beastgirl!$B43 / IF(Beastgirl!$D43&lt; 10.8, $AB$4, $AB$4 / (Beastgirl!$D43 / 10.8)),1)</f>
        <v>16</v>
      </c>
      <c r="AC22" s="1">
        <f>CEILING(Warrior!$B43 / IF(Warrior!$D43&lt; 10.8, $AB$4, $AB$4 / (Warrior!$D43 / 10.8)),1)</f>
        <v>12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19</v>
      </c>
      <c r="E23" s="1">
        <f>CEILING(Elf!$B44 / IF(Elf!$D44 &lt; 10.8, $F$4, $F$4 / (Elf!$D44 / 10.8)),1)</f>
        <v>22</v>
      </c>
      <c r="F23" s="1">
        <f>CEILING(Beastgirl!$B44/ IF(Beastgirl!$D44&lt; 10.8,$F$4, $F$4 / (Beastgirl!$D44 / 10.8)),1)</f>
        <v>34</v>
      </c>
      <c r="G23" s="1">
        <f>CEILING(Warrior!$B44/ IF(Warrior!$D44&lt; 10.8, $F$4, $F$4 / (Warrior!$D44 / 10.8)),1)</f>
        <v>24</v>
      </c>
      <c r="N23" s="1">
        <v>42</v>
      </c>
      <c r="O23" s="1">
        <f>CEILING(Demon!$B44 / IF(Demon!$D44&lt; 10.8, $Q$4, $Q$4 / (Demon!$D44/ 10.8)),1)</f>
        <v>13</v>
      </c>
      <c r="P23" s="1">
        <f>CEILING(Elf!$B44 / IF(Elf!$D44 &lt; 10.8, $Q$4, $Q$4 / (Elf!$D44 / 10.8)),1)</f>
        <v>15</v>
      </c>
      <c r="Q23" s="1">
        <f>CEILING(Beastgirl!$B44 / IF(Beastgirl!$D44&lt; 10.8, $Q$4, $Q$4 / (Beastgirl!$D44/ 10.8)),1)</f>
        <v>23</v>
      </c>
      <c r="R23" s="1">
        <f>CEILING(Warrior!$B44 / IF(Warrior!$D44&lt; 10.8, $Q$4, $Q$4 / (Warrior!$D44 / 10.8)),1)</f>
        <v>16</v>
      </c>
      <c r="Y23" s="1">
        <v>42</v>
      </c>
      <c r="Z23" s="1">
        <f>CEILING(Demon!$B44 / IF(Demon!$D44&lt; 10.8, $AB$4, $AB$4 / (Demon!$D44 / 10.8)),1)</f>
        <v>10</v>
      </c>
      <c r="AA23" s="1">
        <f>CEILING(Elf!$B44 / IF(Elf!$D44 &lt; 10.8, $AB$4, $AB$4 / (Elf!$D44 / 10.8)),1)</f>
        <v>11</v>
      </c>
      <c r="AB23" s="1">
        <f>CEILING(Beastgirl!$B44 / IF(Beastgirl!$D44&lt; 10.8, $AB$4, $AB$4 / (Beastgirl!$D44 / 10.8)),1)</f>
        <v>17</v>
      </c>
      <c r="AC23" s="1">
        <f>CEILING(Warrior!$B44 / IF(Warrior!$D44&lt; 10.8, $AB$4, $AB$4 / (Warrior!$D44 / 10.8)),1)</f>
        <v>12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20</v>
      </c>
      <c r="E24" s="1">
        <f>CEILING(Elf!$B45 / IF(Elf!$D45 &lt; 10.8, $F$4, $F$4 / (Elf!$D45 / 10.8)),1)</f>
        <v>23</v>
      </c>
      <c r="F24" s="1">
        <f>CEILING(Beastgirl!$B45/ IF(Beastgirl!$D45&lt; 10.8,$F$4, $F$4 / (Beastgirl!$D45 / 10.8)),1)</f>
        <v>35</v>
      </c>
      <c r="G24" s="1">
        <f>CEILING(Warrior!$B45/ IF(Warrior!$D45&lt; 10.8, $F$4, $F$4 / (Warrior!$D45 / 10.8)),1)</f>
        <v>25</v>
      </c>
      <c r="N24" s="1">
        <v>43</v>
      </c>
      <c r="O24" s="1">
        <f>CEILING(Demon!$B45 / IF(Demon!$D45&lt; 10.8, $Q$4, $Q$4 / (Demon!$D45/ 10.8)),1)</f>
        <v>14</v>
      </c>
      <c r="P24" s="1">
        <f>CEILING(Elf!$B45 / IF(Elf!$D45 &lt; 10.8, $Q$4, $Q$4 / (Elf!$D45 / 10.8)),1)</f>
        <v>15</v>
      </c>
      <c r="Q24" s="1">
        <f>CEILING(Beastgirl!$B45 / IF(Beastgirl!$D45&lt; 10.8, $Q$4, $Q$4 / (Beastgirl!$D45/ 10.8)),1)</f>
        <v>24</v>
      </c>
      <c r="R24" s="1">
        <f>CEILING(Warrior!$B45 / IF(Warrior!$D45&lt; 10.8, $Q$4, $Q$4 / (Warrior!$D45 / 10.8)),1)</f>
        <v>17</v>
      </c>
      <c r="Y24" s="1">
        <v>43</v>
      </c>
      <c r="Z24" s="1">
        <f>CEILING(Demon!$B45 / IF(Demon!$D45&lt; 10.8, $AB$4, $AB$4 / (Demon!$D45 / 10.8)),1)</f>
        <v>10</v>
      </c>
      <c r="AA24" s="1">
        <f>CEILING(Elf!$B45 / IF(Elf!$D45 &lt; 10.8, $AB$4, $AB$4 / (Elf!$D45 / 10.8)),1)</f>
        <v>12</v>
      </c>
      <c r="AB24" s="1">
        <f>CEILING(Beastgirl!$B45 / IF(Beastgirl!$D45&lt; 10.8, $AB$4, $AB$4 / (Beastgirl!$D45 / 10.8)),1)</f>
        <v>18</v>
      </c>
      <c r="AC24" s="1">
        <f>CEILING(Warrior!$B45 / IF(Warrior!$D45&lt; 10.8, $AB$4, $AB$4 / (Warrior!$D45 / 10.8)),1)</f>
        <v>13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21</v>
      </c>
      <c r="E25" s="1">
        <f>CEILING(Elf!$B46 / IF(Elf!$D46 &lt; 10.8, $F$4, $F$4 / (Elf!$D46 / 10.8)),1)</f>
        <v>24</v>
      </c>
      <c r="F25" s="1">
        <f>CEILING(Beastgirl!$B46/ IF(Beastgirl!$D46&lt; 10.8,$F$4, $F$4 / (Beastgirl!$D46 / 10.8)),1)</f>
        <v>37</v>
      </c>
      <c r="G25" s="1">
        <f>CEILING(Warrior!$B46/ IF(Warrior!$D46&lt; 10.8, $F$4, $F$4 / (Warrior!$D46 / 10.8)),1)</f>
        <v>27</v>
      </c>
      <c r="N25" s="1">
        <v>44</v>
      </c>
      <c r="O25" s="1">
        <f>CEILING(Demon!$B46 / IF(Demon!$D46&lt; 10.8, $Q$4, $Q$4 / (Demon!$D46/ 10.8)),1)</f>
        <v>14</v>
      </c>
      <c r="P25" s="1">
        <f>CEILING(Elf!$B46 / IF(Elf!$D46 &lt; 10.8, $Q$4, $Q$4 / (Elf!$D46 / 10.8)),1)</f>
        <v>16</v>
      </c>
      <c r="Q25" s="1">
        <f>CEILING(Beastgirl!$B46 / IF(Beastgirl!$D46&lt; 10.8, $Q$4, $Q$4 / (Beastgirl!$D46/ 10.8)),1)</f>
        <v>25</v>
      </c>
      <c r="R25" s="1">
        <f>CEILING(Warrior!$B46 / IF(Warrior!$D46&lt; 10.8, $Q$4, $Q$4 / (Warrior!$D46 / 10.8)),1)</f>
        <v>18</v>
      </c>
      <c r="Y25" s="1">
        <v>44</v>
      </c>
      <c r="Z25" s="1">
        <f>CEILING(Demon!$B46 / IF(Demon!$D46&lt; 10.8, $AB$4, $AB$4 / (Demon!$D46 / 10.8)),1)</f>
        <v>11</v>
      </c>
      <c r="AA25" s="1">
        <f>CEILING(Elf!$B46 / IF(Elf!$D46 &lt; 10.8, $AB$4, $AB$4 / (Elf!$D46 / 10.8)),1)</f>
        <v>12</v>
      </c>
      <c r="AB25" s="1">
        <f>CEILING(Beastgirl!$B46 / IF(Beastgirl!$D46&lt; 10.8, $AB$4, $AB$4 / (Beastgirl!$D46 / 10.8)),1)</f>
        <v>19</v>
      </c>
      <c r="AC25" s="1">
        <f>CEILING(Warrior!$B46 / IF(Warrior!$D46&lt; 10.8, $AB$4, $AB$4 / (Warrior!$D46 / 10.8)),1)</f>
        <v>14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27</v>
      </c>
      <c r="E26" s="1">
        <f>CEILING(Elf!$B47 / IF(Elf!$D47 &lt; 10.8, $F$4, $F$4 / (Elf!$D47 / 10.8)),1)</f>
        <v>30</v>
      </c>
      <c r="F26" s="1">
        <f>CEILING(Beastgirl!$B47/ IF(Beastgirl!$D47&lt; 10.8,$F$4, $F$4 / (Beastgirl!$D47 / 10.8)),1)</f>
        <v>46</v>
      </c>
      <c r="G26" s="1">
        <f>CEILING(Warrior!$B47/ IF(Warrior!$D47&lt; 10.8, $F$4, $F$4 / (Warrior!$D47 / 10.8)),1)</f>
        <v>33</v>
      </c>
      <c r="N26" s="1">
        <v>45</v>
      </c>
      <c r="O26" s="1">
        <f>CEILING(Demon!$B47 / IF(Demon!$D47&lt; 10.8, $Q$4, $Q$4 / (Demon!$D47/ 10.8)),1)</f>
        <v>18</v>
      </c>
      <c r="P26" s="1">
        <f>CEILING(Elf!$B47 / IF(Elf!$D47 &lt; 10.8, $Q$4, $Q$4 / (Elf!$D47 / 10.8)),1)</f>
        <v>20</v>
      </c>
      <c r="Q26" s="1">
        <f>CEILING(Beastgirl!$B47 / IF(Beastgirl!$D47&lt; 10.8, $Q$4, $Q$4 / (Beastgirl!$D47/ 10.8)),1)</f>
        <v>31</v>
      </c>
      <c r="R26" s="1">
        <f>CEILING(Warrior!$B47 / IF(Warrior!$D47&lt; 10.8, $Q$4, $Q$4 / (Warrior!$D47 / 10.8)),1)</f>
        <v>22</v>
      </c>
      <c r="Y26" s="1">
        <v>45</v>
      </c>
      <c r="Z26" s="1">
        <f>CEILING(Demon!$B47 / IF(Demon!$D47&lt; 10.8, $AB$4, $AB$4 / (Demon!$D47 / 10.8)),1)</f>
        <v>14</v>
      </c>
      <c r="AA26" s="1">
        <f>CEILING(Elf!$B47 / IF(Elf!$D47 &lt; 10.8, $AB$4, $AB$4 / (Elf!$D47 / 10.8)),1)</f>
        <v>15</v>
      </c>
      <c r="AB26" s="1">
        <f>CEILING(Beastgirl!$B47 / IF(Beastgirl!$D47&lt; 10.8, $AB$4, $AB$4 / (Beastgirl!$D47 / 10.8)),1)</f>
        <v>23</v>
      </c>
      <c r="AC26" s="1">
        <f>CEILING(Warrior!$B47 / IF(Warrior!$D47&lt; 10.8, $AB$4, $AB$4 / (Warrior!$D47 / 10.8)),1)</f>
        <v>17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28</v>
      </c>
      <c r="E27" s="1">
        <f>CEILING(Elf!$B48 / IF(Elf!$D48 &lt; 10.8, $F$4, $F$4 / (Elf!$D48 / 10.8)),1)</f>
        <v>31</v>
      </c>
      <c r="F27" s="1">
        <f>CEILING(Beastgirl!$B48/ IF(Beastgirl!$D48&lt; 10.8,$F$4, $F$4 / (Beastgirl!$D48 / 10.8)),1)</f>
        <v>48</v>
      </c>
      <c r="G27" s="1">
        <f>CEILING(Warrior!$B48/ IF(Warrior!$D48&lt; 10.8, $F$4, $F$4 / (Warrior!$D48 / 10.8)),1)</f>
        <v>35</v>
      </c>
      <c r="N27" s="1">
        <v>46</v>
      </c>
      <c r="O27" s="1">
        <f>CEILING(Demon!$B48 / IF(Demon!$D48&lt; 10.8, $Q$4, $Q$4 / (Demon!$D48/ 10.8)),1)</f>
        <v>19</v>
      </c>
      <c r="P27" s="1">
        <f>CEILING(Elf!$B48 / IF(Elf!$D48 &lt; 10.8, $Q$4, $Q$4 / (Elf!$D48 / 10.8)),1)</f>
        <v>21</v>
      </c>
      <c r="Q27" s="1">
        <f>CEILING(Beastgirl!$B48 / IF(Beastgirl!$D48&lt; 10.8, $Q$4, $Q$4 / (Beastgirl!$D48/ 10.8)),1)</f>
        <v>32</v>
      </c>
      <c r="R27" s="1">
        <f>CEILING(Warrior!$B48 / IF(Warrior!$D48&lt; 10.8, $Q$4, $Q$4 / (Warrior!$D48 / 10.8)),1)</f>
        <v>23</v>
      </c>
      <c r="Y27" s="1">
        <v>46</v>
      </c>
      <c r="Z27" s="1">
        <f>CEILING(Demon!$B48 / IF(Demon!$D48&lt; 10.8, $AB$4, $AB$4 / (Demon!$D48 / 10.8)),1)</f>
        <v>14</v>
      </c>
      <c r="AA27" s="1">
        <f>CEILING(Elf!$B48 / IF(Elf!$D48 &lt; 10.8, $AB$4, $AB$4 / (Elf!$D48 / 10.8)),1)</f>
        <v>16</v>
      </c>
      <c r="AB27" s="1">
        <f>CEILING(Beastgirl!$B48 / IF(Beastgirl!$D48&lt; 10.8, $AB$4, $AB$4 / (Beastgirl!$D48 / 10.8)),1)</f>
        <v>24</v>
      </c>
      <c r="AC27" s="1">
        <f>CEILING(Warrior!$B48 / IF(Warrior!$D48&lt; 10.8, $AB$4, $AB$4 / (Warrior!$D48 / 10.8)),1)</f>
        <v>18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29</v>
      </c>
      <c r="E28" s="1">
        <f>CEILING(Elf!$B49 / IF(Elf!$D49 &lt; 10.8, $F$4, $F$4 / (Elf!$D49 / 10.8)),1)</f>
        <v>33</v>
      </c>
      <c r="F28" s="1">
        <f>CEILING(Beastgirl!$B49/ IF(Beastgirl!$D49&lt; 10.8,$F$4, $F$4 / (Beastgirl!$D49 / 10.8)),1)</f>
        <v>50</v>
      </c>
      <c r="G28" s="1">
        <f>CEILING(Warrior!$B49/ IF(Warrior!$D49&lt; 10.8, $F$4, $F$4 / (Warrior!$D49 / 10.8)),1)</f>
        <v>36</v>
      </c>
      <c r="N28" s="1">
        <v>47</v>
      </c>
      <c r="O28" s="1">
        <f>CEILING(Demon!$B49 / IF(Demon!$D49&lt; 10.8, $Q$4, $Q$4 / (Demon!$D49/ 10.8)),1)</f>
        <v>19</v>
      </c>
      <c r="P28" s="1">
        <f>CEILING(Elf!$B49 / IF(Elf!$D49 &lt; 10.8, $Q$4, $Q$4 / (Elf!$D49 / 10.8)),1)</f>
        <v>22</v>
      </c>
      <c r="Q28" s="1">
        <f>CEILING(Beastgirl!$B49 / IF(Beastgirl!$D49&lt; 10.8, $Q$4, $Q$4 / (Beastgirl!$D49/ 10.8)),1)</f>
        <v>33</v>
      </c>
      <c r="R28" s="1">
        <f>CEILING(Warrior!$B49 / IF(Warrior!$D49&lt; 10.8, $Q$4, $Q$4 / (Warrior!$D49 / 10.8)),1)</f>
        <v>24</v>
      </c>
      <c r="Y28" s="1">
        <v>47</v>
      </c>
      <c r="Z28" s="1">
        <f>CEILING(Demon!$B49 / IF(Demon!$D49&lt; 10.8, $AB$4, $AB$4 / (Demon!$D49 / 10.8)),1)</f>
        <v>15</v>
      </c>
      <c r="AA28" s="1">
        <f>CEILING(Elf!$B49 / IF(Elf!$D49 &lt; 10.8, $AB$4, $AB$4 / (Elf!$D49 / 10.8)),1)</f>
        <v>17</v>
      </c>
      <c r="AB28" s="1">
        <f>CEILING(Beastgirl!$B49 / IF(Beastgirl!$D49&lt; 10.8, $AB$4, $AB$4 / (Beastgirl!$D49 / 10.8)),1)</f>
        <v>25</v>
      </c>
      <c r="AC28" s="1">
        <f>CEILING(Warrior!$B49 / IF(Warrior!$D49&lt; 10.8, $AB$4, $AB$4 / (Warrior!$D49 / 10.8)),1)</f>
        <v>18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30</v>
      </c>
      <c r="E29" s="1">
        <f>CEILING(Elf!$B50 / IF(Elf!$D50 &lt; 10.8, $F$4, $F$4 / (Elf!$D50 / 10.8)),1)</f>
        <v>34</v>
      </c>
      <c r="F29" s="1">
        <f>CEILING(Beastgirl!$B50/ IF(Beastgirl!$D50&lt; 10.8,$F$4, $F$4 / (Beastgirl!$D50 / 10.8)),1)</f>
        <v>52</v>
      </c>
      <c r="G29" s="1">
        <f>CEILING(Warrior!$B50/ IF(Warrior!$D50&lt; 10.8, $F$4, $F$4 / (Warrior!$D50 / 10.8)),1)</f>
        <v>37</v>
      </c>
      <c r="N29" s="1">
        <v>48</v>
      </c>
      <c r="O29" s="1">
        <f>CEILING(Demon!$B50 / IF(Demon!$D50&lt; 10.8, $Q$4, $Q$4 / (Demon!$D50/ 10.8)),1)</f>
        <v>20</v>
      </c>
      <c r="P29" s="1">
        <f>CEILING(Elf!$B50 / IF(Elf!$D50 &lt; 10.8, $Q$4, $Q$4 / (Elf!$D50 / 10.8)),1)</f>
        <v>23</v>
      </c>
      <c r="Q29" s="1">
        <f>CEILING(Beastgirl!$B50 / IF(Beastgirl!$D50&lt; 10.8, $Q$4, $Q$4 / (Beastgirl!$D50/ 10.8)),1)</f>
        <v>35</v>
      </c>
      <c r="R29" s="1">
        <f>CEILING(Warrior!$B50 / IF(Warrior!$D50&lt; 10.8, $Q$4, $Q$4 / (Warrior!$D50 / 10.8)),1)</f>
        <v>25</v>
      </c>
      <c r="Y29" s="1">
        <v>48</v>
      </c>
      <c r="Z29" s="1">
        <f>CEILING(Demon!$B50 / IF(Demon!$D50&lt; 10.8, $AB$4, $AB$4 / (Demon!$D50 / 10.8)),1)</f>
        <v>15</v>
      </c>
      <c r="AA29" s="1">
        <f>CEILING(Elf!$B50 / IF(Elf!$D50 &lt; 10.8, $AB$4, $AB$4 / (Elf!$D50 / 10.8)),1)</f>
        <v>17</v>
      </c>
      <c r="AB29" s="1">
        <f>CEILING(Beastgirl!$B50 / IF(Beastgirl!$D50&lt; 10.8, $AB$4, $AB$4 / (Beastgirl!$D50 / 10.8)),1)</f>
        <v>26</v>
      </c>
      <c r="AC29" s="1">
        <f>CEILING(Warrior!$B50 / IF(Warrior!$D50&lt; 10.8, $AB$4, $AB$4 / (Warrior!$D50 / 10.8)),1)</f>
        <v>19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31</v>
      </c>
      <c r="E30" s="1">
        <f>CEILING(Elf!$B51 / IF(Elf!$D51 &lt; 10.8, $F$4, $F$4 / (Elf!$D51 / 10.8)),1)</f>
        <v>35</v>
      </c>
      <c r="F30" s="1">
        <f>CEILING(Beastgirl!$B51/ IF(Beastgirl!$D51&lt; 10.8,$F$4, $F$4 / (Beastgirl!$D51 / 10.8)),1)</f>
        <v>54</v>
      </c>
      <c r="G30" s="1">
        <f>CEILING(Warrior!$B51/ IF(Warrior!$D51&lt; 10.8, $F$4, $F$4 / (Warrior!$D51 / 10.8)),1)</f>
        <v>39</v>
      </c>
      <c r="N30" s="1">
        <v>49</v>
      </c>
      <c r="O30" s="1">
        <f>CEILING(Demon!$B51 / IF(Demon!$D51&lt; 10.8, $Q$4, $Q$4 / (Demon!$D51/ 10.8)),1)</f>
        <v>21</v>
      </c>
      <c r="P30" s="1">
        <f>CEILING(Elf!$B51 / IF(Elf!$D51 &lt; 10.8, $Q$4, $Q$4 / (Elf!$D51 / 10.8)),1)</f>
        <v>24</v>
      </c>
      <c r="Q30" s="1">
        <f>CEILING(Beastgirl!$B51 / IF(Beastgirl!$D51&lt; 10.8, $Q$4, $Q$4 / (Beastgirl!$D51/ 10.8)),1)</f>
        <v>36</v>
      </c>
      <c r="R30" s="1">
        <f>CEILING(Warrior!$B51 / IF(Warrior!$D51&lt; 10.8, $Q$4, $Q$4 / (Warrior!$D51 / 10.8)),1)</f>
        <v>26</v>
      </c>
      <c r="Y30" s="1">
        <v>49</v>
      </c>
      <c r="Z30" s="1">
        <f>CEILING(Demon!$B51 / IF(Demon!$D51&lt; 10.8, $AB$4, $AB$4 / (Demon!$D51 / 10.8)),1)</f>
        <v>16</v>
      </c>
      <c r="AA30" s="1">
        <f>CEILING(Elf!$B51 / IF(Elf!$D51 &lt; 10.8, $AB$4, $AB$4 / (Elf!$D51 / 10.8)),1)</f>
        <v>18</v>
      </c>
      <c r="AB30" s="1">
        <f>CEILING(Beastgirl!$B51 / IF(Beastgirl!$D51&lt; 10.8, $AB$4, $AB$4 / (Beastgirl!$D51 / 10.8)),1)</f>
        <v>27</v>
      </c>
      <c r="AC30" s="1">
        <f>CEILING(Warrior!$B51 / IF(Warrior!$D51&lt; 10.8, $AB$4, $AB$4 / (Warrior!$D51 / 10.8)),1)</f>
        <v>20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32</v>
      </c>
      <c r="E31" s="1">
        <f>CEILING(Elf!$B52 / IF(Elf!$D52 &lt; 10.8, $F$4, $F$4 / (Elf!$D52 / 10.8)),1)</f>
        <v>37</v>
      </c>
      <c r="F31" s="1">
        <f>CEILING(Beastgirl!$B52/ IF(Beastgirl!$D52&lt; 10.8,$F$4, $F$4 / (Beastgirl!$D52 / 10.8)),1)</f>
        <v>56</v>
      </c>
      <c r="G31" s="1">
        <f>CEILING(Warrior!$B52/ IF(Warrior!$D52&lt; 10.8, $F$4, $F$4 / (Warrior!$D52 / 10.8)),1)</f>
        <v>40</v>
      </c>
      <c r="N31" s="1">
        <v>50</v>
      </c>
      <c r="O31" s="1">
        <f>CEILING(Demon!$B52 / IF(Demon!$D52&lt; 10.8, $Q$4, $Q$4 / (Demon!$D52/ 10.8)),1)</f>
        <v>22</v>
      </c>
      <c r="P31" s="1">
        <f>CEILING(Elf!$B52 / IF(Elf!$D52 &lt; 10.8, $Q$4, $Q$4 / (Elf!$D52 / 10.8)),1)</f>
        <v>25</v>
      </c>
      <c r="Q31" s="1">
        <f>CEILING(Beastgirl!$B52 / IF(Beastgirl!$D52&lt; 10.8, $Q$4, $Q$4 / (Beastgirl!$D52/ 10.8)),1)</f>
        <v>38</v>
      </c>
      <c r="R31" s="1">
        <f>CEILING(Warrior!$B52 / IF(Warrior!$D52&lt; 10.8, $Q$4, $Q$4 / (Warrior!$D52 / 10.8)),1)</f>
        <v>27</v>
      </c>
      <c r="Y31" s="1">
        <v>50</v>
      </c>
      <c r="Z31" s="1">
        <f>CEILING(Demon!$B52 / IF(Demon!$D52&lt; 10.8, $AB$4, $AB$4 / (Demon!$D52 / 10.8)),1)</f>
        <v>16</v>
      </c>
      <c r="AA31" s="1">
        <f>CEILING(Elf!$B52 / IF(Elf!$D52 &lt; 10.8, $AB$4, $AB$4 / (Elf!$D52 / 10.8)),1)</f>
        <v>19</v>
      </c>
      <c r="AB31" s="1">
        <f>CEILING(Beastgirl!$B52 / IF(Beastgirl!$D52&lt; 10.8, $AB$4, $AB$4 / (Beastgirl!$D52 / 10.8)),1)</f>
        <v>28</v>
      </c>
      <c r="AC31" s="1">
        <f>CEILING(Warrior!$B52 / IF(Warrior!$D52&lt; 10.8, $AB$4, $AB$4 / (Warrior!$D52 / 10.8)),1)</f>
        <v>20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53" t="s">
        <v>71</v>
      </c>
      <c r="D33" s="53"/>
      <c r="E33" s="53"/>
      <c r="F33" s="53"/>
      <c r="G33" s="53"/>
      <c r="I33" s="4"/>
      <c r="J33" s="4"/>
      <c r="K33" s="4"/>
      <c r="L33" s="4"/>
      <c r="M33" s="4"/>
      <c r="N33" s="53" t="s">
        <v>71</v>
      </c>
      <c r="O33" s="53"/>
      <c r="P33" s="53"/>
      <c r="Q33" s="53"/>
      <c r="R33" s="53"/>
      <c r="S33" s="4"/>
      <c r="T33" s="4"/>
      <c r="U33" s="4"/>
      <c r="W33" s="4"/>
      <c r="X33" s="4"/>
      <c r="Y33" s="53" t="s">
        <v>71</v>
      </c>
      <c r="Z33" s="53"/>
      <c r="AA33" s="53"/>
      <c r="AB33" s="53"/>
      <c r="AC33" s="53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9</v>
      </c>
      <c r="E35" s="1">
        <f>CEILING(Elf!$B33 / IF(Elf!$D33 &lt; 10.8, $F$5,$F$5 / (Elf!$D33 / 10.8)),1)</f>
        <v>9</v>
      </c>
      <c r="F35" s="1">
        <f>CEILING(Beastgirl!$B33 / IF(Beastgirl!$D33&lt; 10.8, $F$5, $F$5 / (Beastgirl!$D33 / 10.8)),1)</f>
        <v>15</v>
      </c>
      <c r="G35" s="1">
        <f>CEILING(Warrior!$B33 / IF(Warrior!$D33&lt; 10.8, $F$5, $F$5 / (Warrior!$D33 / 10.8)),1)</f>
        <v>11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6</v>
      </c>
      <c r="P35" s="1">
        <f>CEILING(Elf!$B33/ IF(Elf!$D33 &lt; 10.8, $Q$5, $Q$5 / (Elf!$D33 / 10.8)),1)</f>
        <v>6</v>
      </c>
      <c r="Q35" s="1">
        <f>CEILING(Beastgirl!$B33 / IF(Beastgirl!$D33&lt; 10.8, $Q$5, $Q$5 / (Beastgirl!$D33 / 10.8)),1)</f>
        <v>10</v>
      </c>
      <c r="R35" s="1">
        <f>CEILING(Warrior!$B33 / IF(Warrior!$D33&lt; 10.8, $Q$5, $Q$5 / (Warrior!$D33 / 10.8)),1)</f>
        <v>7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5</v>
      </c>
      <c r="AA35" s="1">
        <f>CEILING(Elf!$B33 / IF(Elf!$D33 &lt; 10.8, $AB$5, $AB$5 / (Elf!$D33 / 10.8)),1)</f>
        <v>5</v>
      </c>
      <c r="AB35" s="1">
        <f>CEILING(Beastgirl!$B33 / IF(Beastgirl!$D33&lt; 10.8, $AB$5, $AB$5 / (Beastgirl!$D33 / 10.8)),1)</f>
        <v>8</v>
      </c>
      <c r="AC35" s="1">
        <f>CEILING(Warrior!$B33 / IF(Warrior!$D33&lt; 10.8, $AB$5, $AB$5 / (Warrior!$D33 / 10.8)),1)</f>
        <v>6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9</v>
      </c>
      <c r="E36" s="1">
        <f>CEILING(Elf!$B34 / IF(Elf!$D34 &lt; 10.8, $F$5,$F$5 / (Elf!$D34 / 10.8)),1)</f>
        <v>10</v>
      </c>
      <c r="F36" s="1">
        <f>CEILING(Beastgirl!$B34 / IF(Beastgirl!$D34&lt; 10.8, $F$5, $F$5 / (Beastgirl!$D34 / 10.8)),1)</f>
        <v>16</v>
      </c>
      <c r="G36" s="1">
        <f>CEILING(Warrior!$B34 / IF(Warrior!$D34&lt; 10.8, $F$5, $F$5 / (Warrior!$D34 / 10.8)),1)</f>
        <v>12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6</v>
      </c>
      <c r="P36" s="1">
        <f>CEILING(Elf!$B34/ IF(Elf!$D34 &lt; 10.8, $Q$5, $Q$5 / (Elf!$D34 / 10.8)),1)</f>
        <v>7</v>
      </c>
      <c r="Q36" s="1">
        <f>CEILING(Beastgirl!$B34 / IF(Beastgirl!$D34&lt; 10.8, $Q$5, $Q$5 / (Beastgirl!$D34 / 10.8)),1)</f>
        <v>11</v>
      </c>
      <c r="R36" s="1">
        <f>CEILING(Warrior!$B34 / IF(Warrior!$D34&lt; 10.8, $Q$5, $Q$5 / (Warrior!$D34 / 10.8)),1)</f>
        <v>8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5</v>
      </c>
      <c r="AA36" s="1">
        <f>CEILING(Elf!$B34 / IF(Elf!$D34 &lt; 10.8, $AB$5, $AB$5 / (Elf!$D34 / 10.8)),1)</f>
        <v>5</v>
      </c>
      <c r="AB36" s="1">
        <f>CEILING(Beastgirl!$B34 / IF(Beastgirl!$D34&lt; 10.8, $AB$5, $AB$5 / (Beastgirl!$D34 / 10.8)),1)</f>
        <v>8</v>
      </c>
      <c r="AC36" s="1">
        <f>CEILING(Warrior!$B34 / IF(Warrior!$D34&lt; 10.8, $AB$5, $AB$5 / (Warrior!$D34 / 10.8)),1)</f>
        <v>6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10</v>
      </c>
      <c r="E37" s="1">
        <f>CEILING(Elf!$B35 / IF(Elf!$D35 &lt; 10.8, $F$5,$F$5 / (Elf!$D35 / 10.8)),1)</f>
        <v>11</v>
      </c>
      <c r="F37" s="1">
        <f>CEILING(Beastgirl!$B35 / IF(Beastgirl!$D35&lt; 10.8, $F$5, $F$5 / (Beastgirl!$D35 / 10.8)),1)</f>
        <v>17</v>
      </c>
      <c r="G37" s="1">
        <f>CEILING(Warrior!$B35 / IF(Warrior!$D35&lt; 10.8, $F$5, $F$5 / (Warrior!$D35 / 10.8)),1)</f>
        <v>12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7</v>
      </c>
      <c r="P37" s="1">
        <f>CEILING(Elf!$B35/ IF(Elf!$D35 &lt; 10.8, $Q$5, $Q$5 / (Elf!$D35 / 10.8)),1)</f>
        <v>7</v>
      </c>
      <c r="Q37" s="1">
        <f>CEILING(Beastgirl!$B35 / IF(Beastgirl!$D35&lt; 10.8, $Q$5, $Q$5 / (Beastgirl!$D35 / 10.8)),1)</f>
        <v>12</v>
      </c>
      <c r="R37" s="1">
        <f>CEILING(Warrior!$B35 / IF(Warrior!$D35&lt; 10.8, $Q$5, $Q$5 / (Warrior!$D35 / 10.8)),1)</f>
        <v>8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5</v>
      </c>
      <c r="AA37" s="1">
        <f>CEILING(Elf!$B35 / IF(Elf!$D35 &lt; 10.8, $AB$5, $AB$5 / (Elf!$D35 / 10.8)),1)</f>
        <v>6</v>
      </c>
      <c r="AB37" s="1">
        <f>CEILING(Beastgirl!$B35 / IF(Beastgirl!$D35&lt; 10.8, $AB$5, $AB$5 / (Beastgirl!$D35 / 10.8)),1)</f>
        <v>9</v>
      </c>
      <c r="AC37" s="1">
        <f>CEILING(Warrior!$B35 / IF(Warrior!$D35&lt; 10.8, $AB$5, $AB$5 / (Warrior!$D35 / 10.8)),1)</f>
        <v>6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10</v>
      </c>
      <c r="E38" s="1">
        <f>CEILING(Elf!$B36 / IF(Elf!$D36 &lt; 10.8, $F$5,$F$5 / (Elf!$D36 / 10.8)),1)</f>
        <v>11</v>
      </c>
      <c r="F38" s="1">
        <f>CEILING(Beastgirl!$B36 / IF(Beastgirl!$D36&lt; 10.8, $F$5, $F$5 / (Beastgirl!$D36 / 10.8)),1)</f>
        <v>18</v>
      </c>
      <c r="G38" s="1">
        <f>CEILING(Warrior!$B36 / IF(Warrior!$D36&lt; 10.8, $F$5, $F$5 / (Warrior!$D36 / 10.8)),1)</f>
        <v>13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7</v>
      </c>
      <c r="P38" s="1">
        <f>CEILING(Elf!$B36/ IF(Elf!$D36 &lt; 10.8, $Q$5, $Q$5 / (Elf!$D36 / 10.8)),1)</f>
        <v>8</v>
      </c>
      <c r="Q38" s="1">
        <f>CEILING(Beastgirl!$B36 / IF(Beastgirl!$D36&lt; 10.8, $Q$5, $Q$5 / (Beastgirl!$D36 / 10.8)),1)</f>
        <v>12</v>
      </c>
      <c r="R38" s="1">
        <f>CEILING(Warrior!$B36 / IF(Warrior!$D36&lt; 10.8, $Q$5, $Q$5 / (Warrior!$D36 / 10.8)),1)</f>
        <v>9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5</v>
      </c>
      <c r="AA38" s="1">
        <f>CEILING(Elf!$B36 / IF(Elf!$D36 &lt; 10.8, $AB$5, $AB$5 / (Elf!$D36 / 10.8)),1)</f>
        <v>6</v>
      </c>
      <c r="AB38" s="1">
        <f>CEILING(Beastgirl!$B36 / IF(Beastgirl!$D36&lt; 10.8, $AB$5, $AB$5 / (Beastgirl!$D36 / 10.8)),1)</f>
        <v>9</v>
      </c>
      <c r="AC38" s="1">
        <f>CEILING(Warrior!$B36 / IF(Warrior!$D36&lt; 10.8, $AB$5, $AB$5 / (Warrior!$D36 / 10.8)),1)</f>
        <v>7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13</v>
      </c>
      <c r="E39" s="1">
        <f>CEILING(Elf!$B37 / IF(Elf!$D37 &lt; 10.8, $F$5,$F$5 / (Elf!$D37 / 10.8)),1)</f>
        <v>15</v>
      </c>
      <c r="F39" s="1">
        <f>CEILING(Beastgirl!$B37 / IF(Beastgirl!$D37&lt; 10.8, $F$5, $F$5 / (Beastgirl!$D37 / 10.8)),1)</f>
        <v>24</v>
      </c>
      <c r="G39" s="1">
        <f>CEILING(Warrior!$B37 / IF(Warrior!$D37&lt; 10.8, $F$5, $F$5 / (Warrior!$D37 / 10.8)),1)</f>
        <v>17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9</v>
      </c>
      <c r="P39" s="1">
        <f>CEILING(Elf!$B37/ IF(Elf!$D37 &lt; 10.8, $Q$5, $Q$5 / (Elf!$D37 / 10.8)),1)</f>
        <v>10</v>
      </c>
      <c r="Q39" s="1">
        <f>CEILING(Beastgirl!$B37 / IF(Beastgirl!$D37&lt; 10.8, $Q$5, $Q$5 / (Beastgirl!$D37 / 10.8)),1)</f>
        <v>16</v>
      </c>
      <c r="R39" s="1">
        <f>CEILING(Warrior!$B37 / IF(Warrior!$D37&lt; 10.8, $Q$5, $Q$5 / (Warrior!$D37 / 10.8)),1)</f>
        <v>12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7</v>
      </c>
      <c r="AA39" s="1">
        <f>CEILING(Elf!$B37 / IF(Elf!$D37 &lt; 10.8, $AB$5, $AB$5 / (Elf!$D37 / 10.8)),1)</f>
        <v>8</v>
      </c>
      <c r="AB39" s="1">
        <f>CEILING(Beastgirl!$B37 / IF(Beastgirl!$D37&lt; 10.8, $AB$5, $AB$5 / (Beastgirl!$D37 / 10.8)),1)</f>
        <v>12</v>
      </c>
      <c r="AC39" s="1">
        <f>CEILING(Warrior!$B37 / IF(Warrior!$D37&lt; 10.8, $AB$5, $AB$5 / (Warrior!$D37 / 10.8)),1)</f>
        <v>9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14</v>
      </c>
      <c r="E40" s="1">
        <f>CEILING(Elf!$B38 / IF(Elf!$D38 &lt; 10.8, $F$5,$F$5 / (Elf!$D38 / 10.8)),1)</f>
        <v>16</v>
      </c>
      <c r="F40" s="1">
        <f>CEILING(Beastgirl!$B38 / IF(Beastgirl!$D38&lt; 10.8, $F$5, $F$5 / (Beastgirl!$D38 / 10.8)),1)</f>
        <v>25</v>
      </c>
      <c r="G40" s="1">
        <f>CEILING(Warrior!$B38 / IF(Warrior!$D38&lt; 10.8, $F$5, $F$5 / (Warrior!$D38 / 10.8)),1)</f>
        <v>18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10</v>
      </c>
      <c r="P40" s="1">
        <f>CEILING(Elf!$B38/ IF(Elf!$D38 &lt; 10.8, $Q$5, $Q$5 / (Elf!$D38 / 10.8)),1)</f>
        <v>11</v>
      </c>
      <c r="Q40" s="1">
        <f>CEILING(Beastgirl!$B38 / IF(Beastgirl!$D38&lt; 10.8, $Q$5, $Q$5 / (Beastgirl!$D38 / 10.8)),1)</f>
        <v>17</v>
      </c>
      <c r="R40" s="1">
        <f>CEILING(Warrior!$B38 / IF(Warrior!$D38&lt; 10.8, $Q$5, $Q$5 / (Warrior!$D38 / 10.8)),1)</f>
        <v>12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7</v>
      </c>
      <c r="AA40" s="1">
        <f>CEILING(Elf!$B38 / IF(Elf!$D38 &lt; 10.8, $AB$5, $AB$5 / (Elf!$D38 / 10.8)),1)</f>
        <v>8</v>
      </c>
      <c r="AB40" s="1">
        <f>CEILING(Beastgirl!$B38 / IF(Beastgirl!$D38&lt; 10.8, $AB$5, $AB$5 / (Beastgirl!$D38 / 10.8)),1)</f>
        <v>13</v>
      </c>
      <c r="AC40" s="1">
        <f>CEILING(Warrior!$B38 / IF(Warrior!$D38&lt; 10.8, $AB$5, $AB$5 / (Warrior!$D38 / 10.8)),1)</f>
        <v>9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15</v>
      </c>
      <c r="E41" s="1">
        <f>CEILING(Elf!$B39 / IF(Elf!$D39 &lt; 10.8, $F$5,$F$5 / (Elf!$D39 / 10.8)),1)</f>
        <v>17</v>
      </c>
      <c r="F41" s="1">
        <f>CEILING(Beastgirl!$B39 / IF(Beastgirl!$D39&lt; 10.8, $F$5, $F$5 / (Beastgirl!$D39 / 10.8)),1)</f>
        <v>26</v>
      </c>
      <c r="G41" s="1">
        <f>CEILING(Warrior!$B39 / IF(Warrior!$D39&lt; 10.8, $F$5, $F$5 / (Warrior!$D39 / 10.8)),1)</f>
        <v>19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10</v>
      </c>
      <c r="P41" s="1">
        <f>CEILING(Elf!$B39/ IF(Elf!$D39 &lt; 10.8, $Q$5, $Q$5 / (Elf!$D39 / 10.8)),1)</f>
        <v>11</v>
      </c>
      <c r="Q41" s="1">
        <f>CEILING(Beastgirl!$B39 / IF(Beastgirl!$D39&lt; 10.8, $Q$5, $Q$5 / (Beastgirl!$D39 / 10.8)),1)</f>
        <v>18</v>
      </c>
      <c r="R41" s="1">
        <f>CEILING(Warrior!$B39 / IF(Warrior!$D39&lt; 10.8, $Q$5, $Q$5 / (Warrior!$D39 / 10.8)),1)</f>
        <v>13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8</v>
      </c>
      <c r="AA41" s="1">
        <f>CEILING(Elf!$B39 / IF(Elf!$D39 &lt; 10.8, $AB$5, $AB$5 / (Elf!$D39 / 10.8)),1)</f>
        <v>9</v>
      </c>
      <c r="AB41" s="1">
        <f>CEILING(Beastgirl!$B39 / IF(Beastgirl!$D39&lt; 10.8, $AB$5, $AB$5 / (Beastgirl!$D39 / 10.8)),1)</f>
        <v>13</v>
      </c>
      <c r="AC41" s="1">
        <f>CEILING(Warrior!$B39 / IF(Warrior!$D39&lt; 10.8, $AB$5, $AB$5 / (Warrior!$D39 / 10.8)),1)</f>
        <v>10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15</v>
      </c>
      <c r="E42" s="1">
        <f>CEILING(Elf!$B40 / IF(Elf!$D40 &lt; 10.8, $F$5,$F$5 / (Elf!$D40 / 10.8)),1)</f>
        <v>18</v>
      </c>
      <c r="F42" s="1">
        <f>CEILING(Beastgirl!$B40 / IF(Beastgirl!$D40&lt; 10.8, $F$5, $F$5 / (Beastgirl!$D40 / 10.8)),1)</f>
        <v>27</v>
      </c>
      <c r="G42" s="1">
        <f>CEILING(Warrior!$B40 / IF(Warrior!$D40&lt; 10.8, $F$5, $F$5 / (Warrior!$D40 / 10.8)),1)</f>
        <v>20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10</v>
      </c>
      <c r="P42" s="1">
        <f>CEILING(Elf!$B40/ IF(Elf!$D40 &lt; 10.8, $Q$5, $Q$5 / (Elf!$D40 / 10.8)),1)</f>
        <v>12</v>
      </c>
      <c r="Q42" s="1">
        <f>CEILING(Beastgirl!$B40 / IF(Beastgirl!$D40&lt; 10.8, $Q$5, $Q$5 / (Beastgirl!$D40 / 10.8)),1)</f>
        <v>18</v>
      </c>
      <c r="R42" s="1">
        <f>CEILING(Warrior!$B40 / IF(Warrior!$D40&lt; 10.8, $Q$5, $Q$5 / (Warrior!$D40 / 10.8)),1)</f>
        <v>13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8</v>
      </c>
      <c r="AA42" s="1">
        <f>CEILING(Elf!$B40 / IF(Elf!$D40 &lt; 10.8, $AB$5, $AB$5 / (Elf!$D40 / 10.8)),1)</f>
        <v>9</v>
      </c>
      <c r="AB42" s="1">
        <f>CEILING(Beastgirl!$B40 / IF(Beastgirl!$D40&lt; 10.8, $AB$5, $AB$5 / (Beastgirl!$D40 / 10.8)),1)</f>
        <v>14</v>
      </c>
      <c r="AC42" s="1">
        <f>CEILING(Warrior!$B40 / IF(Warrior!$D40&lt; 10.8, $AB$5, $AB$5 / (Warrior!$D40 / 10.8)),1)</f>
        <v>10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16</v>
      </c>
      <c r="E43" s="1">
        <f>CEILING(Elf!$B41 / IF(Elf!$D41 &lt; 10.8, $F$5,$F$5 / (Elf!$D41 / 10.8)),1)</f>
        <v>18</v>
      </c>
      <c r="F43" s="1">
        <f>CEILING(Beastgirl!$B41 / IF(Beastgirl!$D41&lt; 10.8, $F$5, $F$5 / (Beastgirl!$D41 / 10.8)),1)</f>
        <v>29</v>
      </c>
      <c r="G43" s="1">
        <f>CEILING(Warrior!$B41 / IF(Warrior!$D41&lt; 10.8, $F$5, $F$5 / (Warrior!$D41 / 10.8)),1)</f>
        <v>21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11</v>
      </c>
      <c r="P43" s="1">
        <f>CEILING(Elf!$B41/ IF(Elf!$D41 &lt; 10.8, $Q$5, $Q$5 / (Elf!$D41 / 10.8)),1)</f>
        <v>12</v>
      </c>
      <c r="Q43" s="1">
        <f>CEILING(Beastgirl!$B41 / IF(Beastgirl!$D41&lt; 10.8, $Q$5, $Q$5 / (Beastgirl!$D41 / 10.8)),1)</f>
        <v>19</v>
      </c>
      <c r="R43" s="1">
        <f>CEILING(Warrior!$B41 / IF(Warrior!$D41&lt; 10.8, $Q$5, $Q$5 / (Warrior!$D41 / 10.8)),1)</f>
        <v>14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8</v>
      </c>
      <c r="AA43" s="1">
        <f>CEILING(Elf!$B41 / IF(Elf!$D41 &lt; 10.8, $AB$5, $AB$5 / (Elf!$D41 / 10.8)),1)</f>
        <v>9</v>
      </c>
      <c r="AB43" s="1">
        <f>CEILING(Beastgirl!$B41 / IF(Beastgirl!$D41&lt; 10.8, $AB$5, $AB$5 / (Beastgirl!$D41 / 10.8)),1)</f>
        <v>15</v>
      </c>
      <c r="AC43" s="1">
        <f>CEILING(Warrior!$B41 / IF(Warrior!$D41&lt; 10.8, $AB$5, $AB$5 / (Warrior!$D41 / 10.8)),1)</f>
        <v>11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17</v>
      </c>
      <c r="E44" s="1">
        <f>CEILING(Elf!$B42 / IF(Elf!$D42 &lt; 10.8, $F$5,$F$5 / (Elf!$D42 / 10.8)),1)</f>
        <v>19</v>
      </c>
      <c r="F44" s="1">
        <f>CEILING(Beastgirl!$B42 / IF(Beastgirl!$D42&lt; 10.8, $F$5, $F$5 / (Beastgirl!$D42 / 10.8)),1)</f>
        <v>30</v>
      </c>
      <c r="G44" s="1">
        <f>CEILING(Warrior!$B42 / IF(Warrior!$D42&lt; 10.8, $F$5, $F$5 / (Warrior!$D42 / 10.8)),1)</f>
        <v>22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12</v>
      </c>
      <c r="P44" s="1">
        <f>CEILING(Elf!$B42/ IF(Elf!$D42 &lt; 10.8, $Q$5, $Q$5 / (Elf!$D42 / 10.8)),1)</f>
        <v>13</v>
      </c>
      <c r="Q44" s="1">
        <f>CEILING(Beastgirl!$B42 / IF(Beastgirl!$D42&lt; 10.8, $Q$5, $Q$5 / (Beastgirl!$D42 / 10.8)),1)</f>
        <v>20</v>
      </c>
      <c r="R44" s="1">
        <f>CEILING(Warrior!$B42 / IF(Warrior!$D42&lt; 10.8, $Q$5, $Q$5 / (Warrior!$D42 / 10.8)),1)</f>
        <v>15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9</v>
      </c>
      <c r="AA44" s="1">
        <f>CEILING(Elf!$B42 / IF(Elf!$D42 &lt; 10.8, $AB$5, $AB$5 / (Elf!$D42 / 10.8)),1)</f>
        <v>10</v>
      </c>
      <c r="AB44" s="1">
        <f>CEILING(Beastgirl!$B42 / IF(Beastgirl!$D42&lt; 10.8, $AB$5, $AB$5 / (Beastgirl!$D42 / 10.8)),1)</f>
        <v>15</v>
      </c>
      <c r="AC44" s="1">
        <f>CEILING(Warrior!$B42 / IF(Warrior!$D42&lt; 10.8, $AB$5, $AB$5 / (Warrior!$D42 / 10.8)),1)</f>
        <v>11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18</v>
      </c>
      <c r="E45" s="1">
        <f>CEILING(Elf!$B43 / IF(Elf!$D43 &lt; 10.8, $F$5,$F$5 / (Elf!$D43 / 10.8)),1)</f>
        <v>20</v>
      </c>
      <c r="F45" s="1">
        <f>CEILING(Beastgirl!$B43 / IF(Beastgirl!$D43&lt; 10.8, $F$5, $F$5 / (Beastgirl!$D43 / 10.8)),1)</f>
        <v>31</v>
      </c>
      <c r="G45" s="1">
        <f>CEILING(Warrior!$B43 / IF(Warrior!$D43&lt; 10.8, $F$5, $F$5 / (Warrior!$D43 / 10.8)),1)</f>
        <v>23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12</v>
      </c>
      <c r="P45" s="1">
        <f>CEILING(Elf!$B43/ IF(Elf!$D43 &lt; 10.8, $Q$5, $Q$5 / (Elf!$D43 / 10.8)),1)</f>
        <v>14</v>
      </c>
      <c r="Q45" s="1">
        <f>CEILING(Beastgirl!$B43 / IF(Beastgirl!$D43&lt; 10.8, $Q$5, $Q$5 / (Beastgirl!$D43 / 10.8)),1)</f>
        <v>21</v>
      </c>
      <c r="R45" s="1">
        <f>CEILING(Warrior!$B43 / IF(Warrior!$D43&lt; 10.8, $Q$5, $Q$5 / (Warrior!$D43 / 10.8)),1)</f>
        <v>15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9</v>
      </c>
      <c r="AA45" s="1">
        <f>CEILING(Elf!$B43 / IF(Elf!$D43 &lt; 10.8, $AB$5, $AB$5 / (Elf!$D43 / 10.8)),1)</f>
        <v>10</v>
      </c>
      <c r="AB45" s="1">
        <f>CEILING(Beastgirl!$B43 / IF(Beastgirl!$D43&lt; 10.8, $AB$5, $AB$5 / (Beastgirl!$D43 / 10.8)),1)</f>
        <v>16</v>
      </c>
      <c r="AC45" s="1">
        <f>CEILING(Warrior!$B43 / IF(Warrior!$D43&lt; 10.8, $AB$5, $AB$5 / (Warrior!$D43 / 10.8)),1)</f>
        <v>12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19</v>
      </c>
      <c r="E46" s="1">
        <f>CEILING(Elf!$B44 / IF(Elf!$D44 &lt; 10.8, $F$5,$F$5 / (Elf!$D44 / 10.8)),1)</f>
        <v>21</v>
      </c>
      <c r="F46" s="1">
        <f>CEILING(Beastgirl!$B44 / IF(Beastgirl!$D44&lt; 10.8, $F$5, $F$5 / (Beastgirl!$D44 / 10.8)),1)</f>
        <v>33</v>
      </c>
      <c r="G46" s="1">
        <f>CEILING(Warrior!$B44 / IF(Warrior!$D44&lt; 10.8, $F$5, $F$5 / (Warrior!$D44 / 10.8)),1)</f>
        <v>24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13</v>
      </c>
      <c r="P46" s="1">
        <f>CEILING(Elf!$B44/ IF(Elf!$D44 &lt; 10.8, $Q$5, $Q$5 / (Elf!$D44 / 10.8)),1)</f>
        <v>14</v>
      </c>
      <c r="Q46" s="1">
        <f>CEILING(Beastgirl!$B44 / IF(Beastgirl!$D44&lt; 10.8, $Q$5, $Q$5 / (Beastgirl!$D44 / 10.8)),1)</f>
        <v>22</v>
      </c>
      <c r="R46" s="1">
        <f>CEILING(Warrior!$B44 / IF(Warrior!$D44&lt; 10.8, $Q$5, $Q$5 / (Warrior!$D44 / 10.8)),1)</f>
        <v>16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10</v>
      </c>
      <c r="AA46" s="1">
        <f>CEILING(Elf!$B44 / IF(Elf!$D44 &lt; 10.8, $AB$5, $AB$5 / (Elf!$D44 / 10.8)),1)</f>
        <v>11</v>
      </c>
      <c r="AB46" s="1">
        <f>CEILING(Beastgirl!$B44 / IF(Beastgirl!$D44&lt; 10.8, $AB$5, $AB$5 / (Beastgirl!$D44 / 10.8)),1)</f>
        <v>17</v>
      </c>
      <c r="AC46" s="1">
        <f>CEILING(Warrior!$B44 / IF(Warrior!$D44&lt; 10.8, $AB$5, $AB$5 / (Warrior!$D44 / 10.8)),1)</f>
        <v>12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20</v>
      </c>
      <c r="E47" s="1">
        <f>CEILING(Elf!$B45 / IF(Elf!$D45 &lt; 10.8, $F$5,$F$5 / (Elf!$D45 / 10.8)),1)</f>
        <v>22</v>
      </c>
      <c r="F47" s="1">
        <f>CEILING(Beastgirl!$B45 / IF(Beastgirl!$D45&lt; 10.8, $F$5, $F$5 / (Beastgirl!$D45 / 10.8)),1)</f>
        <v>34</v>
      </c>
      <c r="G47" s="1">
        <f>CEILING(Warrior!$B45 / IF(Warrior!$D45&lt; 10.8, $F$5, $F$5 / (Warrior!$D45 / 10.8)),1)</f>
        <v>25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13</v>
      </c>
      <c r="P47" s="1">
        <f>CEILING(Elf!$B45/ IF(Elf!$D45 &lt; 10.8, $Q$5, $Q$5 / (Elf!$D45 / 10.8)),1)</f>
        <v>15</v>
      </c>
      <c r="Q47" s="1">
        <f>CEILING(Beastgirl!$B45 / IF(Beastgirl!$D45&lt; 10.8, $Q$5, $Q$5 / (Beastgirl!$D45 / 10.8)),1)</f>
        <v>23</v>
      </c>
      <c r="R47" s="1">
        <f>CEILING(Warrior!$B45 / IF(Warrior!$D45&lt; 10.8, $Q$5, $Q$5 / (Warrior!$D45 / 10.8)),1)</f>
        <v>17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10</v>
      </c>
      <c r="AA47" s="1">
        <f>CEILING(Elf!$B45 / IF(Elf!$D45 &lt; 10.8, $AB$5, $AB$5 / (Elf!$D45 / 10.8)),1)</f>
        <v>11</v>
      </c>
      <c r="AB47" s="1">
        <f>CEILING(Beastgirl!$B45 / IF(Beastgirl!$D45&lt; 10.8, $AB$5, $AB$5 / (Beastgirl!$D45 / 10.8)),1)</f>
        <v>17</v>
      </c>
      <c r="AC47" s="1">
        <f>CEILING(Warrior!$B45 / IF(Warrior!$D45&lt; 10.8, $AB$5, $AB$5 / (Warrior!$D45 / 10.8)),1)</f>
        <v>13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20</v>
      </c>
      <c r="E48" s="1">
        <f>CEILING(Elf!$B46 / IF(Elf!$D46 &lt; 10.8, $F$5,$F$5 / (Elf!$D46 / 10.8)),1)</f>
        <v>23</v>
      </c>
      <c r="F48" s="1">
        <f>CEILING(Beastgirl!$B46 / IF(Beastgirl!$D46&lt; 10.8, $F$5, $F$5 / (Beastgirl!$D46 / 10.8)),1)</f>
        <v>36</v>
      </c>
      <c r="G48" s="1">
        <f>CEILING(Warrior!$B46 / IF(Warrior!$D46&lt; 10.8, $F$5, $F$5 / (Warrior!$D46 / 10.8)),1)</f>
        <v>26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14</v>
      </c>
      <c r="P48" s="1">
        <f>CEILING(Elf!$B46/ IF(Elf!$D46 &lt; 10.8, $Q$5, $Q$5 / (Elf!$D46 / 10.8)),1)</f>
        <v>16</v>
      </c>
      <c r="Q48" s="1">
        <f>CEILING(Beastgirl!$B46 / IF(Beastgirl!$D46&lt; 10.8, $Q$5, $Q$5 / (Beastgirl!$D46 / 10.8)),1)</f>
        <v>24</v>
      </c>
      <c r="R48" s="1">
        <f>CEILING(Warrior!$B46 / IF(Warrior!$D46&lt; 10.8, $Q$5, $Q$5 / (Warrior!$D46 / 10.8)),1)</f>
        <v>17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10</v>
      </c>
      <c r="AA48" s="1">
        <f>CEILING(Elf!$B46 / IF(Elf!$D46 &lt; 10.8, $AB$5, $AB$5 / (Elf!$D46 / 10.8)),1)</f>
        <v>12</v>
      </c>
      <c r="AB48" s="1">
        <f>CEILING(Beastgirl!$B46 / IF(Beastgirl!$D46&lt; 10.8, $AB$5, $AB$5 / (Beastgirl!$D46 / 10.8)),1)</f>
        <v>18</v>
      </c>
      <c r="AC48" s="1">
        <f>CEILING(Warrior!$B46 / IF(Warrior!$D46&lt; 10.8, $AB$5, $AB$5 / (Warrior!$D46 / 10.8)),1)</f>
        <v>13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26</v>
      </c>
      <c r="E49" s="1">
        <f>CEILING(Elf!$B47 / IF(Elf!$D47 &lt; 10.8, $F$5,$F$5 / (Elf!$D47 / 10.8)),1)</f>
        <v>29</v>
      </c>
      <c r="F49" s="1">
        <f>CEILING(Beastgirl!$B47 / IF(Beastgirl!$D47&lt; 10.8, $F$5, $F$5 / (Beastgirl!$D47 / 10.8)),1)</f>
        <v>45</v>
      </c>
      <c r="G49" s="1">
        <f>CEILING(Warrior!$B47 / IF(Warrior!$D47&lt; 10.8, $F$5, $F$5 / (Warrior!$D47 / 10.8)),1)</f>
        <v>32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17</v>
      </c>
      <c r="P49" s="1">
        <f>CEILING(Elf!$B47/ IF(Elf!$D47 &lt; 10.8, $Q$5, $Q$5 / (Elf!$D47 / 10.8)),1)</f>
        <v>20</v>
      </c>
      <c r="Q49" s="1">
        <f>CEILING(Beastgirl!$B47 / IF(Beastgirl!$D47&lt; 10.8, $Q$5, $Q$5 / (Beastgirl!$D47 / 10.8)),1)</f>
        <v>30</v>
      </c>
      <c r="R49" s="1">
        <f>CEILING(Warrior!$B47 / IF(Warrior!$D47&lt; 10.8, $Q$5, $Q$5 / (Warrior!$D47 / 10.8)),1)</f>
        <v>22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13</v>
      </c>
      <c r="AA49" s="1">
        <f>CEILING(Elf!$B47 / IF(Elf!$D47 &lt; 10.8, $AB$5, $AB$5 / (Elf!$D47 / 10.8)),1)</f>
        <v>15</v>
      </c>
      <c r="AB49" s="1">
        <f>CEILING(Beastgirl!$B47 / IF(Beastgirl!$D47&lt; 10.8, $AB$5, $AB$5 / (Beastgirl!$D47 / 10.8)),1)</f>
        <v>23</v>
      </c>
      <c r="AC49" s="1">
        <f>CEILING(Warrior!$B47 / IF(Warrior!$D47&lt; 10.8, $AB$5, $AB$5 / (Warrior!$D47 / 10.8)),1)</f>
        <v>16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27</v>
      </c>
      <c r="E50" s="1">
        <f>CEILING(Elf!$B48 / IF(Elf!$D48 &lt; 10.8, $F$5,$F$5 / (Elf!$D48 / 10.8)),1)</f>
        <v>31</v>
      </c>
      <c r="F50" s="1">
        <f>CEILING(Beastgirl!$B48 / IF(Beastgirl!$D48&lt; 10.8, $F$5, $F$5 / (Beastgirl!$D48 / 10.8)),1)</f>
        <v>47</v>
      </c>
      <c r="G50" s="1">
        <f>CEILING(Warrior!$B48 / IF(Warrior!$D48&lt; 10.8, $F$5, $F$5 / (Warrior!$D48 / 10.8)),1)</f>
        <v>34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18</v>
      </c>
      <c r="P50" s="1">
        <f>CEILING(Elf!$B48/ IF(Elf!$D48 &lt; 10.8, $Q$5, $Q$5 / (Elf!$D48 / 10.8)),1)</f>
        <v>21</v>
      </c>
      <c r="Q50" s="1">
        <f>CEILING(Beastgirl!$B48 / IF(Beastgirl!$D48&lt; 10.8, $Q$5, $Q$5 / (Beastgirl!$D48 / 10.8)),1)</f>
        <v>31</v>
      </c>
      <c r="R50" s="1">
        <f>CEILING(Warrior!$B48 / IF(Warrior!$D48&lt; 10.8, $Q$5, $Q$5 / (Warrior!$D48 / 10.8)),1)</f>
        <v>23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14</v>
      </c>
      <c r="AA50" s="1">
        <f>CEILING(Elf!$B48 / IF(Elf!$D48 &lt; 10.8, $AB$5, $AB$5 / (Elf!$D48 / 10.8)),1)</f>
        <v>16</v>
      </c>
      <c r="AB50" s="1">
        <f>CEILING(Beastgirl!$B48 / IF(Beastgirl!$D48&lt; 10.8, $AB$5, $AB$5 / (Beastgirl!$D48 / 10.8)),1)</f>
        <v>24</v>
      </c>
      <c r="AC50" s="1">
        <f>CEILING(Warrior!$B48 / IF(Warrior!$D48&lt; 10.8, $AB$5, $AB$5 / (Warrior!$D48 / 10.8)),1)</f>
        <v>17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28</v>
      </c>
      <c r="E51" s="1">
        <f>CEILING(Elf!$B49 / IF(Elf!$D49 &lt; 10.8, $F$5,$F$5 / (Elf!$D49 / 10.8)),1)</f>
        <v>32</v>
      </c>
      <c r="F51" s="1">
        <f>CEILING(Beastgirl!$B49 / IF(Beastgirl!$D49&lt; 10.8, $F$5, $F$5 / (Beastgirl!$D49 / 10.8)),1)</f>
        <v>49</v>
      </c>
      <c r="G51" s="1">
        <f>CEILING(Warrior!$B49 / IF(Warrior!$D49&lt; 10.8, $F$5, $F$5 / (Warrior!$D49 / 10.8)),1)</f>
        <v>35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19</v>
      </c>
      <c r="P51" s="1">
        <f>CEILING(Elf!$B49/ IF(Elf!$D49 &lt; 10.8, $Q$5, $Q$5 / (Elf!$D49 / 10.8)),1)</f>
        <v>21</v>
      </c>
      <c r="Q51" s="1">
        <f>CEILING(Beastgirl!$B49 / IF(Beastgirl!$D49&lt; 10.8, $Q$5, $Q$5 / (Beastgirl!$D49 / 10.8)),1)</f>
        <v>33</v>
      </c>
      <c r="R51" s="1">
        <f>CEILING(Warrior!$B49 / IF(Warrior!$D49&lt; 10.8, $Q$5, $Q$5 / (Warrior!$D49 / 10.8)),1)</f>
        <v>24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14</v>
      </c>
      <c r="AA51" s="1">
        <f>CEILING(Elf!$B49 / IF(Elf!$D49 &lt; 10.8, $AB$5, $AB$5 / (Elf!$D49 / 10.8)),1)</f>
        <v>16</v>
      </c>
      <c r="AB51" s="1">
        <f>CEILING(Beastgirl!$B49 / IF(Beastgirl!$D49&lt; 10.8, $AB$5, $AB$5 / (Beastgirl!$D49 / 10.8)),1)</f>
        <v>25</v>
      </c>
      <c r="AC51" s="1">
        <f>CEILING(Warrior!$B49 / IF(Warrior!$D49&lt; 10.8, $AB$5, $AB$5 / (Warrior!$D49 / 10.8)),1)</f>
        <v>18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29</v>
      </c>
      <c r="E52" s="1">
        <f>CEILING(Elf!$B50 / IF(Elf!$D50 &lt; 10.8, $F$5,$F$5 / (Elf!$D50 / 10.8)),1)</f>
        <v>33</v>
      </c>
      <c r="F52" s="1">
        <f>CEILING(Beastgirl!$B50 / IF(Beastgirl!$D50&lt; 10.8, $F$5, $F$5 / (Beastgirl!$D50 / 10.8)),1)</f>
        <v>51</v>
      </c>
      <c r="G52" s="1">
        <f>CEILING(Warrior!$B50 / IF(Warrior!$D50&lt; 10.8, $F$5, $F$5 / (Warrior!$D50 / 10.8)),1)</f>
        <v>36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20</v>
      </c>
      <c r="P52" s="1">
        <f>CEILING(Elf!$B50/ IF(Elf!$D50 &lt; 10.8, $Q$5, $Q$5 / (Elf!$D50 / 10.8)),1)</f>
        <v>22</v>
      </c>
      <c r="Q52" s="1">
        <f>CEILING(Beastgirl!$B50 / IF(Beastgirl!$D50&lt; 10.8, $Q$5, $Q$5 / (Beastgirl!$D50 / 10.8)),1)</f>
        <v>34</v>
      </c>
      <c r="R52" s="1">
        <f>CEILING(Warrior!$B50 / IF(Warrior!$D50&lt; 10.8, $Q$5, $Q$5 / (Warrior!$D50 / 10.8)),1)</f>
        <v>24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15</v>
      </c>
      <c r="AA52" s="1">
        <f>CEILING(Elf!$B50 / IF(Elf!$D50 &lt; 10.8, $AB$5, $AB$5 / (Elf!$D50 / 10.8)),1)</f>
        <v>17</v>
      </c>
      <c r="AB52" s="1">
        <f>CEILING(Beastgirl!$B50 / IF(Beastgirl!$D50&lt; 10.8, $AB$5, $AB$5 / (Beastgirl!$D50 / 10.8)),1)</f>
        <v>26</v>
      </c>
      <c r="AC52" s="1">
        <f>CEILING(Warrior!$B50 / IF(Warrior!$D50&lt; 10.8, $AB$5, $AB$5 / (Warrior!$D50 / 10.8)),1)</f>
        <v>18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30</v>
      </c>
      <c r="E53" s="1">
        <f>CEILING(Elf!$B51 / IF(Elf!$D51 &lt; 10.8, $F$5,$F$5 / (Elf!$D51 / 10.8)),1)</f>
        <v>34</v>
      </c>
      <c r="F53" s="1">
        <f>CEILING(Beastgirl!$B51 / IF(Beastgirl!$D51&lt; 10.8, $F$5, $F$5 / (Beastgirl!$D51 / 10.8)),1)</f>
        <v>53</v>
      </c>
      <c r="G53" s="1">
        <f>CEILING(Warrior!$B51 / IF(Warrior!$D51&lt; 10.8, $F$5, $F$5 / (Warrior!$D51 / 10.8)),1)</f>
        <v>38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20</v>
      </c>
      <c r="P53" s="1">
        <f>CEILING(Elf!$B51/ IF(Elf!$D51 &lt; 10.8, $Q$5, $Q$5 / (Elf!$D51 / 10.8)),1)</f>
        <v>23</v>
      </c>
      <c r="Q53" s="1">
        <f>CEILING(Beastgirl!$B51 / IF(Beastgirl!$D51&lt; 10.8, $Q$5, $Q$5 / (Beastgirl!$D51 / 10.8)),1)</f>
        <v>35</v>
      </c>
      <c r="R53" s="1">
        <f>CEILING(Warrior!$B51 / IF(Warrior!$D51&lt; 10.8, $Q$5, $Q$5 / (Warrior!$D51 / 10.8)),1)</f>
        <v>25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15</v>
      </c>
      <c r="AA53" s="1">
        <f>CEILING(Elf!$B51 / IF(Elf!$D51 &lt; 10.8, $AB$5, $AB$5 / (Elf!$D51 / 10.8)),1)</f>
        <v>17</v>
      </c>
      <c r="AB53" s="1">
        <f>CEILING(Beastgirl!$B51 / IF(Beastgirl!$D51&lt; 10.8, $AB$5, $AB$5 / (Beastgirl!$D51 / 10.8)),1)</f>
        <v>27</v>
      </c>
      <c r="AC53" s="1">
        <f>CEILING(Warrior!$B51 / IF(Warrior!$D51&lt; 10.8, $AB$5, $AB$5 / (Warrior!$D51 / 10.8)),1)</f>
        <v>19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32</v>
      </c>
      <c r="E54" s="1">
        <f>CEILING(Elf!$B52 / IF(Elf!$D52 &lt; 10.8, $F$5,$F$5 / (Elf!$D52 / 10.8)),1)</f>
        <v>36</v>
      </c>
      <c r="F54" s="1">
        <f>CEILING(Beastgirl!$B52 / IF(Beastgirl!$D52&lt; 10.8, $F$5, $F$5 / (Beastgirl!$D52 / 10.8)),1)</f>
        <v>55</v>
      </c>
      <c r="G54" s="1">
        <f>CEILING(Warrior!$B52 / IF(Warrior!$D52&lt; 10.8, $F$5, $F$5 / (Warrior!$D52 / 10.8)),1)</f>
        <v>39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21</v>
      </c>
      <c r="P54" s="1">
        <f>CEILING(Elf!$B52/ IF(Elf!$D52 &lt; 10.8, $Q$5, $Q$5 / (Elf!$D52 / 10.8)),1)</f>
        <v>24</v>
      </c>
      <c r="Q54" s="1">
        <f>CEILING(Beastgirl!$B52 / IF(Beastgirl!$D52&lt; 10.8, $Q$5, $Q$5 / (Beastgirl!$D52 / 10.8)),1)</f>
        <v>37</v>
      </c>
      <c r="R54" s="1">
        <f>CEILING(Warrior!$B52 / IF(Warrior!$D52&lt; 10.8, $Q$5, $Q$5 / (Warrior!$D52 / 10.8)),1)</f>
        <v>26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16</v>
      </c>
      <c r="AA54" s="1">
        <f>CEILING(Elf!$B52 / IF(Elf!$D52 &lt; 10.8, $AB$5, $AB$5 / (Elf!$D52 / 10.8)),1)</f>
        <v>18</v>
      </c>
      <c r="AB54" s="1">
        <f>CEILING(Beastgirl!$B52 / IF(Beastgirl!$D52&lt; 10.8, $AB$5, $AB$5 / (Beastgirl!$D52 / 10.8)),1)</f>
        <v>28</v>
      </c>
      <c r="AC54" s="1">
        <f>CEILING(Warrior!$B52 / IF(Warrior!$D52&lt; 10.8, $AB$5, $AB$5 / (Warrior!$D52 / 10.8)),1)</f>
        <v>20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53" t="s">
        <v>72</v>
      </c>
      <c r="D56" s="53"/>
      <c r="E56" s="53"/>
      <c r="F56" s="53"/>
      <c r="G56" s="53"/>
      <c r="I56" s="4"/>
      <c r="J56" s="4"/>
      <c r="K56" s="4"/>
      <c r="L56" s="4"/>
      <c r="M56" s="4"/>
      <c r="N56" s="53" t="s">
        <v>72</v>
      </c>
      <c r="O56" s="53"/>
      <c r="P56" s="53"/>
      <c r="Q56" s="53"/>
      <c r="R56" s="53"/>
      <c r="S56" s="4"/>
      <c r="T56" s="4"/>
      <c r="U56" s="4"/>
      <c r="W56" s="4"/>
      <c r="X56" s="4"/>
      <c r="Y56" s="53" t="s">
        <v>72</v>
      </c>
      <c r="Z56" s="53"/>
      <c r="AA56" s="53"/>
      <c r="AB56" s="53"/>
      <c r="AC56" s="53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8</v>
      </c>
      <c r="E58" s="1">
        <f>CEILING(Elf!$B33 / IF(Elf!$D33&lt; 10.8, $F$6,$F$6 / (Elf!$D33 / 10.8)),1)</f>
        <v>9</v>
      </c>
      <c r="F58" s="1">
        <f>CEILING(Beastgirl!$B33 / IF(Beastgirl!$D33&lt; 10.8, $F$6, $F$6 / (Beastgirl!$D33 / 10.8)),1)</f>
        <v>15</v>
      </c>
      <c r="G58" s="1">
        <f>CEILING(Warrior!$B33/ IF(Warrior!$D33&lt; 10.8, $F$6, $F$6 / (Warrior!$D33/ 10.8)),1)</f>
        <v>11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6</v>
      </c>
      <c r="P58" s="1">
        <f>CEILING(Elf!$B33/ IF(Elf!$D33 &lt; 10.8, $Q$6, $Q$6 / (Elf!$D33 / 10.8)),1)</f>
        <v>6</v>
      </c>
      <c r="Q58" s="1">
        <f>CEILING(Beastgirl!$B33/ IF(Beastgirl!$D33&lt; 10.8, $Q$6, $Q$6 / (Beastgirl!$D33 / 10.8)),1)</f>
        <v>10</v>
      </c>
      <c r="R58" s="1">
        <f>CEILING(Warrior!$B33 / IF(Warrior!$D33&lt; 10.8, $Q$6, $Q$6 / (Warrior!$D33 / 10.8)),1)</f>
        <v>7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4</v>
      </c>
      <c r="AA58" s="1">
        <f>CEILING(Elf!$B33 / IF(Elf!$D33 &lt; 10.8, $AB$6, $AB$6 / (Elf!$D33 / 10.8)),1)</f>
        <v>5</v>
      </c>
      <c r="AB58" s="1">
        <f>CEILING(Beastgirl!$B33 / IF(Beastgirl!$D33&lt; 10.8, $AB$6, $AB$6 / (Beastgirl!$D33 / 10.8)),1)</f>
        <v>8</v>
      </c>
      <c r="AC58" s="1">
        <f>CEILING(Warrior!$B33 / IF(Warrior!$D33&lt; 10.8, $AB$6, $AB$6 / (Warrior!$D33 / 10.8)),1)</f>
        <v>6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9</v>
      </c>
      <c r="E59" s="1">
        <f>CEILING(Elf!$B34 / IF(Elf!$D34&lt; 10.8, $F$6,$F$6 / (Elf!$D34 / 10.8)),1)</f>
        <v>10</v>
      </c>
      <c r="F59" s="1">
        <f>CEILING(Beastgirl!$B34 / IF(Beastgirl!$D34&lt; 10.8, $F$6, $F$6 / (Beastgirl!$D34 / 10.8)),1)</f>
        <v>16</v>
      </c>
      <c r="G59" s="1">
        <f>CEILING(Warrior!$B34/ IF(Warrior!$D34&lt; 10.8, $F$6, $F$6 / (Warrior!$D34/ 10.8)),1)</f>
        <v>11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6</v>
      </c>
      <c r="P59" s="1">
        <f>CEILING(Elf!$B34/ IF(Elf!$D34 &lt; 10.8, $Q$6, $Q$6 / (Elf!$D34 / 10.8)),1)</f>
        <v>7</v>
      </c>
      <c r="Q59" s="1">
        <f>CEILING(Beastgirl!$B34/ IF(Beastgirl!$D34&lt; 10.8, $Q$6, $Q$6 / (Beastgirl!$D34 / 10.8)),1)</f>
        <v>11</v>
      </c>
      <c r="R59" s="1">
        <f>CEILING(Warrior!$B34 / IF(Warrior!$D34&lt; 10.8, $Q$6, $Q$6 / (Warrior!$D34 / 10.8)),1)</f>
        <v>8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5</v>
      </c>
      <c r="AA59" s="1">
        <f>CEILING(Elf!$B34 / IF(Elf!$D34 &lt; 10.8, $AB$6, $AB$6 / (Elf!$D34 / 10.8)),1)</f>
        <v>5</v>
      </c>
      <c r="AB59" s="1">
        <f>CEILING(Beastgirl!$B34 / IF(Beastgirl!$D34&lt; 10.8, $AB$6, $AB$6 / (Beastgirl!$D34 / 10.8)),1)</f>
        <v>8</v>
      </c>
      <c r="AC59" s="1">
        <f>CEILING(Warrior!$B34 / IF(Warrior!$D34&lt; 10.8, $AB$6, $AB$6 / (Warrior!$D34 / 10.8)),1)</f>
        <v>6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9</v>
      </c>
      <c r="E60" s="1">
        <f>CEILING(Elf!$B35 / IF(Elf!$D35&lt; 10.8, $F$6,$F$6 / (Elf!$D35 / 10.8)),1)</f>
        <v>10</v>
      </c>
      <c r="F60" s="1">
        <f>CEILING(Beastgirl!$B35 / IF(Beastgirl!$D35&lt; 10.8, $F$6, $F$6 / (Beastgirl!$D35 / 10.8)),1)</f>
        <v>17</v>
      </c>
      <c r="G60" s="1">
        <f>CEILING(Warrior!$B35/ IF(Warrior!$D35&lt; 10.8, $F$6, $F$6 / (Warrior!$D35/ 10.8)),1)</f>
        <v>12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6</v>
      </c>
      <c r="P60" s="1">
        <f>CEILING(Elf!$B35/ IF(Elf!$D35 &lt; 10.8, $Q$6, $Q$6 / (Elf!$D35 / 10.8)),1)</f>
        <v>7</v>
      </c>
      <c r="Q60" s="1">
        <f>CEILING(Beastgirl!$B35/ IF(Beastgirl!$D35&lt; 10.8, $Q$6, $Q$6 / (Beastgirl!$D35 / 10.8)),1)</f>
        <v>11</v>
      </c>
      <c r="R60" s="1">
        <f>CEILING(Warrior!$B35 / IF(Warrior!$D35&lt; 10.8, $Q$6, $Q$6 / (Warrior!$D35 / 10.8)),1)</f>
        <v>8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5</v>
      </c>
      <c r="AA60" s="1">
        <f>CEILING(Elf!$B35 / IF(Elf!$D35 &lt; 10.8, $AB$6, $AB$6 / (Elf!$D35 / 10.8)),1)</f>
        <v>5</v>
      </c>
      <c r="AB60" s="1">
        <f>CEILING(Beastgirl!$B35 / IF(Beastgirl!$D35&lt; 10.8, $AB$6, $AB$6 / (Beastgirl!$D35 / 10.8)),1)</f>
        <v>9</v>
      </c>
      <c r="AC60" s="1">
        <f>CEILING(Warrior!$B35 / IF(Warrior!$D35&lt; 10.8, $AB$6, $AB$6 / (Warrior!$D35 / 10.8)),1)</f>
        <v>6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10</v>
      </c>
      <c r="E61" s="1">
        <f>CEILING(Elf!$B36 / IF(Elf!$D36&lt; 10.8, $F$6,$F$6 / (Elf!$D36 / 10.8)),1)</f>
        <v>11</v>
      </c>
      <c r="F61" s="1">
        <f>CEILING(Beastgirl!$B36 / IF(Beastgirl!$D36&lt; 10.8, $F$6, $F$6 / (Beastgirl!$D36 / 10.8)),1)</f>
        <v>18</v>
      </c>
      <c r="G61" s="1">
        <f>CEILING(Warrior!$B36/ IF(Warrior!$D36&lt; 10.8, $F$6, $F$6 / (Warrior!$D36/ 10.8)),1)</f>
        <v>13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7</v>
      </c>
      <c r="P61" s="1">
        <f>CEILING(Elf!$B36/ IF(Elf!$D36 &lt; 10.8, $Q$6, $Q$6 / (Elf!$D36 / 10.8)),1)</f>
        <v>8</v>
      </c>
      <c r="Q61" s="1">
        <f>CEILING(Beastgirl!$B36/ IF(Beastgirl!$D36&lt; 10.8, $Q$6, $Q$6 / (Beastgirl!$D36 / 10.8)),1)</f>
        <v>12</v>
      </c>
      <c r="R61" s="1">
        <f>CEILING(Warrior!$B36 / IF(Warrior!$D36&lt; 10.8, $Q$6, $Q$6 / (Warrior!$D36 / 10.8)),1)</f>
        <v>9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5</v>
      </c>
      <c r="AA61" s="1">
        <f>CEILING(Elf!$B36 / IF(Elf!$D36 &lt; 10.8, $AB$6, $AB$6 / (Elf!$D36 / 10.8)),1)</f>
        <v>6</v>
      </c>
      <c r="AB61" s="1">
        <f>CEILING(Beastgirl!$B36 / IF(Beastgirl!$D36&lt; 10.8, $AB$6, $AB$6 / (Beastgirl!$D36 / 10.8)),1)</f>
        <v>9</v>
      </c>
      <c r="AC61" s="1">
        <f>CEILING(Warrior!$B36 / IF(Warrior!$D36&lt; 10.8, $AB$6, $AB$6 / (Warrior!$D36 / 10.8)),1)</f>
        <v>7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13</v>
      </c>
      <c r="E62" s="1">
        <f>CEILING(Elf!$B37 / IF(Elf!$D37&lt; 10.8, $F$6,$F$6 / (Elf!$D37 / 10.8)),1)</f>
        <v>15</v>
      </c>
      <c r="F62" s="1">
        <f>CEILING(Beastgirl!$B37 / IF(Beastgirl!$D37&lt; 10.8, $F$6, $F$6 / (Beastgirl!$D37 / 10.8)),1)</f>
        <v>23</v>
      </c>
      <c r="G62" s="1">
        <f>CEILING(Warrior!$B37/ IF(Warrior!$D37&lt; 10.8, $F$6, $F$6 / (Warrior!$D37/ 10.8)),1)</f>
        <v>17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9</v>
      </c>
      <c r="P62" s="1">
        <f>CEILING(Elf!$B37/ IF(Elf!$D37 &lt; 10.8, $Q$6, $Q$6 / (Elf!$D37 / 10.8)),1)</f>
        <v>10</v>
      </c>
      <c r="Q62" s="1">
        <f>CEILING(Beastgirl!$B37/ IF(Beastgirl!$D37&lt; 10.8, $Q$6, $Q$6 / (Beastgirl!$D37 / 10.8)),1)</f>
        <v>16</v>
      </c>
      <c r="R62" s="1">
        <f>CEILING(Warrior!$B37 / IF(Warrior!$D37&lt; 10.8, $Q$6, $Q$6 / (Warrior!$D37 / 10.8)),1)</f>
        <v>11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7</v>
      </c>
      <c r="AA62" s="1">
        <f>CEILING(Elf!$B37 / IF(Elf!$D37 &lt; 10.8, $AB$6, $AB$6 / (Elf!$D37 / 10.8)),1)</f>
        <v>8</v>
      </c>
      <c r="AB62" s="1">
        <f>CEILING(Beastgirl!$B37 / IF(Beastgirl!$D37&lt; 10.8, $AB$6, $AB$6 / (Beastgirl!$D37 / 10.8)),1)</f>
        <v>12</v>
      </c>
      <c r="AC62" s="1">
        <f>CEILING(Warrior!$B37 / IF(Warrior!$D37&lt; 10.8, $AB$6, $AB$6 / (Warrior!$D37 / 10.8)),1)</f>
        <v>9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14</v>
      </c>
      <c r="E63" s="1">
        <f>CEILING(Elf!$B38 / IF(Elf!$D38&lt; 10.8, $F$6,$F$6 / (Elf!$D38 / 10.8)),1)</f>
        <v>16</v>
      </c>
      <c r="F63" s="1">
        <f>CEILING(Beastgirl!$B38 / IF(Beastgirl!$D38&lt; 10.8, $F$6, $F$6 / (Beastgirl!$D38 / 10.8)),1)</f>
        <v>24</v>
      </c>
      <c r="G63" s="1">
        <f>CEILING(Warrior!$B38/ IF(Warrior!$D38&lt; 10.8, $F$6, $F$6 / (Warrior!$D38/ 10.8)),1)</f>
        <v>18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9</v>
      </c>
      <c r="P63" s="1">
        <f>CEILING(Elf!$B38/ IF(Elf!$D38 &lt; 10.8, $Q$6, $Q$6 / (Elf!$D38 / 10.8)),1)</f>
        <v>11</v>
      </c>
      <c r="Q63" s="1">
        <f>CEILING(Beastgirl!$B38/ IF(Beastgirl!$D38&lt; 10.8, $Q$6, $Q$6 / (Beastgirl!$D38 / 10.8)),1)</f>
        <v>16</v>
      </c>
      <c r="R63" s="1">
        <f>CEILING(Warrior!$B38 / IF(Warrior!$D38&lt; 10.8, $Q$6, $Q$6 / (Warrior!$D38 / 10.8)),1)</f>
        <v>12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7</v>
      </c>
      <c r="AA63" s="1">
        <f>CEILING(Elf!$B38 / IF(Elf!$D38 &lt; 10.8, $AB$6, $AB$6 / (Elf!$D38 / 10.8)),1)</f>
        <v>8</v>
      </c>
      <c r="AB63" s="1">
        <f>CEILING(Beastgirl!$B38 / IF(Beastgirl!$D38&lt; 10.8, $AB$6, $AB$6 / (Beastgirl!$D38 / 10.8)),1)</f>
        <v>12</v>
      </c>
      <c r="AC63" s="1">
        <f>CEILING(Warrior!$B38 / IF(Warrior!$D38&lt; 10.8, $AB$6, $AB$6 / (Warrior!$D38 / 10.8)),1)</f>
        <v>9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14</v>
      </c>
      <c r="E64" s="1">
        <f>CEILING(Elf!$B39 / IF(Elf!$D39&lt; 10.8, $F$6,$F$6 / (Elf!$D39 / 10.8)),1)</f>
        <v>16</v>
      </c>
      <c r="F64" s="1">
        <f>CEILING(Beastgirl!$B39 / IF(Beastgirl!$D39&lt; 10.8, $F$6, $F$6 / (Beastgirl!$D39 / 10.8)),1)</f>
        <v>26</v>
      </c>
      <c r="G64" s="1">
        <f>CEILING(Warrior!$B39/ IF(Warrior!$D39&lt; 10.8, $F$6, $F$6 / (Warrior!$D39/ 10.8)),1)</f>
        <v>18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10</v>
      </c>
      <c r="P64" s="1">
        <f>CEILING(Elf!$B39/ IF(Elf!$D39 &lt; 10.8, $Q$6, $Q$6 / (Elf!$D39 / 10.8)),1)</f>
        <v>11</v>
      </c>
      <c r="Q64" s="1">
        <f>CEILING(Beastgirl!$B39/ IF(Beastgirl!$D39&lt; 10.8, $Q$6, $Q$6 / (Beastgirl!$D39 / 10.8)),1)</f>
        <v>17</v>
      </c>
      <c r="R64" s="1">
        <f>CEILING(Warrior!$B39 / IF(Warrior!$D39&lt; 10.8, $Q$6, $Q$6 / (Warrior!$D39 / 10.8)),1)</f>
        <v>12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7</v>
      </c>
      <c r="AA64" s="1">
        <f>CEILING(Elf!$B39 / IF(Elf!$D39 &lt; 10.8, $AB$6, $AB$6 / (Elf!$D39 / 10.8)),1)</f>
        <v>8</v>
      </c>
      <c r="AB64" s="1">
        <f>CEILING(Beastgirl!$B39 / IF(Beastgirl!$D39&lt; 10.8, $AB$6, $AB$6 / (Beastgirl!$D39 / 10.8)),1)</f>
        <v>13</v>
      </c>
      <c r="AC64" s="1">
        <f>CEILING(Warrior!$B39 / IF(Warrior!$D39&lt; 10.8, $AB$6, $AB$6 / (Warrior!$D39 / 10.8)),1)</f>
        <v>9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15</v>
      </c>
      <c r="E65" s="1">
        <f>CEILING(Elf!$B40 / IF(Elf!$D40&lt; 10.8, $F$6,$F$6 / (Elf!$D40 / 10.8)),1)</f>
        <v>17</v>
      </c>
      <c r="F65" s="1">
        <f>CEILING(Beastgirl!$B40 / IF(Beastgirl!$D40&lt; 10.8, $F$6, $F$6 / (Beastgirl!$D40 / 10.8)),1)</f>
        <v>27</v>
      </c>
      <c r="G65" s="1">
        <f>CEILING(Warrior!$B40/ IF(Warrior!$D40&lt; 10.8, $F$6, $F$6 / (Warrior!$D40/ 10.8)),1)</f>
        <v>19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10</v>
      </c>
      <c r="P65" s="1">
        <f>CEILING(Elf!$B40/ IF(Elf!$D40 &lt; 10.8, $Q$6, $Q$6 / (Elf!$D40 / 10.8)),1)</f>
        <v>12</v>
      </c>
      <c r="Q65" s="1">
        <f>CEILING(Beastgirl!$B40/ IF(Beastgirl!$D40&lt; 10.8, $Q$6, $Q$6 / (Beastgirl!$D40 / 10.8)),1)</f>
        <v>18</v>
      </c>
      <c r="R65" s="1">
        <f>CEILING(Warrior!$B40 / IF(Warrior!$D40&lt; 10.8, $Q$6, $Q$6 / (Warrior!$D40 / 10.8)),1)</f>
        <v>13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8</v>
      </c>
      <c r="AA65" s="1">
        <f>CEILING(Elf!$B40 / IF(Elf!$D40 &lt; 10.8, $AB$6, $AB$6 / (Elf!$D40 / 10.8)),1)</f>
        <v>9</v>
      </c>
      <c r="AB65" s="1">
        <f>CEILING(Beastgirl!$B40 / IF(Beastgirl!$D40&lt; 10.8, $AB$6, $AB$6 / (Beastgirl!$D40 / 10.8)),1)</f>
        <v>14</v>
      </c>
      <c r="AC65" s="1">
        <f>CEILING(Warrior!$B40 / IF(Warrior!$D40&lt; 10.8, $AB$6, $AB$6 / (Warrior!$D40 / 10.8)),1)</f>
        <v>10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16</v>
      </c>
      <c r="E66" s="1">
        <f>CEILING(Elf!$B41 / IF(Elf!$D41&lt; 10.8, $F$6,$F$6 / (Elf!$D41 / 10.8)),1)</f>
        <v>18</v>
      </c>
      <c r="F66" s="1">
        <f>CEILING(Beastgirl!$B41 / IF(Beastgirl!$D41&lt; 10.8, $F$6, $F$6 / (Beastgirl!$D41 / 10.8)),1)</f>
        <v>28</v>
      </c>
      <c r="G66" s="1">
        <f>CEILING(Warrior!$B41/ IF(Warrior!$D41&lt; 10.8, $F$6, $F$6 / (Warrior!$D41/ 10.8)),1)</f>
        <v>20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11</v>
      </c>
      <c r="P66" s="1">
        <f>CEILING(Elf!$B41/ IF(Elf!$D41 &lt; 10.8, $Q$6, $Q$6 / (Elf!$D41 / 10.8)),1)</f>
        <v>12</v>
      </c>
      <c r="Q66" s="1">
        <f>CEILING(Beastgirl!$B41/ IF(Beastgirl!$D41&lt; 10.8, $Q$6, $Q$6 / (Beastgirl!$D41 / 10.8)),1)</f>
        <v>19</v>
      </c>
      <c r="R66" s="1">
        <f>CEILING(Warrior!$B41 / IF(Warrior!$D41&lt; 10.8, $Q$6, $Q$6 / (Warrior!$D41 / 10.8)),1)</f>
        <v>14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8</v>
      </c>
      <c r="AA66" s="1">
        <f>CEILING(Elf!$B41 / IF(Elf!$D41 &lt; 10.8, $AB$6, $AB$6 / (Elf!$D41 / 10.8)),1)</f>
        <v>9</v>
      </c>
      <c r="AB66" s="1">
        <f>CEILING(Beastgirl!$B41 / IF(Beastgirl!$D41&lt; 10.8, $AB$6, $AB$6 / (Beastgirl!$D41 / 10.8)),1)</f>
        <v>14</v>
      </c>
      <c r="AC66" s="1">
        <f>CEILING(Warrior!$B41 / IF(Warrior!$D41&lt; 10.8, $AB$6, $AB$6 / (Warrior!$D41 / 10.8)),1)</f>
        <v>10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17</v>
      </c>
      <c r="E67" s="1">
        <f>CEILING(Elf!$B42 / IF(Elf!$D42&lt; 10.8, $F$6,$F$6 / (Elf!$D42 / 10.8)),1)</f>
        <v>19</v>
      </c>
      <c r="F67" s="1">
        <f>CEILING(Beastgirl!$B42 / IF(Beastgirl!$D42&lt; 10.8, $F$6, $F$6 / (Beastgirl!$D42 / 10.8)),1)</f>
        <v>29</v>
      </c>
      <c r="G67" s="1">
        <f>CEILING(Warrior!$B42/ IF(Warrior!$D42&lt; 10.8, $F$6, $F$6 / (Warrior!$D42/ 10.8)),1)</f>
        <v>21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11</v>
      </c>
      <c r="P67" s="1">
        <f>CEILING(Elf!$B42/ IF(Elf!$D42 &lt; 10.8, $Q$6, $Q$6 / (Elf!$D42 / 10.8)),1)</f>
        <v>13</v>
      </c>
      <c r="Q67" s="1">
        <f>CEILING(Beastgirl!$B42/ IF(Beastgirl!$D42&lt; 10.8, $Q$6, $Q$6 / (Beastgirl!$D42 / 10.8)),1)</f>
        <v>20</v>
      </c>
      <c r="R67" s="1">
        <f>CEILING(Warrior!$B42 / IF(Warrior!$D42&lt; 10.8, $Q$6, $Q$6 / (Warrior!$D42 / 10.8)),1)</f>
        <v>14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9</v>
      </c>
      <c r="AA67" s="1">
        <f>CEILING(Elf!$B42 / IF(Elf!$D42 &lt; 10.8, $AB$6, $AB$6 / (Elf!$D42 / 10.8)),1)</f>
        <v>10</v>
      </c>
      <c r="AB67" s="1">
        <f>CEILING(Beastgirl!$B42 / IF(Beastgirl!$D42&lt; 10.8, $AB$6, $AB$6 / (Beastgirl!$D42 / 10.8)),1)</f>
        <v>15</v>
      </c>
      <c r="AC67" s="1">
        <f>CEILING(Warrior!$B42 / IF(Warrior!$D42&lt; 10.8, $AB$6, $AB$6 / (Warrior!$D42 / 10.8)),1)</f>
        <v>11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17</v>
      </c>
      <c r="E68" s="1">
        <f>CEILING(Elf!$B43 / IF(Elf!$D43&lt; 10.8, $F$6,$F$6 / (Elf!$D43 / 10.8)),1)</f>
        <v>20</v>
      </c>
      <c r="F68" s="1">
        <f>CEILING(Beastgirl!$B43 / IF(Beastgirl!$D43&lt; 10.8, $F$6, $F$6 / (Beastgirl!$D43 / 10.8)),1)</f>
        <v>31</v>
      </c>
      <c r="G68" s="1">
        <f>CEILING(Warrior!$B43/ IF(Warrior!$D43&lt; 10.8, $F$6, $F$6 / (Warrior!$D43/ 10.8)),1)</f>
        <v>22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12</v>
      </c>
      <c r="P68" s="1">
        <f>CEILING(Elf!$B43/ IF(Elf!$D43 &lt; 10.8, $Q$6, $Q$6 / (Elf!$D43 / 10.8)),1)</f>
        <v>13</v>
      </c>
      <c r="Q68" s="1">
        <f>CEILING(Beastgirl!$B43/ IF(Beastgirl!$D43&lt; 10.8, $Q$6, $Q$6 / (Beastgirl!$D43 / 10.8)),1)</f>
        <v>21</v>
      </c>
      <c r="R68" s="1">
        <f>CEILING(Warrior!$B43 / IF(Warrior!$D43&lt; 10.8, $Q$6, $Q$6 / (Warrior!$D43 / 10.8)),1)</f>
        <v>15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9</v>
      </c>
      <c r="AA68" s="1">
        <f>CEILING(Elf!$B43 / IF(Elf!$D43 &lt; 10.8, $AB$6, $AB$6 / (Elf!$D43 / 10.8)),1)</f>
        <v>10</v>
      </c>
      <c r="AB68" s="1">
        <f>CEILING(Beastgirl!$B43 / IF(Beastgirl!$D43&lt; 10.8, $AB$6, $AB$6 / (Beastgirl!$D43 / 10.8)),1)</f>
        <v>16</v>
      </c>
      <c r="AC68" s="1">
        <f>CEILING(Warrior!$B43 / IF(Warrior!$D43&lt; 10.8, $AB$6, $AB$6 / (Warrior!$D43 / 10.8)),1)</f>
        <v>11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18</v>
      </c>
      <c r="E69" s="1">
        <f>CEILING(Elf!$B44 / IF(Elf!$D44&lt; 10.8, $F$6,$F$6 / (Elf!$D44 / 10.8)),1)</f>
        <v>21</v>
      </c>
      <c r="F69" s="1">
        <f>CEILING(Beastgirl!$B44 / IF(Beastgirl!$D44&lt; 10.8, $F$6, $F$6 / (Beastgirl!$D44 / 10.8)),1)</f>
        <v>32</v>
      </c>
      <c r="G69" s="1">
        <f>CEILING(Warrior!$B44/ IF(Warrior!$D44&lt; 10.8, $F$6, $F$6 / (Warrior!$D44/ 10.8)),1)</f>
        <v>23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12</v>
      </c>
      <c r="P69" s="1">
        <f>CEILING(Elf!$B44/ IF(Elf!$D44 &lt; 10.8, $Q$6, $Q$6 / (Elf!$D44 / 10.8)),1)</f>
        <v>14</v>
      </c>
      <c r="Q69" s="1">
        <f>CEILING(Beastgirl!$B44/ IF(Beastgirl!$D44&lt; 10.8, $Q$6, $Q$6 / (Beastgirl!$D44 / 10.8)),1)</f>
        <v>22</v>
      </c>
      <c r="R69" s="1">
        <f>CEILING(Warrior!$B44 / IF(Warrior!$D44&lt; 10.8, $Q$6, $Q$6 / (Warrior!$D44 / 10.8)),1)</f>
        <v>16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9</v>
      </c>
      <c r="AA69" s="1">
        <f>CEILING(Elf!$B44 / IF(Elf!$D44 &lt; 10.8, $AB$6, $AB$6 / (Elf!$D44 / 10.8)),1)</f>
        <v>11</v>
      </c>
      <c r="AB69" s="1">
        <f>CEILING(Beastgirl!$B44 / IF(Beastgirl!$D44&lt; 10.8, $AB$6, $AB$6 / (Beastgirl!$D44 / 10.8)),1)</f>
        <v>16</v>
      </c>
      <c r="AC69" s="1">
        <f>CEILING(Warrior!$B44 / IF(Warrior!$D44&lt; 10.8, $AB$6, $AB$6 / (Warrior!$D44 / 10.8)),1)</f>
        <v>12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19</v>
      </c>
      <c r="E70" s="1">
        <f>CEILING(Elf!$B45 / IF(Elf!$D45&lt; 10.8, $F$6,$F$6 / (Elf!$D45 / 10.8)),1)</f>
        <v>22</v>
      </c>
      <c r="F70" s="1">
        <f>CEILING(Beastgirl!$B45 / IF(Beastgirl!$D45&lt; 10.8, $F$6, $F$6 / (Beastgirl!$D45 / 10.8)),1)</f>
        <v>34</v>
      </c>
      <c r="G70" s="1">
        <f>CEILING(Warrior!$B45/ IF(Warrior!$D45&lt; 10.8, $F$6, $F$6 / (Warrior!$D45/ 10.8)),1)</f>
        <v>24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13</v>
      </c>
      <c r="P70" s="1">
        <f>CEILING(Elf!$B45/ IF(Elf!$D45 &lt; 10.8, $Q$6, $Q$6 / (Elf!$D45 / 10.8)),1)</f>
        <v>15</v>
      </c>
      <c r="Q70" s="1">
        <f>CEILING(Beastgirl!$B45/ IF(Beastgirl!$D45&lt; 10.8, $Q$6, $Q$6 / (Beastgirl!$D45 / 10.8)),1)</f>
        <v>23</v>
      </c>
      <c r="R70" s="1">
        <f>CEILING(Warrior!$B45 / IF(Warrior!$D45&lt; 10.8, $Q$6, $Q$6 / (Warrior!$D45 / 10.8)),1)</f>
        <v>16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10</v>
      </c>
      <c r="AA70" s="1">
        <f>CEILING(Elf!$B45 / IF(Elf!$D45 &lt; 10.8, $AB$6, $AB$6 / (Elf!$D45 / 10.8)),1)</f>
        <v>11</v>
      </c>
      <c r="AB70" s="1">
        <f>CEILING(Beastgirl!$B45 / IF(Beastgirl!$D45&lt; 10.8, $AB$6, $AB$6 / (Beastgirl!$D45 / 10.8)),1)</f>
        <v>17</v>
      </c>
      <c r="AC70" s="1">
        <f>CEILING(Warrior!$B45 / IF(Warrior!$D45&lt; 10.8, $AB$6, $AB$6 / (Warrior!$D45 / 10.8)),1)</f>
        <v>12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20</v>
      </c>
      <c r="E71" s="1">
        <f>CEILING(Elf!$B46 / IF(Elf!$D46&lt; 10.8, $F$6,$F$6 / (Elf!$D46 / 10.8)),1)</f>
        <v>23</v>
      </c>
      <c r="F71" s="1">
        <f>CEILING(Beastgirl!$B46 / IF(Beastgirl!$D46&lt; 10.8, $F$6, $F$6 / (Beastgirl!$D46 / 10.8)),1)</f>
        <v>35</v>
      </c>
      <c r="G71" s="1">
        <f>CEILING(Warrior!$B46/ IF(Warrior!$D46&lt; 10.8, $F$6, $F$6 / (Warrior!$D46/ 10.8)),1)</f>
        <v>25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13</v>
      </c>
      <c r="P71" s="1">
        <f>CEILING(Elf!$B46/ IF(Elf!$D46 &lt; 10.8, $Q$6, $Q$6 / (Elf!$D46 / 10.8)),1)</f>
        <v>15</v>
      </c>
      <c r="Q71" s="1">
        <f>CEILING(Beastgirl!$B46/ IF(Beastgirl!$D46&lt; 10.8, $Q$6, $Q$6 / (Beastgirl!$D46 / 10.8)),1)</f>
        <v>24</v>
      </c>
      <c r="R71" s="1">
        <f>CEILING(Warrior!$B46 / IF(Warrior!$D46&lt; 10.8, $Q$6, $Q$6 / (Warrior!$D46 / 10.8)),1)</f>
        <v>17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10</v>
      </c>
      <c r="AA71" s="1">
        <f>CEILING(Elf!$B46 / IF(Elf!$D46 &lt; 10.8, $AB$6, $AB$6 / (Elf!$D46 / 10.8)),1)</f>
        <v>12</v>
      </c>
      <c r="AB71" s="1">
        <f>CEILING(Beastgirl!$B46 / IF(Beastgirl!$D46&lt; 10.8, $AB$6, $AB$6 / (Beastgirl!$D46 / 10.8)),1)</f>
        <v>18</v>
      </c>
      <c r="AC71" s="1">
        <f>CEILING(Warrior!$B46 / IF(Warrior!$D46&lt; 10.8, $AB$6, $AB$6 / (Warrior!$D46 / 10.8)),1)</f>
        <v>13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25</v>
      </c>
      <c r="E72" s="1">
        <f>CEILING(Elf!$B47 / IF(Elf!$D47&lt; 10.8, $F$6,$F$6 / (Elf!$D47 / 10.8)),1)</f>
        <v>29</v>
      </c>
      <c r="F72" s="1">
        <f>CEILING(Beastgirl!$B47 / IF(Beastgirl!$D47&lt; 10.8, $F$6, $F$6 / (Beastgirl!$D47 / 10.8)),1)</f>
        <v>44</v>
      </c>
      <c r="G72" s="1">
        <f>CEILING(Warrior!$B47/ IF(Warrior!$D47&lt; 10.8, $F$6, $F$6 / (Warrior!$D47/ 10.8)),1)</f>
        <v>32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17</v>
      </c>
      <c r="P72" s="1">
        <f>CEILING(Elf!$B47/ IF(Elf!$D47 &lt; 10.8, $Q$6, $Q$6 / (Elf!$D47 / 10.8)),1)</f>
        <v>19</v>
      </c>
      <c r="Q72" s="1">
        <f>CEILING(Beastgirl!$B47/ IF(Beastgirl!$D47&lt; 10.8, $Q$6, $Q$6 / (Beastgirl!$D47 / 10.8)),1)</f>
        <v>30</v>
      </c>
      <c r="R72" s="1">
        <f>CEILING(Warrior!$B47 / IF(Warrior!$D47&lt; 10.8, $Q$6, $Q$6 / (Warrior!$D47 / 10.8)),1)</f>
        <v>21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13</v>
      </c>
      <c r="AA72" s="1">
        <f>CEILING(Elf!$B47 / IF(Elf!$D47 &lt; 10.8, $AB$6, $AB$6 / (Elf!$D47 / 10.8)),1)</f>
        <v>15</v>
      </c>
      <c r="AB72" s="1">
        <f>CEILING(Beastgirl!$B47 / IF(Beastgirl!$D47&lt; 10.8, $AB$6, $AB$6 / (Beastgirl!$D47 / 10.8)),1)</f>
        <v>22</v>
      </c>
      <c r="AC72" s="1">
        <f>CEILING(Warrior!$B47 / IF(Warrior!$D47&lt; 10.8, $AB$6, $AB$6 / (Warrior!$D47 / 10.8)),1)</f>
        <v>16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26</v>
      </c>
      <c r="E73" s="1">
        <f>CEILING(Elf!$B48 / IF(Elf!$D48&lt; 10.8, $F$6,$F$6 / (Elf!$D48 / 10.8)),1)</f>
        <v>30</v>
      </c>
      <c r="F73" s="1">
        <f>CEILING(Beastgirl!$B48 / IF(Beastgirl!$D48&lt; 10.8, $F$6, $F$6 / (Beastgirl!$D48 / 10.8)),1)</f>
        <v>46</v>
      </c>
      <c r="G73" s="1">
        <f>CEILING(Warrior!$B48/ IF(Warrior!$D48&lt; 10.8, $F$6, $F$6 / (Warrior!$D48/ 10.8)),1)</f>
        <v>33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18</v>
      </c>
      <c r="P73" s="1">
        <f>CEILING(Elf!$B48/ IF(Elf!$D48 &lt; 10.8, $Q$6, $Q$6 / (Elf!$D48 / 10.8)),1)</f>
        <v>20</v>
      </c>
      <c r="Q73" s="1">
        <f>CEILING(Beastgirl!$B48/ IF(Beastgirl!$D48&lt; 10.8, $Q$6, $Q$6 / (Beastgirl!$D48 / 10.8)),1)</f>
        <v>31</v>
      </c>
      <c r="R73" s="1">
        <f>CEILING(Warrior!$B48 / IF(Warrior!$D48&lt; 10.8, $Q$6, $Q$6 / (Warrior!$D48 / 10.8)),1)</f>
        <v>22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13</v>
      </c>
      <c r="AA73" s="1">
        <f>CEILING(Elf!$B48 / IF(Elf!$D48 &lt; 10.8, $AB$6, $AB$6 / (Elf!$D48 / 10.8)),1)</f>
        <v>15</v>
      </c>
      <c r="AB73" s="1">
        <f>CEILING(Beastgirl!$B48 / IF(Beastgirl!$D48&lt; 10.8, $AB$6, $AB$6 / (Beastgirl!$D48 / 10.8)),1)</f>
        <v>23</v>
      </c>
      <c r="AC73" s="1">
        <f>CEILING(Warrior!$B48 / IF(Warrior!$D48&lt; 10.8, $AB$6, $AB$6 / (Warrior!$D48 / 10.8)),1)</f>
        <v>17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27</v>
      </c>
      <c r="E74" s="1">
        <f>CEILING(Elf!$B49 / IF(Elf!$D49&lt; 10.8, $F$6,$F$6 / (Elf!$D49 / 10.8)),1)</f>
        <v>31</v>
      </c>
      <c r="F74" s="1">
        <f>CEILING(Beastgirl!$B49 / IF(Beastgirl!$D49&lt; 10.8, $F$6, $F$6 / (Beastgirl!$D49 / 10.8)),1)</f>
        <v>48</v>
      </c>
      <c r="G74" s="1">
        <f>CEILING(Warrior!$B49/ IF(Warrior!$D49&lt; 10.8, $F$6, $F$6 / (Warrior!$D49/ 10.8)),1)</f>
        <v>34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18</v>
      </c>
      <c r="P74" s="1">
        <f>CEILING(Elf!$B49/ IF(Elf!$D49 &lt; 10.8, $Q$6, $Q$6 / (Elf!$D49 / 10.8)),1)</f>
        <v>21</v>
      </c>
      <c r="Q74" s="1">
        <f>CEILING(Beastgirl!$B49/ IF(Beastgirl!$D49&lt; 10.8, $Q$6, $Q$6 / (Beastgirl!$D49 / 10.8)),1)</f>
        <v>32</v>
      </c>
      <c r="R74" s="1">
        <f>CEILING(Warrior!$B49 / IF(Warrior!$D49&lt; 10.8, $Q$6, $Q$6 / (Warrior!$D49 / 10.8)),1)</f>
        <v>23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14</v>
      </c>
      <c r="AA74" s="1">
        <f>CEILING(Elf!$B49 / IF(Elf!$D49 &lt; 10.8, $AB$6, $AB$6 / (Elf!$D49 / 10.8)),1)</f>
        <v>16</v>
      </c>
      <c r="AB74" s="1">
        <f>CEILING(Beastgirl!$B49 / IF(Beastgirl!$D49&lt; 10.8, $AB$6, $AB$6 / (Beastgirl!$D49 / 10.8)),1)</f>
        <v>24</v>
      </c>
      <c r="AC74" s="1">
        <f>CEILING(Warrior!$B49 / IF(Warrior!$D49&lt; 10.8, $AB$6, $AB$6 / (Warrior!$D49 / 10.8)),1)</f>
        <v>17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29</v>
      </c>
      <c r="E75" s="1">
        <f>CEILING(Elf!$B50 / IF(Elf!$D50&lt; 10.8, $F$6,$F$6 / (Elf!$D50 / 10.8)),1)</f>
        <v>32</v>
      </c>
      <c r="F75" s="1">
        <f>CEILING(Beastgirl!$B50 / IF(Beastgirl!$D50&lt; 10.8, $F$6, $F$6 / (Beastgirl!$D50 / 10.8)),1)</f>
        <v>49</v>
      </c>
      <c r="G75" s="1">
        <f>CEILING(Warrior!$B50/ IF(Warrior!$D50&lt; 10.8, $F$6, $F$6 / (Warrior!$D50/ 10.8)),1)</f>
        <v>36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19</v>
      </c>
      <c r="P75" s="1">
        <f>CEILING(Elf!$B50/ IF(Elf!$D50 &lt; 10.8, $Q$6, $Q$6 / (Elf!$D50 / 10.8)),1)</f>
        <v>22</v>
      </c>
      <c r="Q75" s="1">
        <f>CEILING(Beastgirl!$B50/ IF(Beastgirl!$D50&lt; 10.8, $Q$6, $Q$6 / (Beastgirl!$D50 / 10.8)),1)</f>
        <v>33</v>
      </c>
      <c r="R75" s="1">
        <f>CEILING(Warrior!$B50 / IF(Warrior!$D50&lt; 10.8, $Q$6, $Q$6 / (Warrior!$D50 / 10.8)),1)</f>
        <v>24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15</v>
      </c>
      <c r="AA75" s="1">
        <f>CEILING(Elf!$B50 / IF(Elf!$D50 &lt; 10.8, $AB$6, $AB$6 / (Elf!$D50 / 10.8)),1)</f>
        <v>16</v>
      </c>
      <c r="AB75" s="1">
        <f>CEILING(Beastgirl!$B50 / IF(Beastgirl!$D50&lt; 10.8, $AB$6, $AB$6 / (Beastgirl!$D50 / 10.8)),1)</f>
        <v>25</v>
      </c>
      <c r="AC75" s="1">
        <f>CEILING(Warrior!$B50 / IF(Warrior!$D50&lt; 10.8, $AB$6, $AB$6 / (Warrior!$D50 / 10.8)),1)</f>
        <v>18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30</v>
      </c>
      <c r="E76" s="1">
        <f>CEILING(Elf!$B51 / IF(Elf!$D51&lt; 10.8, $F$6,$F$6 / (Elf!$D51 / 10.8)),1)</f>
        <v>34</v>
      </c>
      <c r="F76" s="1">
        <f>CEILING(Beastgirl!$B51 / IF(Beastgirl!$D51&lt; 10.8, $F$6, $F$6 / (Beastgirl!$D51 / 10.8)),1)</f>
        <v>51</v>
      </c>
      <c r="G76" s="1">
        <f>CEILING(Warrior!$B51/ IF(Warrior!$D51&lt; 10.8, $F$6, $F$6 / (Warrior!$D51/ 10.8)),1)</f>
        <v>37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20</v>
      </c>
      <c r="P76" s="1">
        <f>CEILING(Elf!$B51/ IF(Elf!$D51 &lt; 10.8, $Q$6, $Q$6 / (Elf!$D51 / 10.8)),1)</f>
        <v>23</v>
      </c>
      <c r="Q76" s="1">
        <f>CEILING(Beastgirl!$B51/ IF(Beastgirl!$D51&lt; 10.8, $Q$6, $Q$6 / (Beastgirl!$D51 / 10.8)),1)</f>
        <v>34</v>
      </c>
      <c r="R76" s="1">
        <f>CEILING(Warrior!$B51 / IF(Warrior!$D51&lt; 10.8, $Q$6, $Q$6 / (Warrior!$D51 / 10.8)),1)</f>
        <v>25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15</v>
      </c>
      <c r="AA76" s="1">
        <f>CEILING(Elf!$B51 / IF(Elf!$D51 &lt; 10.8, $AB$6, $AB$6 / (Elf!$D51 / 10.8)),1)</f>
        <v>17</v>
      </c>
      <c r="AB76" s="1">
        <f>CEILING(Beastgirl!$B51 / IF(Beastgirl!$D51&lt; 10.8, $AB$6, $AB$6 / (Beastgirl!$D51 / 10.8)),1)</f>
        <v>26</v>
      </c>
      <c r="AC76" s="1">
        <f>CEILING(Warrior!$B51 / IF(Warrior!$D51&lt; 10.8, $AB$6, $AB$6 / (Warrior!$D51 / 10.8)),1)</f>
        <v>19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31</v>
      </c>
      <c r="E77" s="1">
        <f>CEILING(Elf!$B52 / IF(Elf!$D52&lt; 10.8, $F$6,$F$6 / (Elf!$D52 / 10.8)),1)</f>
        <v>35</v>
      </c>
      <c r="F77" s="1">
        <f>CEILING(Beastgirl!$B52 / IF(Beastgirl!$D52&lt; 10.8, $F$6, $F$6 / (Beastgirl!$D52 / 10.8)),1)</f>
        <v>53</v>
      </c>
      <c r="G77" s="1">
        <f>CEILING(Warrior!$B52/ IF(Warrior!$D52&lt; 10.8, $F$6, $F$6 / (Warrior!$D52/ 10.8)),1)</f>
        <v>38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21</v>
      </c>
      <c r="P77" s="1">
        <f>CEILING(Elf!$B52/ IF(Elf!$D52 &lt; 10.8, $Q$6, $Q$6 / (Elf!$D52 / 10.8)),1)</f>
        <v>24</v>
      </c>
      <c r="Q77" s="1">
        <f>CEILING(Beastgirl!$B52/ IF(Beastgirl!$D52&lt; 10.8, $Q$6, $Q$6 / (Beastgirl!$D52 / 10.8)),1)</f>
        <v>36</v>
      </c>
      <c r="R77" s="1">
        <f>CEILING(Warrior!$B52 / IF(Warrior!$D52&lt; 10.8, $Q$6, $Q$6 / (Warrior!$D52 / 10.8)),1)</f>
        <v>26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16</v>
      </c>
      <c r="AA77" s="1">
        <f>CEILING(Elf!$B52 / IF(Elf!$D52 &lt; 10.8, $AB$6, $AB$6 / (Elf!$D52 / 10.8)),1)</f>
        <v>18</v>
      </c>
      <c r="AB77" s="1">
        <f>CEILING(Beastgirl!$B52 / IF(Beastgirl!$D52&lt; 10.8, $AB$6, $AB$6 / (Beastgirl!$D52 / 10.8)),1)</f>
        <v>27</v>
      </c>
      <c r="AC77" s="1">
        <f>CEILING(Warrior!$B52 / IF(Warrior!$D52&lt; 10.8, $AB$6, $AB$6 / (Warrior!$D52 / 10.8)),1)</f>
        <v>19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53" t="s">
        <v>73</v>
      </c>
      <c r="D79" s="53"/>
      <c r="E79" s="53"/>
      <c r="F79" s="53"/>
      <c r="G79" s="53"/>
      <c r="H79" s="4"/>
      <c r="I79" s="4"/>
      <c r="J79" s="4"/>
      <c r="K79" s="4"/>
      <c r="L79" s="4"/>
      <c r="N79" s="53" t="s">
        <v>73</v>
      </c>
      <c r="O79" s="53"/>
      <c r="P79" s="53"/>
      <c r="Q79" s="53"/>
      <c r="R79" s="53"/>
      <c r="T79" s="4"/>
      <c r="U79" s="4"/>
      <c r="V79" s="4"/>
      <c r="W79" s="4"/>
      <c r="X79" s="4"/>
      <c r="Y79" s="53" t="s">
        <v>73</v>
      </c>
      <c r="Z79" s="53"/>
      <c r="AA79" s="53"/>
      <c r="AB79" s="53"/>
      <c r="AC79" s="53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8</v>
      </c>
      <c r="E81" s="1">
        <f>CEILING(Elf!$B33 / IF(Elf!$D33&lt; 10.8, $F$7,$F$7 / (Elf!$D33 / 10.8)),1)</f>
        <v>9</v>
      </c>
      <c r="F81" s="1">
        <f>CEILING(Beastgirl!$B33 / IF(Beastgirl!$D33&lt; 10.8, $F$7, $F$7 / (Beastgirl!$D33 / 10.8)),1)</f>
        <v>15</v>
      </c>
      <c r="G81" s="1">
        <f>CEILING(Warrior!$B33/ IF(Warrior!$D33&lt; 10.8, $F$7, $F$7 / (Warrior!$D33/ 10.8)),1)</f>
        <v>10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6</v>
      </c>
      <c r="P81" s="1">
        <f>CEILING(Elf!$B33/ IF(Elf!$D33 &lt; 10.8, $Q$7, $Q$7 / (Elf!$D33/ 10.8)),1)</f>
        <v>6</v>
      </c>
      <c r="Q81" s="1">
        <f>CEILING(Beastgirl!$B33/ IF(Beastgirl!$D33&lt; 10.8, $Q$7, $Q$7/ (Beastgirl!$D33 / 10.8)),1)</f>
        <v>10</v>
      </c>
      <c r="R81" s="1">
        <f>CEILING(Warrior!$B33 / IF(Warrior!$D33&lt; 10.8, $Q$7, $Q$7 / (Warrior!$D33 / 10.8)),1)</f>
        <v>7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4</v>
      </c>
      <c r="AA81" s="1">
        <f>CEILING(Elf!$B33 / IF(Elf!$D33 &lt; 10.8, $AB$7, $AB$7 / (Elf!$D33 / 10.8)),1)</f>
        <v>5</v>
      </c>
      <c r="AB81" s="1">
        <f>CEILING(Beastgirl!$B33 / IF(Beastgirl!$D33&lt; 10.8, $AB$7, $AB$7 / (Beastgirl!$D33 / 10.8)),1)</f>
        <v>8</v>
      </c>
      <c r="AC81" s="1">
        <f>CEILING(Warrior!$B33/ IF(Warrior!$D33&lt; 10.8, $AB$7, $AB$7 / (Warrior!$D33 / 10.8)),1)</f>
        <v>5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9</v>
      </c>
      <c r="E82" s="1">
        <f>CEILING(Elf!$B34 / IF(Elf!$D34&lt; 10.8, $F$7,$F$7 / (Elf!$D34 / 10.8)),1)</f>
        <v>10</v>
      </c>
      <c r="F82" s="1">
        <f>CEILING(Beastgirl!$B34 / IF(Beastgirl!$D34&lt; 10.8, $F$7, $F$7 / (Beastgirl!$D34 / 10.8)),1)</f>
        <v>15</v>
      </c>
      <c r="G82" s="1">
        <f>CEILING(Warrior!$B34/ IF(Warrior!$D34&lt; 10.8, $F$7, $F$7 / (Warrior!$D34/ 10.8)),1)</f>
        <v>11</v>
      </c>
      <c r="N82" s="1">
        <v>32</v>
      </c>
      <c r="O82" s="1">
        <f>CEILING(Demon!$B34 / IF(Demon!$D34&lt; 10.8, $Q$7, $Q$7 / (Demon!$D34/ 10.8)),1)</f>
        <v>6</v>
      </c>
      <c r="P82" s="1">
        <f>CEILING(Elf!$B34/ IF(Elf!$D34 &lt; 10.8, $Q$7, $Q$7 / (Elf!$D34/ 10.8)),1)</f>
        <v>7</v>
      </c>
      <c r="Q82" s="1">
        <f>CEILING(Beastgirl!$B34/ IF(Beastgirl!$D34&lt; 10.8, $Q$7, $Q$7/ (Beastgirl!$D34 / 10.8)),1)</f>
        <v>10</v>
      </c>
      <c r="R82" s="1">
        <f>CEILING(Warrior!$B34 / IF(Warrior!$D34&lt; 10.8, $Q$7, $Q$7 / (Warrior!$D34 / 10.8)),1)</f>
        <v>8</v>
      </c>
      <c r="Y82" s="1">
        <v>32</v>
      </c>
      <c r="Z82" s="1">
        <f>CEILING(Demon!$B34 / IF(Demon!$D34&lt; 10.8, $AB$7, $AB$7 / (Demon!$D34 / 10.8)),1)</f>
        <v>5</v>
      </c>
      <c r="AA82" s="1">
        <f>CEILING(Elf!$B34 / IF(Elf!$D34 &lt; 10.8, $AB$7, $AB$7 / (Elf!$D34 / 10.8)),1)</f>
        <v>5</v>
      </c>
      <c r="AB82" s="1">
        <f>CEILING(Beastgirl!$B34 / IF(Beastgirl!$D34&lt; 10.8, $AB$7, $AB$7 / (Beastgirl!$D34 / 10.8)),1)</f>
        <v>8</v>
      </c>
      <c r="AC82" s="1">
        <f>CEILING(Warrior!$B34/ IF(Warrior!$D34&lt; 10.8, $AB$7, $AB$7 / (Warrior!$D34 / 10.8)),1)</f>
        <v>6</v>
      </c>
    </row>
    <row r="83" spans="1:31" x14ac:dyDescent="0.3">
      <c r="C83" s="1">
        <v>33</v>
      </c>
      <c r="D83" s="1">
        <f>CEILING(Demon!$B35/ IF(Demon!$D35&lt; 10.8, $F$7, $F$7 / (Demon!$D35 / 10.8)),1)</f>
        <v>9</v>
      </c>
      <c r="E83" s="1">
        <f>CEILING(Elf!$B35 / IF(Elf!$D35&lt; 10.8, $F$7,$F$7 / (Elf!$D35 / 10.8)),1)</f>
        <v>10</v>
      </c>
      <c r="F83" s="1">
        <f>CEILING(Beastgirl!$B35 / IF(Beastgirl!$D35&lt; 10.8, $F$7, $F$7 / (Beastgirl!$D35 / 10.8)),1)</f>
        <v>16</v>
      </c>
      <c r="G83" s="1">
        <f>CEILING(Warrior!$B35/ IF(Warrior!$D35&lt; 10.8, $F$7, $F$7 / (Warrior!$D35/ 10.8)),1)</f>
        <v>12</v>
      </c>
      <c r="N83" s="1">
        <v>33</v>
      </c>
      <c r="O83" s="1">
        <f>CEILING(Demon!$B35 / IF(Demon!$D35&lt; 10.8, $Q$7, $Q$7 / (Demon!$D35/ 10.8)),1)</f>
        <v>6</v>
      </c>
      <c r="P83" s="1">
        <f>CEILING(Elf!$B35/ IF(Elf!$D35 &lt; 10.8, $Q$7, $Q$7 / (Elf!$D35/ 10.8)),1)</f>
        <v>7</v>
      </c>
      <c r="Q83" s="1">
        <f>CEILING(Beastgirl!$B35/ IF(Beastgirl!$D35&lt; 10.8, $Q$7, $Q$7/ (Beastgirl!$D35 / 10.8)),1)</f>
        <v>11</v>
      </c>
      <c r="R83" s="1">
        <f>CEILING(Warrior!$B35 / IF(Warrior!$D35&lt; 10.8, $Q$7, $Q$7 / (Warrior!$D35 / 10.8)),1)</f>
        <v>8</v>
      </c>
      <c r="Y83" s="1">
        <v>33</v>
      </c>
      <c r="Z83" s="1">
        <f>CEILING(Demon!$B35 / IF(Demon!$D35&lt; 10.8, $AB$7, $AB$7 / (Demon!$D35 / 10.8)),1)</f>
        <v>5</v>
      </c>
      <c r="AA83" s="1">
        <f>CEILING(Elf!$B35 / IF(Elf!$D35 &lt; 10.8, $AB$7, $AB$7 / (Elf!$D35 / 10.8)),1)</f>
        <v>5</v>
      </c>
      <c r="AB83" s="1">
        <f>CEILING(Beastgirl!$B35 / IF(Beastgirl!$D35&lt; 10.8, $AB$7, $AB$7 / (Beastgirl!$D35 / 10.8)),1)</f>
        <v>8</v>
      </c>
      <c r="AC83" s="1">
        <f>CEILING(Warrior!$B35/ IF(Warrior!$D35&lt; 10.8, $AB$7, $AB$7 / (Warrior!$D35 / 10.8)),1)</f>
        <v>6</v>
      </c>
    </row>
    <row r="84" spans="1:31" x14ac:dyDescent="0.3">
      <c r="C84" s="1">
        <v>34</v>
      </c>
      <c r="D84" s="1">
        <f>CEILING(Demon!$B36/ IF(Demon!$D36&lt; 10.8, $F$7, $F$7 / (Demon!$D36 / 10.8)),1)</f>
        <v>10</v>
      </c>
      <c r="E84" s="1">
        <f>CEILING(Elf!$B36 / IF(Elf!$D36&lt; 10.8, $F$7,$F$7 / (Elf!$D36 / 10.8)),1)</f>
        <v>11</v>
      </c>
      <c r="F84" s="1">
        <f>CEILING(Beastgirl!$B36 / IF(Beastgirl!$D36&lt; 10.8, $F$7, $F$7 / (Beastgirl!$D36 / 10.8)),1)</f>
        <v>17</v>
      </c>
      <c r="G84" s="1">
        <f>CEILING(Warrior!$B36/ IF(Warrior!$D36&lt; 10.8, $F$7, $F$7 / (Warrior!$D36/ 10.8)),1)</f>
        <v>12</v>
      </c>
      <c r="N84" s="1">
        <v>34</v>
      </c>
      <c r="O84" s="1">
        <f>CEILING(Demon!$B36 / IF(Demon!$D36&lt; 10.8, $Q$7, $Q$7 / (Demon!$D36/ 10.8)),1)</f>
        <v>7</v>
      </c>
      <c r="P84" s="1">
        <f>CEILING(Elf!$B36/ IF(Elf!$D36 &lt; 10.8, $Q$7, $Q$7 / (Elf!$D36/ 10.8)),1)</f>
        <v>7</v>
      </c>
      <c r="Q84" s="1">
        <f>CEILING(Beastgirl!$B36/ IF(Beastgirl!$D36&lt; 10.8, $Q$7, $Q$7/ (Beastgirl!$D36 / 10.8)),1)</f>
        <v>12</v>
      </c>
      <c r="R84" s="1">
        <f>CEILING(Warrior!$B36 / IF(Warrior!$D36&lt; 10.8, $Q$7, $Q$7 / (Warrior!$D36 / 10.8)),1)</f>
        <v>8</v>
      </c>
      <c r="Y84" s="1">
        <v>34</v>
      </c>
      <c r="Z84" s="1">
        <f>CEILING(Demon!$B36 / IF(Demon!$D36&lt; 10.8, $AB$7, $AB$7 / (Demon!$D36 / 10.8)),1)</f>
        <v>5</v>
      </c>
      <c r="AA84" s="1">
        <f>CEILING(Elf!$B36 / IF(Elf!$D36 &lt; 10.8, $AB$7, $AB$7 / (Elf!$D36 / 10.8)),1)</f>
        <v>6</v>
      </c>
      <c r="AB84" s="1">
        <f>CEILING(Beastgirl!$B36 / IF(Beastgirl!$D36&lt; 10.8, $AB$7, $AB$7 / (Beastgirl!$D36 / 10.8)),1)</f>
        <v>9</v>
      </c>
      <c r="AC84" s="1">
        <f>CEILING(Warrior!$B36/ IF(Warrior!$D36&lt; 10.8, $AB$7, $AB$7 / (Warrior!$D36 / 10.8)),1)</f>
        <v>6</v>
      </c>
    </row>
    <row r="85" spans="1:31" x14ac:dyDescent="0.3">
      <c r="C85" s="1">
        <v>35</v>
      </c>
      <c r="D85" s="1">
        <f>CEILING(Demon!$B37/ IF(Demon!$D37&lt; 10.8, $F$7, $F$7 / (Demon!$D37 / 10.8)),1)</f>
        <v>13</v>
      </c>
      <c r="E85" s="1">
        <f>CEILING(Elf!$B37 / IF(Elf!$D37&lt; 10.8, $F$7,$F$7 / (Elf!$D37 / 10.8)),1)</f>
        <v>14</v>
      </c>
      <c r="F85" s="1">
        <f>CEILING(Beastgirl!$B37 / IF(Beastgirl!$D37&lt; 10.8, $F$7, $F$7 / (Beastgirl!$D37 / 10.8)),1)</f>
        <v>23</v>
      </c>
      <c r="G85" s="1">
        <f>CEILING(Warrior!$B37/ IF(Warrior!$D37&lt; 10.8, $F$7, $F$7 / (Warrior!$D37/ 10.8)),1)</f>
        <v>16</v>
      </c>
      <c r="N85" s="1">
        <v>35</v>
      </c>
      <c r="O85" s="1">
        <f>CEILING(Demon!$B37 / IF(Demon!$D37&lt; 10.8, $Q$7, $Q$7 / (Demon!$D37/ 10.8)),1)</f>
        <v>9</v>
      </c>
      <c r="P85" s="1">
        <f>CEILING(Elf!$B37/ IF(Elf!$D37 &lt; 10.8, $Q$7, $Q$7 / (Elf!$D37/ 10.8)),1)</f>
        <v>10</v>
      </c>
      <c r="Q85" s="1">
        <f>CEILING(Beastgirl!$B37/ IF(Beastgirl!$D37&lt; 10.8, $Q$7, $Q$7/ (Beastgirl!$D37 / 10.8)),1)</f>
        <v>15</v>
      </c>
      <c r="R85" s="1">
        <f>CEILING(Warrior!$B37 / IF(Warrior!$D37&lt; 10.8, $Q$7, $Q$7 / (Warrior!$D37 / 10.8)),1)</f>
        <v>11</v>
      </c>
      <c r="Y85" s="1">
        <v>35</v>
      </c>
      <c r="Z85" s="1">
        <f>CEILING(Demon!$B37 / IF(Demon!$D37&lt; 10.8, $AB$7, $AB$7 / (Demon!$D37 / 10.8)),1)</f>
        <v>7</v>
      </c>
      <c r="AA85" s="1">
        <f>CEILING(Elf!$B37 / IF(Elf!$D37 &lt; 10.8, $AB$7, $AB$7 / (Elf!$D37 / 10.8)),1)</f>
        <v>7</v>
      </c>
      <c r="AB85" s="1">
        <f>CEILING(Beastgirl!$B37 / IF(Beastgirl!$D37&lt; 10.8, $AB$7, $AB$7 / (Beastgirl!$D37 / 10.8)),1)</f>
        <v>12</v>
      </c>
      <c r="AC85" s="1">
        <f>CEILING(Warrior!$B37/ IF(Warrior!$D37&lt; 10.8, $AB$7, $AB$7 / (Warrior!$D37 / 10.8)),1)</f>
        <v>8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13</v>
      </c>
      <c r="E86" s="1">
        <f>CEILING(Elf!$B38 / IF(Elf!$D38&lt; 10.8, $F$7,$F$7 / (Elf!$D38 / 10.8)),1)</f>
        <v>15</v>
      </c>
      <c r="F86" s="1">
        <f>CEILING(Beastgirl!$B38 / IF(Beastgirl!$D38&lt; 10.8, $F$7, $F$7 / (Beastgirl!$D38 / 10.8)),1)</f>
        <v>24</v>
      </c>
      <c r="G86" s="1">
        <f>CEILING(Warrior!$B38/ IF(Warrior!$D38&lt; 10.8, $F$7, $F$7 / (Warrior!$D38/ 10.8)),1)</f>
        <v>17</v>
      </c>
      <c r="N86" s="1">
        <v>36</v>
      </c>
      <c r="O86" s="1">
        <f>CEILING(Demon!$B38 / IF(Demon!$D38&lt; 10.8, $Q$7, $Q$7 / (Demon!$D38/ 10.8)),1)</f>
        <v>9</v>
      </c>
      <c r="P86" s="1">
        <f>CEILING(Elf!$B38/ IF(Elf!$D38 &lt; 10.8, $Q$7, $Q$7 / (Elf!$D38/ 10.8)),1)</f>
        <v>10</v>
      </c>
      <c r="Q86" s="1">
        <f>CEILING(Beastgirl!$B38/ IF(Beastgirl!$D38&lt; 10.8, $Q$7, $Q$7/ (Beastgirl!$D38 / 10.8)),1)</f>
        <v>16</v>
      </c>
      <c r="R86" s="1">
        <f>CEILING(Warrior!$B38 / IF(Warrior!$D38&lt; 10.8, $Q$7, $Q$7 / (Warrior!$D38 / 10.8)),1)</f>
        <v>12</v>
      </c>
      <c r="Y86" s="1">
        <v>36</v>
      </c>
      <c r="Z86" s="1">
        <f>CEILING(Demon!$B38 / IF(Demon!$D38&lt; 10.8, $AB$7, $AB$7 / (Demon!$D38 / 10.8)),1)</f>
        <v>7</v>
      </c>
      <c r="AA86" s="1">
        <f>CEILING(Elf!$B38 / IF(Elf!$D38 &lt; 10.8, $AB$7, $AB$7 / (Elf!$D38 / 10.8)),1)</f>
        <v>8</v>
      </c>
      <c r="AB86" s="1">
        <f>CEILING(Beastgirl!$B38 / IF(Beastgirl!$D38&lt; 10.8, $AB$7, $AB$7 / (Beastgirl!$D38 / 10.8)),1)</f>
        <v>12</v>
      </c>
      <c r="AC86" s="1">
        <f>CEILING(Warrior!$B38/ IF(Warrior!$D38&lt; 10.8, $AB$7, $AB$7 / (Warrior!$D38 / 10.8)),1)</f>
        <v>9</v>
      </c>
    </row>
    <row r="87" spans="1:31" x14ac:dyDescent="0.3">
      <c r="C87" s="1">
        <v>37</v>
      </c>
      <c r="D87" s="1">
        <f>CEILING(Demon!$B39/ IF(Demon!$D39&lt; 10.8, $F$7, $F$7 / (Demon!$D39 / 10.8)),1)</f>
        <v>14</v>
      </c>
      <c r="E87" s="1">
        <f>CEILING(Elf!$B39 / IF(Elf!$D39&lt; 10.8, $F$7,$F$7 / (Elf!$D39 / 10.8)),1)</f>
        <v>16</v>
      </c>
      <c r="F87" s="1">
        <f>CEILING(Beastgirl!$B39 / IF(Beastgirl!$D39&lt; 10.8, $F$7, $F$7 / (Beastgirl!$D39 / 10.8)),1)</f>
        <v>25</v>
      </c>
      <c r="G87" s="1">
        <f>CEILING(Warrior!$B39/ IF(Warrior!$D39&lt; 10.8, $F$7, $F$7 / (Warrior!$D39/ 10.8)),1)</f>
        <v>18</v>
      </c>
      <c r="N87" s="1">
        <v>37</v>
      </c>
      <c r="O87" s="1">
        <f>CEILING(Demon!$B39 / IF(Demon!$D39&lt; 10.8, $Q$7, $Q$7 / (Demon!$D39/ 10.8)),1)</f>
        <v>10</v>
      </c>
      <c r="P87" s="1">
        <f>CEILING(Elf!$B39/ IF(Elf!$D39 &lt; 10.8, $Q$7, $Q$7 / (Elf!$D39/ 10.8)),1)</f>
        <v>11</v>
      </c>
      <c r="Q87" s="1">
        <f>CEILING(Beastgirl!$B39/ IF(Beastgirl!$D39&lt; 10.8, $Q$7, $Q$7/ (Beastgirl!$D39 / 10.8)),1)</f>
        <v>17</v>
      </c>
      <c r="R87" s="1">
        <f>CEILING(Warrior!$B39 / IF(Warrior!$D39&lt; 10.8, $Q$7, $Q$7 / (Warrior!$D39 / 10.8)),1)</f>
        <v>12</v>
      </c>
      <c r="Y87" s="1">
        <v>37</v>
      </c>
      <c r="Z87" s="1">
        <f>CEILING(Demon!$B39 / IF(Demon!$D39&lt; 10.8, $AB$7, $AB$7 / (Demon!$D39 / 10.8)),1)</f>
        <v>7</v>
      </c>
      <c r="AA87" s="1">
        <f>CEILING(Elf!$B39 / IF(Elf!$D39 &lt; 10.8, $AB$7, $AB$7 / (Elf!$D39 / 10.8)),1)</f>
        <v>8</v>
      </c>
      <c r="AB87" s="1">
        <f>CEILING(Beastgirl!$B39 / IF(Beastgirl!$D39&lt; 10.8, $AB$7, $AB$7 / (Beastgirl!$D39 / 10.8)),1)</f>
        <v>13</v>
      </c>
      <c r="AC87" s="1">
        <f>CEILING(Warrior!$B39/ IF(Warrior!$D39&lt; 10.8, $AB$7, $AB$7 / (Warrior!$D39 / 10.8)),1)</f>
        <v>9</v>
      </c>
    </row>
    <row r="88" spans="1:31" x14ac:dyDescent="0.3">
      <c r="C88" s="1">
        <v>38</v>
      </c>
      <c r="D88" s="1">
        <f>CEILING(Demon!$B40/ IF(Demon!$D40&lt; 10.8, $F$7, $F$7 / (Demon!$D40 / 10.8)),1)</f>
        <v>15</v>
      </c>
      <c r="E88" s="1">
        <f>CEILING(Elf!$B40 / IF(Elf!$D40&lt; 10.8, $F$7,$F$7 / (Elf!$D40 / 10.8)),1)</f>
        <v>17</v>
      </c>
      <c r="F88" s="1">
        <f>CEILING(Beastgirl!$B40 / IF(Beastgirl!$D40&lt; 10.8, $F$7, $F$7 / (Beastgirl!$D40 / 10.8)),1)</f>
        <v>26</v>
      </c>
      <c r="G88" s="1">
        <f>CEILING(Warrior!$B40/ IF(Warrior!$D40&lt; 10.8, $F$7, $F$7 / (Warrior!$D40/ 10.8)),1)</f>
        <v>19</v>
      </c>
      <c r="N88" s="1">
        <v>38</v>
      </c>
      <c r="O88" s="1">
        <f>CEILING(Demon!$B40 / IF(Demon!$D40&lt; 10.8, $Q$7, $Q$7 / (Demon!$D40/ 10.8)),1)</f>
        <v>10</v>
      </c>
      <c r="P88" s="1">
        <f>CEILING(Elf!$B40/ IF(Elf!$D40 &lt; 10.8, $Q$7, $Q$7 / (Elf!$D40/ 10.8)),1)</f>
        <v>11</v>
      </c>
      <c r="Q88" s="1">
        <f>CEILING(Beastgirl!$B40/ IF(Beastgirl!$D40&lt; 10.8, $Q$7, $Q$7/ (Beastgirl!$D40 / 10.8)),1)</f>
        <v>18</v>
      </c>
      <c r="R88" s="1">
        <f>CEILING(Warrior!$B40 / IF(Warrior!$D40&lt; 10.8, $Q$7, $Q$7 / (Warrior!$D40 / 10.8)),1)</f>
        <v>13</v>
      </c>
      <c r="Y88" s="1">
        <v>38</v>
      </c>
      <c r="Z88" s="1">
        <f>CEILING(Demon!$B40 / IF(Demon!$D40&lt; 10.8, $AB$7, $AB$7 / (Demon!$D40 / 10.8)),1)</f>
        <v>8</v>
      </c>
      <c r="AA88" s="1">
        <f>CEILING(Elf!$B40 / IF(Elf!$D40 &lt; 10.8, $AB$7, $AB$7 / (Elf!$D40 / 10.8)),1)</f>
        <v>9</v>
      </c>
      <c r="AB88" s="1">
        <f>CEILING(Beastgirl!$B40 / IF(Beastgirl!$D40&lt; 10.8, $AB$7, $AB$7 / (Beastgirl!$D40 / 10.8)),1)</f>
        <v>13</v>
      </c>
      <c r="AC88" s="1">
        <f>CEILING(Warrior!$B40/ IF(Warrior!$D40&lt; 10.8, $AB$7, $AB$7 / (Warrior!$D40 / 10.8)),1)</f>
        <v>10</v>
      </c>
    </row>
    <row r="89" spans="1:31" x14ac:dyDescent="0.3">
      <c r="C89" s="1">
        <v>39</v>
      </c>
      <c r="D89" s="1">
        <f>CEILING(Demon!$B41/ IF(Demon!$D41&lt; 10.8, $F$7, $F$7 / (Demon!$D41 / 10.8)),1)</f>
        <v>16</v>
      </c>
      <c r="E89" s="1">
        <f>CEILING(Elf!$B41 / IF(Elf!$D41&lt; 10.8, $F$7,$F$7 / (Elf!$D41 / 10.8)),1)</f>
        <v>18</v>
      </c>
      <c r="F89" s="1">
        <f>CEILING(Beastgirl!$B41 / IF(Beastgirl!$D41&lt; 10.8, $F$7, $F$7 / (Beastgirl!$D41 / 10.8)),1)</f>
        <v>27</v>
      </c>
      <c r="G89" s="1">
        <f>CEILING(Warrior!$B41/ IF(Warrior!$D41&lt; 10.8, $F$7, $F$7 / (Warrior!$D41/ 10.8)),1)</f>
        <v>20</v>
      </c>
      <c r="N89" s="1">
        <v>39</v>
      </c>
      <c r="O89" s="1">
        <f>CEILING(Demon!$B41 / IF(Demon!$D41&lt; 10.8, $Q$7, $Q$7 / (Demon!$D41/ 10.8)),1)</f>
        <v>11</v>
      </c>
      <c r="P89" s="1">
        <f>CEILING(Elf!$B41/ IF(Elf!$D41 &lt; 10.8, $Q$7, $Q$7 / (Elf!$D41/ 10.8)),1)</f>
        <v>12</v>
      </c>
      <c r="Q89" s="1">
        <f>CEILING(Beastgirl!$B41/ IF(Beastgirl!$D41&lt; 10.8, $Q$7, $Q$7/ (Beastgirl!$D41 / 10.8)),1)</f>
        <v>18</v>
      </c>
      <c r="R89" s="1">
        <f>CEILING(Warrior!$B41 / IF(Warrior!$D41&lt; 10.8, $Q$7, $Q$7 / (Warrior!$D41 / 10.8)),1)</f>
        <v>13</v>
      </c>
      <c r="Y89" s="1">
        <v>39</v>
      </c>
      <c r="Z89" s="1">
        <f>CEILING(Demon!$B41 / IF(Demon!$D41&lt; 10.8, $AB$7, $AB$7 / (Demon!$D41 / 10.8)),1)</f>
        <v>8</v>
      </c>
      <c r="AA89" s="1">
        <f>CEILING(Elf!$B41 / IF(Elf!$D41 &lt; 10.8, $AB$7, $AB$7 / (Elf!$D41 / 10.8)),1)</f>
        <v>9</v>
      </c>
      <c r="AB89" s="1">
        <f>CEILING(Beastgirl!$B41 / IF(Beastgirl!$D41&lt; 10.8, $AB$7, $AB$7 / (Beastgirl!$D41 / 10.8)),1)</f>
        <v>14</v>
      </c>
      <c r="AC89" s="1">
        <f>CEILING(Warrior!$B41/ IF(Warrior!$D41&lt; 10.8, $AB$7, $AB$7 / (Warrior!$D41 / 10.8)),1)</f>
        <v>10</v>
      </c>
    </row>
    <row r="90" spans="1:31" x14ac:dyDescent="0.3">
      <c r="C90" s="1">
        <v>40</v>
      </c>
      <c r="D90" s="1">
        <f>CEILING(Demon!$B42/ IF(Demon!$D42&lt; 10.8, $F$7, $F$7 / (Demon!$D42 / 10.8)),1)</f>
        <v>16</v>
      </c>
      <c r="E90" s="1">
        <f>CEILING(Elf!$B42 / IF(Elf!$D42&lt; 10.8, $F$7,$F$7 / (Elf!$D42 / 10.8)),1)</f>
        <v>18</v>
      </c>
      <c r="F90" s="1">
        <f>CEILING(Beastgirl!$B42 / IF(Beastgirl!$D42&lt; 10.8, $F$7, $F$7 / (Beastgirl!$D42 / 10.8)),1)</f>
        <v>29</v>
      </c>
      <c r="G90" s="1">
        <f>CEILING(Warrior!$B42/ IF(Warrior!$D42&lt; 10.8, $F$7, $F$7 / (Warrior!$D42/ 10.8)),1)</f>
        <v>21</v>
      </c>
      <c r="N90" s="1">
        <v>40</v>
      </c>
      <c r="O90" s="1">
        <f>CEILING(Demon!$B42 / IF(Demon!$D42&lt; 10.8, $Q$7, $Q$7 / (Demon!$D42/ 10.8)),1)</f>
        <v>11</v>
      </c>
      <c r="P90" s="1">
        <f>CEILING(Elf!$B42/ IF(Elf!$D42 &lt; 10.8, $Q$7, $Q$7 / (Elf!$D42/ 10.8)),1)</f>
        <v>12</v>
      </c>
      <c r="Q90" s="1">
        <f>CEILING(Beastgirl!$B42/ IF(Beastgirl!$D42&lt; 10.8, $Q$7, $Q$7/ (Beastgirl!$D42 / 10.8)),1)</f>
        <v>19</v>
      </c>
      <c r="R90" s="1">
        <f>CEILING(Warrior!$B42 / IF(Warrior!$D42&lt; 10.8, $Q$7, $Q$7 / (Warrior!$D42 / 10.8)),1)</f>
        <v>14</v>
      </c>
      <c r="Y90" s="1">
        <v>40</v>
      </c>
      <c r="Z90" s="1">
        <f>CEILING(Demon!$B42 / IF(Demon!$D42&lt; 10.8, $AB$7, $AB$7 / (Demon!$D42 / 10.8)),1)</f>
        <v>8</v>
      </c>
      <c r="AA90" s="1">
        <f>CEILING(Elf!$B42 / IF(Elf!$D42 &lt; 10.8, $AB$7, $AB$7 / (Elf!$D42 / 10.8)),1)</f>
        <v>9</v>
      </c>
      <c r="AB90" s="1">
        <f>CEILING(Beastgirl!$B42 / IF(Beastgirl!$D42&lt; 10.8, $AB$7, $AB$7 / (Beastgirl!$D42 / 10.8)),1)</f>
        <v>15</v>
      </c>
      <c r="AC90" s="1">
        <f>CEILING(Warrior!$B42/ IF(Warrior!$D42&lt; 10.8, $AB$7, $AB$7 / (Warrior!$D42 / 10.8)),1)</f>
        <v>11</v>
      </c>
    </row>
    <row r="91" spans="1:31" x14ac:dyDescent="0.3">
      <c r="C91" s="1">
        <v>41</v>
      </c>
      <c r="D91" s="1">
        <f>CEILING(Demon!$B43/ IF(Demon!$D43&lt; 10.8, $F$7, $F$7 / (Demon!$D43 / 10.8)),1)</f>
        <v>17</v>
      </c>
      <c r="E91" s="1">
        <f>CEILING(Elf!$B43 / IF(Elf!$D43&lt; 10.8, $F$7,$F$7 / (Elf!$D43 / 10.8)),1)</f>
        <v>19</v>
      </c>
      <c r="F91" s="1">
        <f>CEILING(Beastgirl!$B43 / IF(Beastgirl!$D43&lt; 10.8, $F$7, $F$7 / (Beastgirl!$D43 / 10.8)),1)</f>
        <v>30</v>
      </c>
      <c r="G91" s="1">
        <f>CEILING(Warrior!$B43/ IF(Warrior!$D43&lt; 10.8, $F$7, $F$7 / (Warrior!$D43/ 10.8)),1)</f>
        <v>22</v>
      </c>
      <c r="N91" s="1">
        <v>41</v>
      </c>
      <c r="O91" s="1">
        <f>CEILING(Demon!$B43 / IF(Demon!$D43&lt; 10.8, $Q$7, $Q$7 / (Demon!$D43/ 10.8)),1)</f>
        <v>12</v>
      </c>
      <c r="P91" s="1">
        <f>CEILING(Elf!$B43/ IF(Elf!$D43 &lt; 10.8, $Q$7, $Q$7 / (Elf!$D43/ 10.8)),1)</f>
        <v>13</v>
      </c>
      <c r="Q91" s="1">
        <f>CEILING(Beastgirl!$B43/ IF(Beastgirl!$D43&lt; 10.8, $Q$7, $Q$7/ (Beastgirl!$D43 / 10.8)),1)</f>
        <v>20</v>
      </c>
      <c r="R91" s="1">
        <f>CEILING(Warrior!$B43 / IF(Warrior!$D43&lt; 10.8, $Q$7, $Q$7 / (Warrior!$D43 / 10.8)),1)</f>
        <v>15</v>
      </c>
      <c r="Y91" s="1">
        <v>41</v>
      </c>
      <c r="Z91" s="1">
        <f>CEILING(Demon!$B43 / IF(Demon!$D43&lt; 10.8, $AB$7, $AB$7 / (Demon!$D43 / 10.8)),1)</f>
        <v>9</v>
      </c>
      <c r="AA91" s="1">
        <f>CEILING(Elf!$B43 / IF(Elf!$D43 &lt; 10.8, $AB$7, $AB$7 / (Elf!$D43 / 10.8)),1)</f>
        <v>10</v>
      </c>
      <c r="AB91" s="1">
        <f>CEILING(Beastgirl!$B43 / IF(Beastgirl!$D43&lt; 10.8, $AB$7, $AB$7 / (Beastgirl!$D43 / 10.8)),1)</f>
        <v>15</v>
      </c>
      <c r="AC91" s="1">
        <f>CEILING(Warrior!$B43/ IF(Warrior!$D43&lt; 10.8, $AB$7, $AB$7 / (Warrior!$D43 / 10.8)),1)</f>
        <v>11</v>
      </c>
    </row>
    <row r="92" spans="1:31" x14ac:dyDescent="0.3">
      <c r="C92" s="1">
        <v>42</v>
      </c>
      <c r="D92" s="1">
        <f>CEILING(Demon!$B44/ IF(Demon!$D44&lt; 10.8, $F$7, $F$7 / (Demon!$D44 / 10.8)),1)</f>
        <v>18</v>
      </c>
      <c r="E92" s="1">
        <f>CEILING(Elf!$B44 / IF(Elf!$D44&lt; 10.8, $F$7,$F$7 / (Elf!$D44 / 10.8)),1)</f>
        <v>20</v>
      </c>
      <c r="F92" s="1">
        <f>CEILING(Beastgirl!$B44 / IF(Beastgirl!$D44&lt; 10.8, $F$7, $F$7 / (Beastgirl!$D44 / 10.8)),1)</f>
        <v>31</v>
      </c>
      <c r="G92" s="1">
        <f>CEILING(Warrior!$B44/ IF(Warrior!$D44&lt; 10.8, $F$7, $F$7 / (Warrior!$D44/ 10.8)),1)</f>
        <v>23</v>
      </c>
      <c r="N92" s="1">
        <v>42</v>
      </c>
      <c r="O92" s="1">
        <f>CEILING(Demon!$B44 / IF(Demon!$D44&lt; 10.8, $Q$7, $Q$7 / (Demon!$D44/ 10.8)),1)</f>
        <v>12</v>
      </c>
      <c r="P92" s="1">
        <f>CEILING(Elf!$B44/ IF(Elf!$D44 &lt; 10.8, $Q$7, $Q$7 / (Elf!$D44/ 10.8)),1)</f>
        <v>14</v>
      </c>
      <c r="Q92" s="1">
        <f>CEILING(Beastgirl!$B44/ IF(Beastgirl!$D44&lt; 10.8, $Q$7, $Q$7/ (Beastgirl!$D44 / 10.8)),1)</f>
        <v>21</v>
      </c>
      <c r="R92" s="1">
        <f>CEILING(Warrior!$B44 / IF(Warrior!$D44&lt; 10.8, $Q$7, $Q$7 / (Warrior!$D44 / 10.8)),1)</f>
        <v>15</v>
      </c>
      <c r="Y92" s="1">
        <v>42</v>
      </c>
      <c r="Z92" s="1">
        <f>CEILING(Demon!$B44 / IF(Demon!$D44&lt; 10.8, $AB$7, $AB$7 / (Demon!$D44 / 10.8)),1)</f>
        <v>9</v>
      </c>
      <c r="AA92" s="1">
        <f>CEILING(Elf!$B44 / IF(Elf!$D44 &lt; 10.8, $AB$7, $AB$7 / (Elf!$D44 / 10.8)),1)</f>
        <v>10</v>
      </c>
      <c r="AB92" s="1">
        <f>CEILING(Beastgirl!$B44 / IF(Beastgirl!$D44&lt; 10.8, $AB$7, $AB$7 / (Beastgirl!$D44 / 10.8)),1)</f>
        <v>16</v>
      </c>
      <c r="AC92" s="1">
        <f>CEILING(Warrior!$B44/ IF(Warrior!$D44&lt; 10.8, $AB$7, $AB$7 / (Warrior!$D44 / 10.8)),1)</f>
        <v>12</v>
      </c>
    </row>
    <row r="93" spans="1:31" x14ac:dyDescent="0.3">
      <c r="C93" s="1">
        <v>43</v>
      </c>
      <c r="D93" s="1">
        <f>CEILING(Demon!$B45/ IF(Demon!$D45&lt; 10.8, $F$7, $F$7 / (Demon!$D45 / 10.8)),1)</f>
        <v>19</v>
      </c>
      <c r="E93" s="1">
        <f>CEILING(Elf!$B45 / IF(Elf!$D45&lt; 10.8, $F$7,$F$7 / (Elf!$D45 / 10.8)),1)</f>
        <v>21</v>
      </c>
      <c r="F93" s="1">
        <f>CEILING(Beastgirl!$B45 / IF(Beastgirl!$D45&lt; 10.8, $F$7, $F$7 / (Beastgirl!$D45 / 10.8)),1)</f>
        <v>33</v>
      </c>
      <c r="G93" s="1">
        <f>CEILING(Warrior!$B45/ IF(Warrior!$D45&lt; 10.8, $F$7, $F$7 / (Warrior!$D45/ 10.8)),1)</f>
        <v>24</v>
      </c>
      <c r="N93" s="1">
        <v>43</v>
      </c>
      <c r="O93" s="1">
        <f>CEILING(Demon!$B45 / IF(Demon!$D45&lt; 10.8, $Q$7, $Q$7 / (Demon!$D45/ 10.8)),1)</f>
        <v>13</v>
      </c>
      <c r="P93" s="1">
        <f>CEILING(Elf!$B45/ IF(Elf!$D45 &lt; 10.8, $Q$7, $Q$7 / (Elf!$D45/ 10.8)),1)</f>
        <v>14</v>
      </c>
      <c r="Q93" s="1">
        <f>CEILING(Beastgirl!$B45/ IF(Beastgirl!$D45&lt; 10.8, $Q$7, $Q$7/ (Beastgirl!$D45 / 10.8)),1)</f>
        <v>22</v>
      </c>
      <c r="R93" s="1">
        <f>CEILING(Warrior!$B45 / IF(Warrior!$D45&lt; 10.8, $Q$7, $Q$7 / (Warrior!$D45 / 10.8)),1)</f>
        <v>16</v>
      </c>
      <c r="Y93" s="1">
        <v>43</v>
      </c>
      <c r="Z93" s="1">
        <f>CEILING(Demon!$B45 / IF(Demon!$D45&lt; 10.8, $AB$7, $AB$7 / (Demon!$D45 / 10.8)),1)</f>
        <v>10</v>
      </c>
      <c r="AA93" s="1">
        <f>CEILING(Elf!$B45 / IF(Elf!$D45 &lt; 10.8, $AB$7, $AB$7 / (Elf!$D45 / 10.8)),1)</f>
        <v>11</v>
      </c>
      <c r="AB93" s="1">
        <f>CEILING(Beastgirl!$B45 / IF(Beastgirl!$D45&lt; 10.8, $AB$7, $AB$7 / (Beastgirl!$D45 / 10.8)),1)</f>
        <v>17</v>
      </c>
      <c r="AC93" s="1">
        <f>CEILING(Warrior!$B45/ IF(Warrior!$D45&lt; 10.8, $AB$7, $AB$7 / (Warrior!$D45 / 10.8)),1)</f>
        <v>12</v>
      </c>
    </row>
    <row r="94" spans="1:31" x14ac:dyDescent="0.3">
      <c r="C94" s="1">
        <v>44</v>
      </c>
      <c r="D94" s="1">
        <f>CEILING(Demon!$B46/ IF(Demon!$D46&lt; 10.8, $F$7, $F$7 / (Demon!$D46 / 10.8)),1)</f>
        <v>20</v>
      </c>
      <c r="E94" s="1">
        <f>CEILING(Elf!$B46 / IF(Elf!$D46&lt; 10.8, $F$7,$F$7 / (Elf!$D46 / 10.8)),1)</f>
        <v>22</v>
      </c>
      <c r="F94" s="1">
        <f>CEILING(Beastgirl!$B46 / IF(Beastgirl!$D46&lt; 10.8, $F$7, $F$7 / (Beastgirl!$D46 / 10.8)),1)</f>
        <v>34</v>
      </c>
      <c r="G94" s="1">
        <f>CEILING(Warrior!$B46/ IF(Warrior!$D46&lt; 10.8, $F$7, $F$7 / (Warrior!$D46/ 10.8)),1)</f>
        <v>25</v>
      </c>
      <c r="N94" s="1">
        <v>44</v>
      </c>
      <c r="O94" s="1">
        <f>CEILING(Demon!$B46 / IF(Demon!$D46&lt; 10.8, $Q$7, $Q$7 / (Demon!$D46/ 10.8)),1)</f>
        <v>13</v>
      </c>
      <c r="P94" s="1">
        <f>CEILING(Elf!$B46/ IF(Elf!$D46 &lt; 10.8, $Q$7, $Q$7 / (Elf!$D46/ 10.8)),1)</f>
        <v>15</v>
      </c>
      <c r="Q94" s="1">
        <f>CEILING(Beastgirl!$B46/ IF(Beastgirl!$D46&lt; 10.8, $Q$7, $Q$7/ (Beastgirl!$D46 / 10.8)),1)</f>
        <v>23</v>
      </c>
      <c r="R94" s="1">
        <f>CEILING(Warrior!$B46 / IF(Warrior!$D46&lt; 10.8, $Q$7, $Q$7 / (Warrior!$D46 / 10.8)),1)</f>
        <v>17</v>
      </c>
      <c r="Y94" s="1">
        <v>44</v>
      </c>
      <c r="Z94" s="1">
        <f>CEILING(Demon!$B46 / IF(Demon!$D46&lt; 10.8, $AB$7, $AB$7 / (Demon!$D46 / 10.8)),1)</f>
        <v>10</v>
      </c>
      <c r="AA94" s="1">
        <f>CEILING(Elf!$B46 / IF(Elf!$D46 &lt; 10.8, $AB$7, $AB$7 / (Elf!$D46 / 10.8)),1)</f>
        <v>11</v>
      </c>
      <c r="AB94" s="1">
        <f>CEILING(Beastgirl!$B46 / IF(Beastgirl!$D46&lt; 10.8, $AB$7, $AB$7 / (Beastgirl!$D46 / 10.8)),1)</f>
        <v>17</v>
      </c>
      <c r="AC94" s="1">
        <f>CEILING(Warrior!$B46/ IF(Warrior!$D46&lt; 10.8, $AB$7, $AB$7 / (Warrior!$D46 / 10.8)),1)</f>
        <v>13</v>
      </c>
    </row>
    <row r="95" spans="1:31" x14ac:dyDescent="0.3">
      <c r="C95" s="1">
        <v>45</v>
      </c>
      <c r="D95" s="1">
        <f>CEILING(Demon!$B47/ IF(Demon!$D47&lt; 10.8, $F$7, $F$7 / (Demon!$D47 / 10.8)),1)</f>
        <v>25</v>
      </c>
      <c r="E95" s="1">
        <f>CEILING(Elf!$B47 / IF(Elf!$D47&lt; 10.8, $F$7,$F$7 / (Elf!$D47 / 10.8)),1)</f>
        <v>28</v>
      </c>
      <c r="F95" s="1">
        <f>CEILING(Beastgirl!$B47 / IF(Beastgirl!$D47&lt; 10.8, $F$7, $F$7 / (Beastgirl!$D47 / 10.8)),1)</f>
        <v>43</v>
      </c>
      <c r="G95" s="1">
        <f>CEILING(Warrior!$B47/ IF(Warrior!$D47&lt; 10.8, $F$7, $F$7 / (Warrior!$D47/ 10.8)),1)</f>
        <v>31</v>
      </c>
      <c r="N95" s="1">
        <v>45</v>
      </c>
      <c r="O95" s="1">
        <f>CEILING(Demon!$B47 / IF(Demon!$D47&lt; 10.8, $Q$7, $Q$7 / (Demon!$D47/ 10.8)),1)</f>
        <v>17</v>
      </c>
      <c r="P95" s="1">
        <f>CEILING(Elf!$B47/ IF(Elf!$D47 &lt; 10.8, $Q$7, $Q$7 / (Elf!$D47/ 10.8)),1)</f>
        <v>19</v>
      </c>
      <c r="Q95" s="1">
        <f>CEILING(Beastgirl!$B47/ IF(Beastgirl!$D47&lt; 10.8, $Q$7, $Q$7/ (Beastgirl!$D47 / 10.8)),1)</f>
        <v>29</v>
      </c>
      <c r="R95" s="1">
        <f>CEILING(Warrior!$B47 / IF(Warrior!$D47&lt; 10.8, $Q$7, $Q$7 / (Warrior!$D47 / 10.8)),1)</f>
        <v>21</v>
      </c>
      <c r="Y95" s="1">
        <v>45</v>
      </c>
      <c r="Z95" s="1">
        <f>CEILING(Demon!$B47 / IF(Demon!$D47&lt; 10.8, $AB$7, $AB$7 / (Demon!$D47 / 10.8)),1)</f>
        <v>13</v>
      </c>
      <c r="AA95" s="1">
        <f>CEILING(Elf!$B47 / IF(Elf!$D47 &lt; 10.8, $AB$7, $AB$7 / (Elf!$D47 / 10.8)),1)</f>
        <v>14</v>
      </c>
      <c r="AB95" s="1">
        <f>CEILING(Beastgirl!$B47 / IF(Beastgirl!$D47&lt; 10.8, $AB$7, $AB$7 / (Beastgirl!$D47 / 10.8)),1)</f>
        <v>22</v>
      </c>
      <c r="AC95" s="1">
        <f>CEILING(Warrior!$B47/ IF(Warrior!$D47&lt; 10.8, $AB$7, $AB$7 / (Warrior!$D47 / 10.8)),1)</f>
        <v>16</v>
      </c>
    </row>
    <row r="96" spans="1:31" x14ac:dyDescent="0.3">
      <c r="C96" s="1">
        <v>46</v>
      </c>
      <c r="D96" s="1">
        <f>CEILING(Demon!$B48/ IF(Demon!$D48&lt; 10.8, $F$7, $F$7 / (Demon!$D48 / 10.8)),1)</f>
        <v>26</v>
      </c>
      <c r="E96" s="1">
        <f>CEILING(Elf!$B48 / IF(Elf!$D48&lt; 10.8, $F$7,$F$7 / (Elf!$D48 / 10.8)),1)</f>
        <v>29</v>
      </c>
      <c r="F96" s="1">
        <f>CEILING(Beastgirl!$B48 / IF(Beastgirl!$D48&lt; 10.8, $F$7, $F$7 / (Beastgirl!$D48 / 10.8)),1)</f>
        <v>45</v>
      </c>
      <c r="G96" s="1">
        <f>CEILING(Warrior!$B48/ IF(Warrior!$D48&lt; 10.8, $F$7, $F$7 / (Warrior!$D48/ 10.8)),1)</f>
        <v>32</v>
      </c>
      <c r="N96" s="1">
        <v>46</v>
      </c>
      <c r="O96" s="1">
        <f>CEILING(Demon!$B48 / IF(Demon!$D48&lt; 10.8, $Q$7, $Q$7 / (Demon!$D48/ 10.8)),1)</f>
        <v>17</v>
      </c>
      <c r="P96" s="1">
        <f>CEILING(Elf!$B48/ IF(Elf!$D48 &lt; 10.8, $Q$7, $Q$7 / (Elf!$D48/ 10.8)),1)</f>
        <v>20</v>
      </c>
      <c r="Q96" s="1">
        <f>CEILING(Beastgirl!$B48/ IF(Beastgirl!$D48&lt; 10.8, $Q$7, $Q$7/ (Beastgirl!$D48 / 10.8)),1)</f>
        <v>30</v>
      </c>
      <c r="R96" s="1">
        <f>CEILING(Warrior!$B48 / IF(Warrior!$D48&lt; 10.8, $Q$7, $Q$7 / (Warrior!$D48 / 10.8)),1)</f>
        <v>22</v>
      </c>
      <c r="Y96" s="1">
        <v>46</v>
      </c>
      <c r="Z96" s="1">
        <f>CEILING(Demon!$B48 / IF(Demon!$D48&lt; 10.8, $AB$7, $AB$7 / (Demon!$D48 / 10.8)),1)</f>
        <v>13</v>
      </c>
      <c r="AA96" s="1">
        <f>CEILING(Elf!$B48 / IF(Elf!$D48 &lt; 10.8, $AB$7, $AB$7 / (Elf!$D48 / 10.8)),1)</f>
        <v>15</v>
      </c>
      <c r="AB96" s="1">
        <f>CEILING(Beastgirl!$B48 / IF(Beastgirl!$D48&lt; 10.8, $AB$7, $AB$7 / (Beastgirl!$D48 / 10.8)),1)</f>
        <v>23</v>
      </c>
      <c r="AC96" s="1">
        <f>CEILING(Warrior!$B48/ IF(Warrior!$D48&lt; 10.8, $AB$7, $AB$7 / (Warrior!$D48 / 10.8)),1)</f>
        <v>16</v>
      </c>
    </row>
    <row r="97" spans="3:29" x14ac:dyDescent="0.3">
      <c r="C97" s="1">
        <v>47</v>
      </c>
      <c r="D97" s="1">
        <f>CEILING(Demon!$B49/ IF(Demon!$D49&lt; 10.8, $F$7, $F$7 / (Demon!$D49 / 10.8)),1)</f>
        <v>27</v>
      </c>
      <c r="E97" s="1">
        <f>CEILING(Elf!$B49 / IF(Elf!$D49&lt; 10.8, $F$7,$F$7 / (Elf!$D49 / 10.8)),1)</f>
        <v>30</v>
      </c>
      <c r="F97" s="1">
        <f>CEILING(Beastgirl!$B49 / IF(Beastgirl!$D49&lt; 10.8, $F$7, $F$7 / (Beastgirl!$D49 / 10.8)),1)</f>
        <v>47</v>
      </c>
      <c r="G97" s="1">
        <f>CEILING(Warrior!$B49/ IF(Warrior!$D49&lt; 10.8, $F$7, $F$7 / (Warrior!$D49/ 10.8)),1)</f>
        <v>33</v>
      </c>
      <c r="N97" s="1">
        <v>47</v>
      </c>
      <c r="O97" s="1">
        <f>CEILING(Demon!$B49 / IF(Demon!$D49&lt; 10.8, $Q$7, $Q$7 / (Demon!$D49/ 10.8)),1)</f>
        <v>18</v>
      </c>
      <c r="P97" s="1">
        <f>CEILING(Elf!$B49/ IF(Elf!$D49 &lt; 10.8, $Q$7, $Q$7 / (Elf!$D49/ 10.8)),1)</f>
        <v>20</v>
      </c>
      <c r="Q97" s="1">
        <f>CEILING(Beastgirl!$B49/ IF(Beastgirl!$D49&lt; 10.8, $Q$7, $Q$7/ (Beastgirl!$D49 / 10.8)),1)</f>
        <v>31</v>
      </c>
      <c r="R97" s="1">
        <f>CEILING(Warrior!$B49 / IF(Warrior!$D49&lt; 10.8, $Q$7, $Q$7 / (Warrior!$D49 / 10.8)),1)</f>
        <v>22</v>
      </c>
      <c r="Y97" s="1">
        <v>47</v>
      </c>
      <c r="Z97" s="1">
        <f>CEILING(Demon!$B49 / IF(Demon!$D49&lt; 10.8, $AB$7, $AB$7 / (Demon!$D49 / 10.8)),1)</f>
        <v>14</v>
      </c>
      <c r="AA97" s="1">
        <f>CEILING(Elf!$B49 / IF(Elf!$D49 &lt; 10.8, $AB$7, $AB$7 / (Elf!$D49 / 10.8)),1)</f>
        <v>15</v>
      </c>
      <c r="AB97" s="1">
        <f>CEILING(Beastgirl!$B49 / IF(Beastgirl!$D49&lt; 10.8, $AB$7, $AB$7 / (Beastgirl!$D49 / 10.8)),1)</f>
        <v>24</v>
      </c>
      <c r="AC97" s="1">
        <f>CEILING(Warrior!$B49/ IF(Warrior!$D49&lt; 10.8, $AB$7, $AB$7 / (Warrior!$D49 / 10.8)),1)</f>
        <v>17</v>
      </c>
    </row>
    <row r="98" spans="3:29" x14ac:dyDescent="0.3">
      <c r="C98" s="1">
        <v>48</v>
      </c>
      <c r="D98" s="1">
        <f>CEILING(Demon!$B50/ IF(Demon!$D50&lt; 10.8, $F$7, $F$7 / (Demon!$D50 / 10.8)),1)</f>
        <v>28</v>
      </c>
      <c r="E98" s="1">
        <f>CEILING(Elf!$B50 / IF(Elf!$D50&lt; 10.8, $F$7,$F$7 / (Elf!$D50 / 10.8)),1)</f>
        <v>32</v>
      </c>
      <c r="F98" s="1">
        <f>CEILING(Beastgirl!$B50 / IF(Beastgirl!$D50&lt; 10.8, $F$7, $F$7 / (Beastgirl!$D50 / 10.8)),1)</f>
        <v>48</v>
      </c>
      <c r="G98" s="1">
        <f>CEILING(Warrior!$B50/ IF(Warrior!$D50&lt; 10.8, $F$7, $F$7 / (Warrior!$D50/ 10.8)),1)</f>
        <v>35</v>
      </c>
      <c r="N98" s="1">
        <v>48</v>
      </c>
      <c r="O98" s="1">
        <f>CEILING(Demon!$B50 / IF(Demon!$D50&lt; 10.8, $Q$7, $Q$7 / (Demon!$D50/ 10.8)),1)</f>
        <v>19</v>
      </c>
      <c r="P98" s="1">
        <f>CEILING(Elf!$B50/ IF(Elf!$D50 &lt; 10.8, $Q$7, $Q$7 / (Elf!$D50/ 10.8)),1)</f>
        <v>21</v>
      </c>
      <c r="Q98" s="1">
        <f>CEILING(Beastgirl!$B50/ IF(Beastgirl!$D50&lt; 10.8, $Q$7, $Q$7/ (Beastgirl!$D50 / 10.8)),1)</f>
        <v>32</v>
      </c>
      <c r="R98" s="1">
        <f>CEILING(Warrior!$B50 / IF(Warrior!$D50&lt; 10.8, $Q$7, $Q$7 / (Warrior!$D50 / 10.8)),1)</f>
        <v>23</v>
      </c>
      <c r="Y98" s="1">
        <v>48</v>
      </c>
      <c r="Z98" s="1">
        <f>CEILING(Demon!$B50 / IF(Demon!$D50&lt; 10.8, $AB$7, $AB$7 / (Demon!$D50 / 10.8)),1)</f>
        <v>14</v>
      </c>
      <c r="AA98" s="1">
        <f>CEILING(Elf!$B50 / IF(Elf!$D50 &lt; 10.8, $AB$7, $AB$7 / (Elf!$D50 / 10.8)),1)</f>
        <v>16</v>
      </c>
      <c r="AB98" s="1">
        <f>CEILING(Beastgirl!$B50 / IF(Beastgirl!$D50&lt; 10.8, $AB$7, $AB$7 / (Beastgirl!$D50 / 10.8)),1)</f>
        <v>24</v>
      </c>
      <c r="AC98" s="1">
        <f>CEILING(Warrior!$B50/ IF(Warrior!$D50&lt; 10.8, $AB$7, $AB$7 / (Warrior!$D50 / 10.8)),1)</f>
        <v>18</v>
      </c>
    </row>
    <row r="99" spans="3:29" x14ac:dyDescent="0.3">
      <c r="C99" s="1">
        <v>49</v>
      </c>
      <c r="D99" s="1">
        <f>CEILING(Demon!$B51/ IF(Demon!$D51&lt; 10.8, $F$7, $F$7 / (Demon!$D51 / 10.8)),1)</f>
        <v>29</v>
      </c>
      <c r="E99" s="1">
        <f>CEILING(Elf!$B51 / IF(Elf!$D51&lt; 10.8, $F$7,$F$7 / (Elf!$D51 / 10.8)),1)</f>
        <v>33</v>
      </c>
      <c r="F99" s="1">
        <f>CEILING(Beastgirl!$B51 / IF(Beastgirl!$D51&lt; 10.8, $F$7, $F$7 / (Beastgirl!$D51 / 10.8)),1)</f>
        <v>50</v>
      </c>
      <c r="G99" s="1">
        <f>CEILING(Warrior!$B51/ IF(Warrior!$D51&lt; 10.8, $F$7, $F$7 / (Warrior!$D51/ 10.8)),1)</f>
        <v>36</v>
      </c>
      <c r="N99" s="1">
        <v>49</v>
      </c>
      <c r="O99" s="1">
        <f>CEILING(Demon!$B51 / IF(Demon!$D51&lt; 10.8, $Q$7, $Q$7 / (Demon!$D51/ 10.8)),1)</f>
        <v>20</v>
      </c>
      <c r="P99" s="1">
        <f>CEILING(Elf!$B51/ IF(Elf!$D51 &lt; 10.8, $Q$7, $Q$7 / (Elf!$D51/ 10.8)),1)</f>
        <v>22</v>
      </c>
      <c r="Q99" s="1">
        <f>CEILING(Beastgirl!$B51/ IF(Beastgirl!$D51&lt; 10.8, $Q$7, $Q$7/ (Beastgirl!$D51 / 10.8)),1)</f>
        <v>34</v>
      </c>
      <c r="R99" s="1">
        <f>CEILING(Warrior!$B51 / IF(Warrior!$D51&lt; 10.8, $Q$7, $Q$7 / (Warrior!$D51 / 10.8)),1)</f>
        <v>24</v>
      </c>
      <c r="Y99" s="1">
        <v>49</v>
      </c>
      <c r="Z99" s="1">
        <f>CEILING(Demon!$B51 / IF(Demon!$D51&lt; 10.8, $AB$7, $AB$7 / (Demon!$D51 / 10.8)),1)</f>
        <v>15</v>
      </c>
      <c r="AA99" s="1">
        <f>CEILING(Elf!$B51 / IF(Elf!$D51 &lt; 10.8, $AB$7, $AB$7 / (Elf!$D51 / 10.8)),1)</f>
        <v>17</v>
      </c>
      <c r="AB99" s="1">
        <f>CEILING(Beastgirl!$B51 / IF(Beastgirl!$D51&lt; 10.8, $AB$7, $AB$7 / (Beastgirl!$D51 / 10.8)),1)</f>
        <v>25</v>
      </c>
      <c r="AC99" s="1">
        <f>CEILING(Warrior!$B51/ IF(Warrior!$D51&lt; 10.8, $AB$7, $AB$7 / (Warrior!$D51 / 10.8)),1)</f>
        <v>18</v>
      </c>
    </row>
    <row r="100" spans="3:29" x14ac:dyDescent="0.3">
      <c r="C100" s="1">
        <v>50</v>
      </c>
      <c r="D100" s="1">
        <f>CEILING(Demon!$B52/ IF(Demon!$D52&lt; 10.8, $F$7, $F$7 / (Demon!$D52 / 10.8)),1)</f>
        <v>30</v>
      </c>
      <c r="E100" s="1">
        <f>CEILING(Elf!$B52 / IF(Elf!$D52&lt; 10.8, $F$7,$F$7 / (Elf!$D52 / 10.8)),1)</f>
        <v>34</v>
      </c>
      <c r="F100" s="1">
        <f>CEILING(Beastgirl!$B52 / IF(Beastgirl!$D52&lt; 10.8, $F$7, $F$7 / (Beastgirl!$D52 / 10.8)),1)</f>
        <v>52</v>
      </c>
      <c r="G100" s="1">
        <f>CEILING(Warrior!$B52/ IF(Warrior!$D52&lt; 10.8, $F$7, $F$7 / (Warrior!$D52/ 10.8)),1)</f>
        <v>38</v>
      </c>
      <c r="N100" s="1">
        <v>50</v>
      </c>
      <c r="O100" s="1">
        <f>CEILING(Demon!$B52 / IF(Demon!$D52&lt; 10.8, $Q$7, $Q$7 / (Demon!$D52/ 10.8)),1)</f>
        <v>20</v>
      </c>
      <c r="P100" s="1">
        <f>CEILING(Elf!$B52/ IF(Elf!$D52 &lt; 10.8, $Q$7, $Q$7 / (Elf!$D52/ 10.8)),1)</f>
        <v>23</v>
      </c>
      <c r="Q100" s="1">
        <f>CEILING(Beastgirl!$B52/ IF(Beastgirl!$D52&lt; 10.8, $Q$7, $Q$7/ (Beastgirl!$D52 / 10.8)),1)</f>
        <v>35</v>
      </c>
      <c r="R100" s="1">
        <f>CEILING(Warrior!$B52 / IF(Warrior!$D52&lt; 10.8, $Q$7, $Q$7 / (Warrior!$D52 / 10.8)),1)</f>
        <v>25</v>
      </c>
      <c r="Y100" s="1">
        <v>50</v>
      </c>
      <c r="Z100" s="1">
        <f>CEILING(Demon!$B52 / IF(Demon!$D52&lt; 10.8, $AB$7, $AB$7 / (Demon!$D52 / 10.8)),1)</f>
        <v>15</v>
      </c>
      <c r="AA100" s="1">
        <f>CEILING(Elf!$B52 / IF(Elf!$D52 &lt; 10.8, $AB$7, $AB$7 / (Elf!$D52 / 10.8)),1)</f>
        <v>17</v>
      </c>
      <c r="AB100" s="1">
        <f>CEILING(Beastgirl!$B52 / IF(Beastgirl!$D52&lt; 10.8, $AB$7, $AB$7 / (Beastgirl!$D52 / 10.8)),1)</f>
        <v>26</v>
      </c>
      <c r="AC100" s="1">
        <f>CEILING(Warrior!$B52/ IF(Warrior!$D52&lt; 10.8, $AB$7, $AB$7 / (Warrior!$D52 / 10.8)),1)</f>
        <v>19</v>
      </c>
    </row>
    <row r="102" spans="3:29" ht="25.8" x14ac:dyDescent="0.3">
      <c r="C102" s="53" t="s">
        <v>74</v>
      </c>
      <c r="D102" s="53"/>
      <c r="E102" s="53"/>
      <c r="F102" s="53"/>
      <c r="G102" s="53"/>
      <c r="N102" s="53" t="s">
        <v>74</v>
      </c>
      <c r="O102" s="53"/>
      <c r="P102" s="53"/>
      <c r="Q102" s="53"/>
      <c r="R102" s="53"/>
      <c r="Y102" s="53" t="s">
        <v>74</v>
      </c>
      <c r="Z102" s="53"/>
      <c r="AA102" s="53"/>
      <c r="AB102" s="53"/>
      <c r="AC102" s="53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8</v>
      </c>
      <c r="E104" s="1">
        <f>CEILING(Elf!$B33 / IF(Elf!$D33&lt; 10.8, $F$8,$F$8 / (Elf!$D33/ 10.8)),1)</f>
        <v>9</v>
      </c>
      <c r="F104" s="1">
        <f>CEILING(Beastgirl!$B33/ IF(Beastgirl!$D33&lt; 10.8, $F$8, $F$8 / (Beastgirl!$D33 / 10.8)),1)</f>
        <v>14</v>
      </c>
      <c r="G104" s="1">
        <f>CEILING(Warrior!$B33/ IF(Warrior!$D33&lt; 10.8, $F$8, $F$8 / (Warrior!$D33/ 10.8)),1)</f>
        <v>10</v>
      </c>
      <c r="N104" s="1">
        <v>31</v>
      </c>
      <c r="O104" s="1">
        <f>CEILING(Demon!$B33 / IF(Demon!$D33&lt; 10.8, $Q$8, $Q$8 / (Demon!$D33/ 10.8)),1)</f>
        <v>6</v>
      </c>
      <c r="P104" s="1">
        <f>CEILING(Elf!$B33/ IF(Elf!$D33 &lt; 10.8, $Q$8, $Q$8 / (Elf!$D33/ 10.8)),1)</f>
        <v>6</v>
      </c>
      <c r="Q104" s="1">
        <f>CEILING(Beastgirl!$B33/ IF(Beastgirl!$D33&lt; 10.8, $Q$8, $Q$8/ (Beastgirl!$D33 / 10.8)),1)</f>
        <v>10</v>
      </c>
      <c r="R104" s="1">
        <f>CEILING(Warrior!$B33 / IF(Warrior!$D33&lt; 10.8, $Q$8, $Q$8 / (Warrior!$D33 / 10.8)),1)</f>
        <v>7</v>
      </c>
      <c r="Y104" s="1">
        <v>31</v>
      </c>
      <c r="Z104" s="1">
        <f>CEILING(Demon!$B33 / IF(Demon!$D33&lt; 10.8, $AB$8, $AB$8 / (Demon!$D33 / 10.8)),1)</f>
        <v>4</v>
      </c>
      <c r="AA104" s="1">
        <f>CEILING(Elf!$B33 / IF(Elf!$D33 &lt; 10.8, $AB$8, $AB$8 / (Elf!$D33 / 10.8)),1)</f>
        <v>5</v>
      </c>
      <c r="AB104" s="1">
        <f>CEILING(Beastgirl!$B33 / IF(Beastgirl!$D33&lt; 10.8, $AB$8, $AB$8 / (Beastgirl!$D33 / 10.8)),1)</f>
        <v>7</v>
      </c>
      <c r="AC104" s="1">
        <f>CEILING(Warrior!$B33/ IF(Warrior!$D33&lt; 10.8, $AB$8, $AB$8/ (Warrior!$D33 / 10.8)),1)</f>
        <v>5</v>
      </c>
    </row>
    <row r="105" spans="3:29" x14ac:dyDescent="0.3">
      <c r="C105" s="1">
        <v>32</v>
      </c>
      <c r="D105" s="1">
        <f>CEILING(Demon!$B34/ IF(Demon!$D34&lt; 10.8, $F$8, $F$8 / (Demon!$D34 / 10.8)),1)</f>
        <v>9</v>
      </c>
      <c r="E105" s="1">
        <f>CEILING(Elf!$B34 / IF(Elf!$D34&lt; 10.8, $F$8,$F$8 / (Elf!$D34/ 10.8)),1)</f>
        <v>9</v>
      </c>
      <c r="F105" s="1">
        <f>CEILING(Beastgirl!$B34/ IF(Beastgirl!$D34&lt; 10.8, $F$8, $F$8 / (Beastgirl!$D34 / 10.8)),1)</f>
        <v>15</v>
      </c>
      <c r="G105" s="1">
        <f>CEILING(Warrior!$B34/ IF(Warrior!$D34&lt; 10.8, $F$8, $F$8 / (Warrior!$D34/ 10.8)),1)</f>
        <v>11</v>
      </c>
      <c r="N105" s="1">
        <v>32</v>
      </c>
      <c r="O105" s="1">
        <f>CEILING(Demon!$B34 / IF(Demon!$D34&lt; 10.8, $Q$8, $Q$8 / (Demon!$D34/ 10.8)),1)</f>
        <v>6</v>
      </c>
      <c r="P105" s="1">
        <f>CEILING(Elf!$B34/ IF(Elf!$D34 &lt; 10.8, $Q$8, $Q$8 / (Elf!$D34/ 10.8)),1)</f>
        <v>6</v>
      </c>
      <c r="Q105" s="1">
        <f>CEILING(Beastgirl!$B34/ IF(Beastgirl!$D34&lt; 10.8, $Q$8, $Q$8/ (Beastgirl!$D34 / 10.8)),1)</f>
        <v>10</v>
      </c>
      <c r="R105" s="1">
        <f>CEILING(Warrior!$B34 / IF(Warrior!$D34&lt; 10.8, $Q$8, $Q$8 / (Warrior!$D34 / 10.8)),1)</f>
        <v>7</v>
      </c>
      <c r="Y105" s="1">
        <v>32</v>
      </c>
      <c r="Z105" s="1">
        <f>CEILING(Demon!$B34 / IF(Demon!$D34&lt; 10.8, $AB$8, $AB$8 / (Demon!$D34 / 10.8)),1)</f>
        <v>5</v>
      </c>
      <c r="AA105" s="1">
        <f>CEILING(Elf!$B34 / IF(Elf!$D34 &lt; 10.8, $AB$8, $AB$8 / (Elf!$D34 / 10.8)),1)</f>
        <v>5</v>
      </c>
      <c r="AB105" s="1">
        <f>CEILING(Beastgirl!$B34 / IF(Beastgirl!$D34&lt; 10.8, $AB$8, $AB$8 / (Beastgirl!$D34 / 10.8)),1)</f>
        <v>8</v>
      </c>
      <c r="AC105" s="1">
        <f>CEILING(Warrior!$B34/ IF(Warrior!$D34&lt; 10.8, $AB$8, $AB$8/ (Warrior!$D34 / 10.8)),1)</f>
        <v>6</v>
      </c>
    </row>
    <row r="106" spans="3:29" x14ac:dyDescent="0.3">
      <c r="C106" s="1">
        <v>33</v>
      </c>
      <c r="D106" s="1">
        <f>CEILING(Demon!$B35/ IF(Demon!$D35&lt; 10.8, $F$8, $F$8 / (Demon!$D35 / 10.8)),1)</f>
        <v>9</v>
      </c>
      <c r="E106" s="1">
        <f>CEILING(Elf!$B35 / IF(Elf!$D35&lt; 10.8, $F$8,$F$8 / (Elf!$D35/ 10.8)),1)</f>
        <v>10</v>
      </c>
      <c r="F106" s="1">
        <f>CEILING(Beastgirl!$B35/ IF(Beastgirl!$D35&lt; 10.8, $F$8, $F$8 / (Beastgirl!$D35 / 10.8)),1)</f>
        <v>16</v>
      </c>
      <c r="G106" s="1">
        <f>CEILING(Warrior!$B35/ IF(Warrior!$D35&lt; 10.8, $F$8, $F$8 / (Warrior!$D35/ 10.8)),1)</f>
        <v>11</v>
      </c>
      <c r="N106" s="1">
        <v>33</v>
      </c>
      <c r="O106" s="1">
        <f>CEILING(Demon!$B35 / IF(Demon!$D35&lt; 10.8, $Q$8, $Q$8 / (Demon!$D35/ 10.8)),1)</f>
        <v>6</v>
      </c>
      <c r="P106" s="1">
        <f>CEILING(Elf!$B35/ IF(Elf!$D35 &lt; 10.8, $Q$8, $Q$8 / (Elf!$D35/ 10.8)),1)</f>
        <v>7</v>
      </c>
      <c r="Q106" s="1">
        <f>CEILING(Beastgirl!$B35/ IF(Beastgirl!$D35&lt; 10.8, $Q$8, $Q$8/ (Beastgirl!$D35 / 10.8)),1)</f>
        <v>11</v>
      </c>
      <c r="R106" s="1">
        <f>CEILING(Warrior!$B35 / IF(Warrior!$D35&lt; 10.8, $Q$8, $Q$8 / (Warrior!$D35 / 10.8)),1)</f>
        <v>8</v>
      </c>
      <c r="Y106" s="1">
        <v>33</v>
      </c>
      <c r="Z106" s="1">
        <f>CEILING(Demon!$B35 / IF(Demon!$D35&lt; 10.8, $AB$8, $AB$8 / (Demon!$D35 / 10.8)),1)</f>
        <v>5</v>
      </c>
      <c r="AA106" s="1">
        <f>CEILING(Elf!$B35 / IF(Elf!$D35 &lt; 10.8, $AB$8, $AB$8 / (Elf!$D35 / 10.8)),1)</f>
        <v>5</v>
      </c>
      <c r="AB106" s="1">
        <f>CEILING(Beastgirl!$B35 / IF(Beastgirl!$D35&lt; 10.8, $AB$8, $AB$8 / (Beastgirl!$D35 / 10.8)),1)</f>
        <v>8</v>
      </c>
      <c r="AC106" s="1">
        <f>CEILING(Warrior!$B35/ IF(Warrior!$D35&lt; 10.8, $AB$8, $AB$8/ (Warrior!$D35 / 10.8)),1)</f>
        <v>6</v>
      </c>
    </row>
    <row r="107" spans="3:29" x14ac:dyDescent="0.3">
      <c r="C107" s="1">
        <v>34</v>
      </c>
      <c r="D107" s="1">
        <f>CEILING(Demon!$B36/ IF(Demon!$D36&lt; 10.8, $F$8, $F$8 / (Demon!$D36 / 10.8)),1)</f>
        <v>10</v>
      </c>
      <c r="E107" s="1">
        <f>CEILING(Elf!$B36 / IF(Elf!$D36&lt; 10.8, $F$8,$F$8 / (Elf!$D36/ 10.8)),1)</f>
        <v>11</v>
      </c>
      <c r="F107" s="1">
        <f>CEILING(Beastgirl!$B36/ IF(Beastgirl!$D36&lt; 10.8, $F$8, $F$8 / (Beastgirl!$D36 / 10.8)),1)</f>
        <v>17</v>
      </c>
      <c r="G107" s="1">
        <f>CEILING(Warrior!$B36/ IF(Warrior!$D36&lt; 10.8, $F$8, $F$8 / (Warrior!$D36/ 10.8)),1)</f>
        <v>12</v>
      </c>
      <c r="N107" s="1">
        <v>34</v>
      </c>
      <c r="O107" s="1">
        <f>CEILING(Demon!$B36 / IF(Demon!$D36&lt; 10.8, $Q$8, $Q$8 / (Demon!$D36/ 10.8)),1)</f>
        <v>7</v>
      </c>
      <c r="P107" s="1">
        <f>CEILING(Elf!$B36/ IF(Elf!$D36 &lt; 10.8, $Q$8, $Q$8 / (Elf!$D36/ 10.8)),1)</f>
        <v>7</v>
      </c>
      <c r="Q107" s="1">
        <f>CEILING(Beastgirl!$B36/ IF(Beastgirl!$D36&lt; 10.8, $Q$8, $Q$8/ (Beastgirl!$D36 / 10.8)),1)</f>
        <v>11</v>
      </c>
      <c r="R107" s="1">
        <f>CEILING(Warrior!$B36 / IF(Warrior!$D36&lt; 10.8, $Q$8, $Q$8 / (Warrior!$D36 / 10.8)),1)</f>
        <v>8</v>
      </c>
      <c r="Y107" s="1">
        <v>34</v>
      </c>
      <c r="Z107" s="1">
        <f>CEILING(Demon!$B36 / IF(Demon!$D36&lt; 10.8, $AB$8, $AB$8 / (Demon!$D36 / 10.8)),1)</f>
        <v>5</v>
      </c>
      <c r="AA107" s="1">
        <f>CEILING(Elf!$B36 / IF(Elf!$D36 &lt; 10.8, $AB$8, $AB$8 / (Elf!$D36 / 10.8)),1)</f>
        <v>6</v>
      </c>
      <c r="AB107" s="1">
        <f>CEILING(Beastgirl!$B36 / IF(Beastgirl!$D36&lt; 10.8, $AB$8, $AB$8 / (Beastgirl!$D36 / 10.8)),1)</f>
        <v>9</v>
      </c>
      <c r="AC107" s="1">
        <f>CEILING(Warrior!$B36/ IF(Warrior!$D36&lt; 10.8, $AB$8, $AB$8/ (Warrior!$D36 / 10.8)),1)</f>
        <v>6</v>
      </c>
    </row>
    <row r="108" spans="3:29" x14ac:dyDescent="0.3">
      <c r="C108" s="1">
        <v>35</v>
      </c>
      <c r="D108" s="1">
        <f>CEILING(Demon!$B37/ IF(Demon!$D37&lt; 10.8, $F$8, $F$8 / (Demon!$D37 / 10.8)),1)</f>
        <v>12</v>
      </c>
      <c r="E108" s="1">
        <f>CEILING(Elf!$B37 / IF(Elf!$D37&lt; 10.8, $F$8,$F$8 / (Elf!$D37/ 10.8)),1)</f>
        <v>14</v>
      </c>
      <c r="F108" s="1">
        <f>CEILING(Beastgirl!$B37/ IF(Beastgirl!$D37&lt; 10.8, $F$8, $F$8 / (Beastgirl!$D37 / 10.8)),1)</f>
        <v>22</v>
      </c>
      <c r="G108" s="1">
        <f>CEILING(Warrior!$B37/ IF(Warrior!$D37&lt; 10.8, $F$8, $F$8 / (Warrior!$D37/ 10.8)),1)</f>
        <v>16</v>
      </c>
      <c r="N108" s="1">
        <v>35</v>
      </c>
      <c r="O108" s="1">
        <f>CEILING(Demon!$B37 / IF(Demon!$D37&lt; 10.8, $Q$8, $Q$8 / (Demon!$D37/ 10.8)),1)</f>
        <v>8</v>
      </c>
      <c r="P108" s="1">
        <f>CEILING(Elf!$B37/ IF(Elf!$D37 &lt; 10.8, $Q$8, $Q$8 / (Elf!$D37/ 10.8)),1)</f>
        <v>10</v>
      </c>
      <c r="Q108" s="1">
        <f>CEILING(Beastgirl!$B37/ IF(Beastgirl!$D37&lt; 10.8, $Q$8, $Q$8/ (Beastgirl!$D37 / 10.8)),1)</f>
        <v>15</v>
      </c>
      <c r="R108" s="1">
        <f>CEILING(Warrior!$B37 / IF(Warrior!$D37&lt; 10.8, $Q$8, $Q$8 / (Warrior!$D37 / 10.8)),1)</f>
        <v>11</v>
      </c>
      <c r="Y108" s="1">
        <v>35</v>
      </c>
      <c r="Z108" s="1">
        <f>CEILING(Demon!$B37 / IF(Demon!$D37&lt; 10.8, $AB$8, $AB$8 / (Demon!$D37 / 10.8)),1)</f>
        <v>6</v>
      </c>
      <c r="AA108" s="1">
        <f>CEILING(Elf!$B37 / IF(Elf!$D37 &lt; 10.8, $AB$8, $AB$8 / (Elf!$D37 / 10.8)),1)</f>
        <v>7</v>
      </c>
      <c r="AB108" s="1">
        <f>CEILING(Beastgirl!$B37 / IF(Beastgirl!$D37&lt; 10.8, $AB$8, $AB$8 / (Beastgirl!$D37 / 10.8)),1)</f>
        <v>11</v>
      </c>
      <c r="AC108" s="1">
        <f>CEILING(Warrior!$B37/ IF(Warrior!$D37&lt; 10.8, $AB$8, $AB$8/ (Warrior!$D37 / 10.8)),1)</f>
        <v>8</v>
      </c>
    </row>
    <row r="109" spans="3:29" x14ac:dyDescent="0.3">
      <c r="C109" s="1">
        <v>36</v>
      </c>
      <c r="D109" s="1">
        <f>CEILING(Demon!$B38/ IF(Demon!$D38&lt; 10.8, $F$8, $F$8 / (Demon!$D38 / 10.8)),1)</f>
        <v>13</v>
      </c>
      <c r="E109" s="1">
        <f>CEILING(Elf!$B38 / IF(Elf!$D38&lt; 10.8, $F$8,$F$8 / (Elf!$D38/ 10.8)),1)</f>
        <v>15</v>
      </c>
      <c r="F109" s="1">
        <f>CEILING(Beastgirl!$B38/ IF(Beastgirl!$D38&lt; 10.8, $F$8, $F$8 / (Beastgirl!$D38 / 10.8)),1)</f>
        <v>23</v>
      </c>
      <c r="G109" s="1">
        <f>CEILING(Warrior!$B38/ IF(Warrior!$D38&lt; 10.8, $F$8, $F$8 / (Warrior!$D38/ 10.8)),1)</f>
        <v>17</v>
      </c>
      <c r="N109" s="1">
        <v>36</v>
      </c>
      <c r="O109" s="1">
        <f>CEILING(Demon!$B38 / IF(Demon!$D38&lt; 10.8, $Q$8, $Q$8 / (Demon!$D38/ 10.8)),1)</f>
        <v>9</v>
      </c>
      <c r="P109" s="1">
        <f>CEILING(Elf!$B38/ IF(Elf!$D38 &lt; 10.8, $Q$8, $Q$8 / (Elf!$D38/ 10.8)),1)</f>
        <v>10</v>
      </c>
      <c r="Q109" s="1">
        <f>CEILING(Beastgirl!$B38/ IF(Beastgirl!$D38&lt; 10.8, $Q$8, $Q$8/ (Beastgirl!$D38 / 10.8)),1)</f>
        <v>16</v>
      </c>
      <c r="R109" s="1">
        <f>CEILING(Warrior!$B38 / IF(Warrior!$D38&lt; 10.8, $Q$8, $Q$8 / (Warrior!$D38 / 10.8)),1)</f>
        <v>11</v>
      </c>
      <c r="Y109" s="1">
        <v>36</v>
      </c>
      <c r="Z109" s="1">
        <f>CEILING(Demon!$B38 / IF(Demon!$D38&lt; 10.8, $AB$8, $AB$8 / (Demon!$D38 / 10.8)),1)</f>
        <v>7</v>
      </c>
      <c r="AA109" s="1">
        <f>CEILING(Elf!$B38 / IF(Elf!$D38 &lt; 10.8, $AB$8, $AB$8 / (Elf!$D38 / 10.8)),1)</f>
        <v>8</v>
      </c>
      <c r="AB109" s="1">
        <f>CEILING(Beastgirl!$B38 / IF(Beastgirl!$D38&lt; 10.8, $AB$8, $AB$8 / (Beastgirl!$D38 / 10.8)),1)</f>
        <v>12</v>
      </c>
      <c r="AC109" s="1">
        <f>CEILING(Warrior!$B38/ IF(Warrior!$D38&lt; 10.8, $AB$8, $AB$8/ (Warrior!$D38 / 10.8)),1)</f>
        <v>9</v>
      </c>
    </row>
    <row r="110" spans="3:29" x14ac:dyDescent="0.3">
      <c r="C110" s="1">
        <v>37</v>
      </c>
      <c r="D110" s="1">
        <f>CEILING(Demon!$B39/ IF(Demon!$D39&lt; 10.8, $F$8, $F$8 / (Demon!$D39 / 10.8)),1)</f>
        <v>14</v>
      </c>
      <c r="E110" s="1">
        <f>CEILING(Elf!$B39 / IF(Elf!$D39&lt; 10.8, $F$8,$F$8 / (Elf!$D39/ 10.8)),1)</f>
        <v>16</v>
      </c>
      <c r="F110" s="1">
        <f>CEILING(Beastgirl!$B39/ IF(Beastgirl!$D39&lt; 10.8, $F$8, $F$8 / (Beastgirl!$D39 / 10.8)),1)</f>
        <v>24</v>
      </c>
      <c r="G110" s="1">
        <f>CEILING(Warrior!$B39/ IF(Warrior!$D39&lt; 10.8, $F$8, $F$8 / (Warrior!$D39/ 10.8)),1)</f>
        <v>18</v>
      </c>
      <c r="N110" s="1">
        <v>37</v>
      </c>
      <c r="O110" s="1">
        <f>CEILING(Demon!$B39 / IF(Demon!$D39&lt; 10.8, $Q$8, $Q$8 / (Demon!$D39/ 10.8)),1)</f>
        <v>9</v>
      </c>
      <c r="P110" s="1">
        <f>CEILING(Elf!$B39/ IF(Elf!$D39 &lt; 10.8, $Q$8, $Q$8 / (Elf!$D39/ 10.8)),1)</f>
        <v>11</v>
      </c>
      <c r="Q110" s="1">
        <f>CEILING(Beastgirl!$B39/ IF(Beastgirl!$D39&lt; 10.8, $Q$8, $Q$8/ (Beastgirl!$D39 / 10.8)),1)</f>
        <v>16</v>
      </c>
      <c r="R110" s="1">
        <f>CEILING(Warrior!$B39 / IF(Warrior!$D39&lt; 10.8, $Q$8, $Q$8 / (Warrior!$D39 / 10.8)),1)</f>
        <v>12</v>
      </c>
      <c r="Y110" s="1">
        <v>37</v>
      </c>
      <c r="Z110" s="1">
        <f>CEILING(Demon!$B39 / IF(Demon!$D39&lt; 10.8, $AB$8, $AB$8 / (Demon!$D39 / 10.8)),1)</f>
        <v>7</v>
      </c>
      <c r="AA110" s="1">
        <f>CEILING(Elf!$B39 / IF(Elf!$D39 &lt; 10.8, $AB$8, $AB$8 / (Elf!$D39 / 10.8)),1)</f>
        <v>8</v>
      </c>
      <c r="AB110" s="1">
        <f>CEILING(Beastgirl!$B39 / IF(Beastgirl!$D39&lt; 10.8, $AB$8, $AB$8 / (Beastgirl!$D39 / 10.8)),1)</f>
        <v>12</v>
      </c>
      <c r="AC110" s="1">
        <f>CEILING(Warrior!$B39/ IF(Warrior!$D39&lt; 10.8, $AB$8, $AB$8/ (Warrior!$D39 / 10.8)),1)</f>
        <v>9</v>
      </c>
    </row>
    <row r="111" spans="3:29" x14ac:dyDescent="0.3">
      <c r="C111" s="1">
        <v>38</v>
      </c>
      <c r="D111" s="1">
        <f>CEILING(Demon!$B40/ IF(Demon!$D40&lt; 10.8, $F$8, $F$8 / (Demon!$D40 / 10.8)),1)</f>
        <v>14</v>
      </c>
      <c r="E111" s="1">
        <f>CEILING(Elf!$B40 / IF(Elf!$D40&lt; 10.8, $F$8,$F$8 / (Elf!$D40/ 10.8)),1)</f>
        <v>16</v>
      </c>
      <c r="F111" s="1">
        <f>CEILING(Beastgirl!$B40/ IF(Beastgirl!$D40&lt; 10.8, $F$8, $F$8 / (Beastgirl!$D40 / 10.8)),1)</f>
        <v>26</v>
      </c>
      <c r="G111" s="1">
        <f>CEILING(Warrior!$B40/ IF(Warrior!$D40&lt; 10.8, $F$8, $F$8 / (Warrior!$D40/ 10.8)),1)</f>
        <v>18</v>
      </c>
      <c r="N111" s="1">
        <v>38</v>
      </c>
      <c r="O111" s="1">
        <f>CEILING(Demon!$B40 / IF(Demon!$D40&lt; 10.8, $Q$8, $Q$8 / (Demon!$D40/ 10.8)),1)</f>
        <v>10</v>
      </c>
      <c r="P111" s="1">
        <f>CEILING(Elf!$B40/ IF(Elf!$D40 &lt; 10.8, $Q$8, $Q$8 / (Elf!$D40/ 10.8)),1)</f>
        <v>11</v>
      </c>
      <c r="Q111" s="1">
        <f>CEILING(Beastgirl!$B40/ IF(Beastgirl!$D40&lt; 10.8, $Q$8, $Q$8/ (Beastgirl!$D40 / 10.8)),1)</f>
        <v>17</v>
      </c>
      <c r="R111" s="1">
        <f>CEILING(Warrior!$B40 / IF(Warrior!$D40&lt; 10.8, $Q$8, $Q$8 / (Warrior!$D40 / 10.8)),1)</f>
        <v>12</v>
      </c>
      <c r="Y111" s="1">
        <v>38</v>
      </c>
      <c r="Z111" s="1">
        <f>CEILING(Demon!$B40 / IF(Demon!$D40&lt; 10.8, $AB$8, $AB$8 / (Demon!$D40 / 10.8)),1)</f>
        <v>7</v>
      </c>
      <c r="AA111" s="1">
        <f>CEILING(Elf!$B40 / IF(Elf!$D40 &lt; 10.8, $AB$8, $AB$8 / (Elf!$D40 / 10.8)),1)</f>
        <v>8</v>
      </c>
      <c r="AB111" s="1">
        <f>CEILING(Beastgirl!$B40 / IF(Beastgirl!$D40&lt; 10.8, $AB$8, $AB$8 / (Beastgirl!$D40 / 10.8)),1)</f>
        <v>13</v>
      </c>
      <c r="AC111" s="1">
        <f>CEILING(Warrior!$B40/ IF(Warrior!$D40&lt; 10.8, $AB$8, $AB$8/ (Warrior!$D40 / 10.8)),1)</f>
        <v>9</v>
      </c>
    </row>
    <row r="112" spans="3:29" x14ac:dyDescent="0.3">
      <c r="C112" s="1">
        <v>39</v>
      </c>
      <c r="D112" s="1">
        <f>CEILING(Demon!$B41/ IF(Demon!$D41&lt; 10.8, $F$8, $F$8 / (Demon!$D41 / 10.8)),1)</f>
        <v>15</v>
      </c>
      <c r="E112" s="1">
        <f>CEILING(Elf!$B41 / IF(Elf!$D41&lt; 10.8, $F$8,$F$8 / (Elf!$D41/ 10.8)),1)</f>
        <v>17</v>
      </c>
      <c r="F112" s="1">
        <f>CEILING(Beastgirl!$B41/ IF(Beastgirl!$D41&lt; 10.8, $F$8, $F$8 / (Beastgirl!$D41 / 10.8)),1)</f>
        <v>27</v>
      </c>
      <c r="G112" s="1">
        <f>CEILING(Warrior!$B41/ IF(Warrior!$D41&lt; 10.8, $F$8, $F$8 / (Warrior!$D41/ 10.8)),1)</f>
        <v>19</v>
      </c>
      <c r="N112" s="1">
        <v>39</v>
      </c>
      <c r="O112" s="1">
        <f>CEILING(Demon!$B41 / IF(Demon!$D41&lt; 10.8, $Q$8, $Q$8 / (Demon!$D41/ 10.8)),1)</f>
        <v>10</v>
      </c>
      <c r="P112" s="1">
        <f>CEILING(Elf!$B41/ IF(Elf!$D41 &lt; 10.8, $Q$8, $Q$8 / (Elf!$D41/ 10.8)),1)</f>
        <v>12</v>
      </c>
      <c r="Q112" s="1">
        <f>CEILING(Beastgirl!$B41/ IF(Beastgirl!$D41&lt; 10.8, $Q$8, $Q$8/ (Beastgirl!$D41 / 10.8)),1)</f>
        <v>18</v>
      </c>
      <c r="R112" s="1">
        <f>CEILING(Warrior!$B41 / IF(Warrior!$D41&lt; 10.8, $Q$8, $Q$8 / (Warrior!$D41 / 10.8)),1)</f>
        <v>13</v>
      </c>
      <c r="Y112" s="1">
        <v>39</v>
      </c>
      <c r="Z112" s="1">
        <f>CEILING(Demon!$B41 / IF(Demon!$D41&lt; 10.8, $AB$8, $AB$8 / (Demon!$D41 / 10.8)),1)</f>
        <v>8</v>
      </c>
      <c r="AA112" s="1">
        <f>CEILING(Elf!$B41 / IF(Elf!$D41 &lt; 10.8, $AB$8, $AB$8 / (Elf!$D41 / 10.8)),1)</f>
        <v>9</v>
      </c>
      <c r="AB112" s="1">
        <f>CEILING(Beastgirl!$B41 / IF(Beastgirl!$D41&lt; 10.8, $AB$8, $AB$8 / (Beastgirl!$D41 / 10.8)),1)</f>
        <v>14</v>
      </c>
      <c r="AC112" s="1">
        <f>CEILING(Warrior!$B41/ IF(Warrior!$D41&lt; 10.8, $AB$8, $AB$8/ (Warrior!$D41 / 10.8)),1)</f>
        <v>10</v>
      </c>
    </row>
    <row r="113" spans="3:29" x14ac:dyDescent="0.3">
      <c r="C113" s="1">
        <v>40</v>
      </c>
      <c r="D113" s="1">
        <f>CEILING(Demon!$B42/ IF(Demon!$D42&lt; 10.8, $F$8, $F$8 / (Demon!$D42 / 10.8)),1)</f>
        <v>16</v>
      </c>
      <c r="E113" s="1">
        <f>CEILING(Elf!$B42 / IF(Elf!$D42&lt; 10.8, $F$8,$F$8 / (Elf!$D42/ 10.8)),1)</f>
        <v>18</v>
      </c>
      <c r="F113" s="1">
        <f>CEILING(Beastgirl!$B42/ IF(Beastgirl!$D42&lt; 10.8, $F$8, $F$8 / (Beastgirl!$D42 / 10.8)),1)</f>
        <v>28</v>
      </c>
      <c r="G113" s="1">
        <f>CEILING(Warrior!$B42/ IF(Warrior!$D42&lt; 10.8, $F$8, $F$8 / (Warrior!$D42/ 10.8)),1)</f>
        <v>20</v>
      </c>
      <c r="N113" s="1">
        <v>40</v>
      </c>
      <c r="O113" s="1">
        <f>CEILING(Demon!$B42 / IF(Demon!$D42&lt; 10.8, $Q$8, $Q$8 / (Demon!$D42/ 10.8)),1)</f>
        <v>11</v>
      </c>
      <c r="P113" s="1">
        <f>CEILING(Elf!$B42/ IF(Elf!$D42 &lt; 10.8, $Q$8, $Q$8 / (Elf!$D42/ 10.8)),1)</f>
        <v>12</v>
      </c>
      <c r="Q113" s="1">
        <f>CEILING(Beastgirl!$B42/ IF(Beastgirl!$D42&lt; 10.8, $Q$8, $Q$8/ (Beastgirl!$D42 / 10.8)),1)</f>
        <v>19</v>
      </c>
      <c r="R113" s="1">
        <f>CEILING(Warrior!$B42 / IF(Warrior!$D42&lt; 10.8, $Q$8, $Q$8 / (Warrior!$D42 / 10.8)),1)</f>
        <v>14</v>
      </c>
      <c r="Y113" s="1">
        <v>40</v>
      </c>
      <c r="Z113" s="1">
        <f>CEILING(Demon!$B42 / IF(Demon!$D42&lt; 10.8, $AB$8, $AB$8 / (Demon!$D42 / 10.8)),1)</f>
        <v>8</v>
      </c>
      <c r="AA113" s="1">
        <f>CEILING(Elf!$B42 / IF(Elf!$D42 &lt; 10.8, $AB$8, $AB$8 / (Elf!$D42 / 10.8)),1)</f>
        <v>9</v>
      </c>
      <c r="AB113" s="1">
        <f>CEILING(Beastgirl!$B42 / IF(Beastgirl!$D42&lt; 10.8, $AB$8, $AB$8 / (Beastgirl!$D42 / 10.8)),1)</f>
        <v>14</v>
      </c>
      <c r="AC113" s="1">
        <f>CEILING(Warrior!$B42/ IF(Warrior!$D42&lt; 10.8, $AB$8, $AB$8/ (Warrior!$D42 / 10.8)),1)</f>
        <v>10</v>
      </c>
    </row>
    <row r="114" spans="3:29" x14ac:dyDescent="0.3">
      <c r="C114" s="1">
        <v>41</v>
      </c>
      <c r="D114" s="1">
        <f>CEILING(Demon!$B43/ IF(Demon!$D43&lt; 10.8, $F$8, $F$8 / (Demon!$D43 / 10.8)),1)</f>
        <v>17</v>
      </c>
      <c r="E114" s="1">
        <f>CEILING(Elf!$B43 / IF(Elf!$D43&lt; 10.8, $F$8,$F$8 / (Elf!$D43/ 10.8)),1)</f>
        <v>19</v>
      </c>
      <c r="F114" s="1">
        <f>CEILING(Beastgirl!$B43/ IF(Beastgirl!$D43&lt; 10.8, $F$8, $F$8 / (Beastgirl!$D43 / 10.8)),1)</f>
        <v>29</v>
      </c>
      <c r="G114" s="1">
        <f>CEILING(Warrior!$B43/ IF(Warrior!$D43&lt; 10.8, $F$8, $F$8 / (Warrior!$D43/ 10.8)),1)</f>
        <v>21</v>
      </c>
      <c r="N114" s="1">
        <v>41</v>
      </c>
      <c r="O114" s="1">
        <f>CEILING(Demon!$B43 / IF(Demon!$D43&lt; 10.8, $Q$8, $Q$8 / (Demon!$D43/ 10.8)),1)</f>
        <v>11</v>
      </c>
      <c r="P114" s="1">
        <f>CEILING(Elf!$B43/ IF(Elf!$D43 &lt; 10.8, $Q$8, $Q$8 / (Elf!$D43/ 10.8)),1)</f>
        <v>13</v>
      </c>
      <c r="Q114" s="1">
        <f>CEILING(Beastgirl!$B43/ IF(Beastgirl!$D43&lt; 10.8, $Q$8, $Q$8/ (Beastgirl!$D43 / 10.8)),1)</f>
        <v>20</v>
      </c>
      <c r="R114" s="1">
        <f>CEILING(Warrior!$B43 / IF(Warrior!$D43&lt; 10.8, $Q$8, $Q$8 / (Warrior!$D43 / 10.8)),1)</f>
        <v>14</v>
      </c>
      <c r="Y114" s="1">
        <v>41</v>
      </c>
      <c r="Z114" s="1">
        <f>CEILING(Demon!$B43 / IF(Demon!$D43&lt; 10.8, $AB$8, $AB$8 / (Demon!$D43 / 10.8)),1)</f>
        <v>9</v>
      </c>
      <c r="AA114" s="1">
        <f>CEILING(Elf!$B43 / IF(Elf!$D43 &lt; 10.8, $AB$8, $AB$8 / (Elf!$D43 / 10.8)),1)</f>
        <v>10</v>
      </c>
      <c r="AB114" s="1">
        <f>CEILING(Beastgirl!$B43 / IF(Beastgirl!$D43&lt; 10.8, $AB$8, $AB$8 / (Beastgirl!$D43 / 10.8)),1)</f>
        <v>15</v>
      </c>
      <c r="AC114" s="1">
        <f>CEILING(Warrior!$B43/ IF(Warrior!$D43&lt; 10.8, $AB$8, $AB$8/ (Warrior!$D43 / 10.8)),1)</f>
        <v>11</v>
      </c>
    </row>
    <row r="115" spans="3:29" x14ac:dyDescent="0.3">
      <c r="C115" s="1">
        <v>42</v>
      </c>
      <c r="D115" s="1">
        <f>CEILING(Demon!$B44/ IF(Demon!$D44&lt; 10.8, $F$8, $F$8 / (Demon!$D44 / 10.8)),1)</f>
        <v>17</v>
      </c>
      <c r="E115" s="1">
        <f>CEILING(Elf!$B44 / IF(Elf!$D44&lt; 10.8, $F$8,$F$8 / (Elf!$D44/ 10.8)),1)</f>
        <v>20</v>
      </c>
      <c r="F115" s="1">
        <f>CEILING(Beastgirl!$B44/ IF(Beastgirl!$D44&lt; 10.8, $F$8, $F$8 / (Beastgirl!$D44 / 10.8)),1)</f>
        <v>31</v>
      </c>
      <c r="G115" s="1">
        <f>CEILING(Warrior!$B44/ IF(Warrior!$D44&lt; 10.8, $F$8, $F$8 / (Warrior!$D44/ 10.8)),1)</f>
        <v>22</v>
      </c>
      <c r="N115" s="1">
        <v>42</v>
      </c>
      <c r="O115" s="1">
        <f>CEILING(Demon!$B44 / IF(Demon!$D44&lt; 10.8, $Q$8, $Q$8 / (Demon!$D44/ 10.8)),1)</f>
        <v>12</v>
      </c>
      <c r="P115" s="1">
        <f>CEILING(Elf!$B44/ IF(Elf!$D44 &lt; 10.8, $Q$8, $Q$8 / (Elf!$D44/ 10.8)),1)</f>
        <v>13</v>
      </c>
      <c r="Q115" s="1">
        <f>CEILING(Beastgirl!$B44/ IF(Beastgirl!$D44&lt; 10.8, $Q$8, $Q$8/ (Beastgirl!$D44 / 10.8)),1)</f>
        <v>21</v>
      </c>
      <c r="R115" s="1">
        <f>CEILING(Warrior!$B44 / IF(Warrior!$D44&lt; 10.8, $Q$8, $Q$8 / (Warrior!$D44 / 10.8)),1)</f>
        <v>15</v>
      </c>
      <c r="Y115" s="1">
        <v>42</v>
      </c>
      <c r="Z115" s="1">
        <f>CEILING(Demon!$B44 / IF(Demon!$D44&lt; 10.8, $AB$8, $AB$8 / (Demon!$D44 / 10.8)),1)</f>
        <v>9</v>
      </c>
      <c r="AA115" s="1">
        <f>CEILING(Elf!$B44 / IF(Elf!$D44 &lt; 10.8, $AB$8, $AB$8 / (Elf!$D44 / 10.8)),1)</f>
        <v>10</v>
      </c>
      <c r="AB115" s="1">
        <f>CEILING(Beastgirl!$B44 / IF(Beastgirl!$D44&lt; 10.8, $AB$8, $AB$8 / (Beastgirl!$D44 / 10.8)),1)</f>
        <v>16</v>
      </c>
      <c r="AC115" s="1">
        <f>CEILING(Warrior!$B44/ IF(Warrior!$D44&lt; 10.8, $AB$8, $AB$8/ (Warrior!$D44 / 10.8)),1)</f>
        <v>11</v>
      </c>
    </row>
    <row r="116" spans="3:29" x14ac:dyDescent="0.3">
      <c r="C116" s="1">
        <v>43</v>
      </c>
      <c r="D116" s="1">
        <f>CEILING(Demon!$B45/ IF(Demon!$D45&lt; 10.8, $F$8, $F$8 / (Demon!$D45 / 10.8)),1)</f>
        <v>18</v>
      </c>
      <c r="E116" s="1">
        <f>CEILING(Elf!$B45 / IF(Elf!$D45&lt; 10.8, $F$8,$F$8 / (Elf!$D45/ 10.8)),1)</f>
        <v>21</v>
      </c>
      <c r="F116" s="1">
        <f>CEILING(Beastgirl!$B45/ IF(Beastgirl!$D45&lt; 10.8, $F$8, $F$8 / (Beastgirl!$D45 / 10.8)),1)</f>
        <v>32</v>
      </c>
      <c r="G116" s="1">
        <f>CEILING(Warrior!$B45/ IF(Warrior!$D45&lt; 10.8, $F$8, $F$8 / (Warrior!$D45/ 10.8)),1)</f>
        <v>23</v>
      </c>
      <c r="N116" s="1">
        <v>43</v>
      </c>
      <c r="O116" s="1">
        <f>CEILING(Demon!$B45 / IF(Demon!$D45&lt; 10.8, $Q$8, $Q$8 / (Demon!$D45/ 10.8)),1)</f>
        <v>12</v>
      </c>
      <c r="P116" s="1">
        <f>CEILING(Elf!$B45/ IF(Elf!$D45 &lt; 10.8, $Q$8, $Q$8 / (Elf!$D45/ 10.8)),1)</f>
        <v>14</v>
      </c>
      <c r="Q116" s="1">
        <f>CEILING(Beastgirl!$B45/ IF(Beastgirl!$D45&lt; 10.8, $Q$8, $Q$8/ (Beastgirl!$D45 / 10.8)),1)</f>
        <v>22</v>
      </c>
      <c r="R116" s="1">
        <f>CEILING(Warrior!$B45 / IF(Warrior!$D45&lt; 10.8, $Q$8, $Q$8 / (Warrior!$D45 / 10.8)),1)</f>
        <v>16</v>
      </c>
      <c r="Y116" s="1">
        <v>43</v>
      </c>
      <c r="Z116" s="1">
        <f>CEILING(Demon!$B45 / IF(Demon!$D45&lt; 10.8, $AB$8, $AB$8 / (Demon!$D45 / 10.8)),1)</f>
        <v>9</v>
      </c>
      <c r="AA116" s="1">
        <f>CEILING(Elf!$B45 / IF(Elf!$D45 &lt; 10.8, $AB$8, $AB$8 / (Elf!$D45 / 10.8)),1)</f>
        <v>11</v>
      </c>
      <c r="AB116" s="1">
        <f>CEILING(Beastgirl!$B45 / IF(Beastgirl!$D45&lt; 10.8, $AB$8, $AB$8 / (Beastgirl!$D45 / 10.8)),1)</f>
        <v>16</v>
      </c>
      <c r="AC116" s="1">
        <f>CEILING(Warrior!$B45/ IF(Warrior!$D45&lt; 10.8, $AB$8, $AB$8/ (Warrior!$D45 / 10.8)),1)</f>
        <v>12</v>
      </c>
    </row>
    <row r="117" spans="3:29" x14ac:dyDescent="0.3">
      <c r="C117" s="1">
        <v>44</v>
      </c>
      <c r="D117" s="1">
        <f>CEILING(Demon!$B46/ IF(Demon!$D46&lt; 10.8, $F$8, $F$8 / (Demon!$D46 / 10.8)),1)</f>
        <v>19</v>
      </c>
      <c r="E117" s="1">
        <f>CEILING(Elf!$B46 / IF(Elf!$D46&lt; 10.8, $F$8,$F$8 / (Elf!$D46/ 10.8)),1)</f>
        <v>22</v>
      </c>
      <c r="F117" s="1">
        <f>CEILING(Beastgirl!$B46/ IF(Beastgirl!$D46&lt; 10.8, $F$8, $F$8 / (Beastgirl!$D46 / 10.8)),1)</f>
        <v>34</v>
      </c>
      <c r="G117" s="1">
        <f>CEILING(Warrior!$B46/ IF(Warrior!$D46&lt; 10.8, $F$8, $F$8 / (Warrior!$D46/ 10.8)),1)</f>
        <v>24</v>
      </c>
      <c r="N117" s="1">
        <v>44</v>
      </c>
      <c r="O117" s="1">
        <f>CEILING(Demon!$B46 / IF(Demon!$D46&lt; 10.8, $Q$8, $Q$8 / (Demon!$D46/ 10.8)),1)</f>
        <v>13</v>
      </c>
      <c r="P117" s="1">
        <f>CEILING(Elf!$B46/ IF(Elf!$D46 &lt; 10.8, $Q$8, $Q$8 / (Elf!$D46/ 10.8)),1)</f>
        <v>15</v>
      </c>
      <c r="Q117" s="1">
        <f>CEILING(Beastgirl!$B46/ IF(Beastgirl!$D46&lt; 10.8, $Q$8, $Q$8/ (Beastgirl!$D46 / 10.8)),1)</f>
        <v>23</v>
      </c>
      <c r="R117" s="1">
        <f>CEILING(Warrior!$B46 / IF(Warrior!$D46&lt; 10.8, $Q$8, $Q$8 / (Warrior!$D46 / 10.8)),1)</f>
        <v>16</v>
      </c>
      <c r="Y117" s="1">
        <v>44</v>
      </c>
      <c r="Z117" s="1">
        <f>CEILING(Demon!$B46 / IF(Demon!$D46&lt; 10.8, $AB$8, $AB$8 / (Demon!$D46 / 10.8)),1)</f>
        <v>10</v>
      </c>
      <c r="AA117" s="1">
        <f>CEILING(Elf!$B46 / IF(Elf!$D46 &lt; 10.8, $AB$8, $AB$8 / (Elf!$D46 / 10.8)),1)</f>
        <v>11</v>
      </c>
      <c r="AB117" s="1">
        <f>CEILING(Beastgirl!$B46 / IF(Beastgirl!$D46&lt; 10.8, $AB$8, $AB$8 / (Beastgirl!$D46 / 10.8)),1)</f>
        <v>17</v>
      </c>
      <c r="AC117" s="1">
        <f>CEILING(Warrior!$B46/ IF(Warrior!$D46&lt; 10.8, $AB$8, $AB$8/ (Warrior!$D46 / 10.8)),1)</f>
        <v>12</v>
      </c>
    </row>
    <row r="118" spans="3:29" x14ac:dyDescent="0.3">
      <c r="C118" s="1">
        <v>45</v>
      </c>
      <c r="D118" s="1">
        <f>CEILING(Demon!$B47/ IF(Demon!$D47&lt; 10.8, $F$8, $F$8 / (Demon!$D47 / 10.8)),1)</f>
        <v>24</v>
      </c>
      <c r="E118" s="1">
        <f>CEILING(Elf!$B47 / IF(Elf!$D47&lt; 10.8, $F$8,$F$8 / (Elf!$D47/ 10.8)),1)</f>
        <v>27</v>
      </c>
      <c r="F118" s="1">
        <f>CEILING(Beastgirl!$B47/ IF(Beastgirl!$D47&lt; 10.8, $F$8, $F$8 / (Beastgirl!$D47 / 10.8)),1)</f>
        <v>42</v>
      </c>
      <c r="G118" s="1">
        <f>CEILING(Warrior!$B47/ IF(Warrior!$D47&lt; 10.8, $F$8, $F$8 / (Warrior!$D47/ 10.8)),1)</f>
        <v>30</v>
      </c>
      <c r="N118" s="1">
        <v>45</v>
      </c>
      <c r="O118" s="1">
        <f>CEILING(Demon!$B47 / IF(Demon!$D47&lt; 10.8, $Q$8, $Q$8 / (Demon!$D47/ 10.8)),1)</f>
        <v>16</v>
      </c>
      <c r="P118" s="1">
        <f>CEILING(Elf!$B47/ IF(Elf!$D47 &lt; 10.8, $Q$8, $Q$8 / (Elf!$D47/ 10.8)),1)</f>
        <v>18</v>
      </c>
      <c r="Q118" s="1">
        <f>CEILING(Beastgirl!$B47/ IF(Beastgirl!$D47&lt; 10.8, $Q$8, $Q$8/ (Beastgirl!$D47 / 10.8)),1)</f>
        <v>28</v>
      </c>
      <c r="R118" s="1">
        <f>CEILING(Warrior!$B47 / IF(Warrior!$D47&lt; 10.8, $Q$8, $Q$8 / (Warrior!$D47 / 10.8)),1)</f>
        <v>20</v>
      </c>
      <c r="Y118" s="1">
        <v>45</v>
      </c>
      <c r="Z118" s="1">
        <f>CEILING(Demon!$B47 / IF(Demon!$D47&lt; 10.8, $AB$8, $AB$8 / (Demon!$D47 / 10.8)),1)</f>
        <v>12</v>
      </c>
      <c r="AA118" s="1">
        <f>CEILING(Elf!$B47 / IF(Elf!$D47 &lt; 10.8, $AB$8, $AB$8 / (Elf!$D47 / 10.8)),1)</f>
        <v>14</v>
      </c>
      <c r="AB118" s="1">
        <f>CEILING(Beastgirl!$B47 / IF(Beastgirl!$D47&lt; 10.8, $AB$8, $AB$8 / (Beastgirl!$D47 / 10.8)),1)</f>
        <v>21</v>
      </c>
      <c r="AC118" s="1">
        <f>CEILING(Warrior!$B47/ IF(Warrior!$D47&lt; 10.8, $AB$8, $AB$8/ (Warrior!$D47 / 10.8)),1)</f>
        <v>15</v>
      </c>
    </row>
    <row r="119" spans="3:29" x14ac:dyDescent="0.3">
      <c r="C119" s="1">
        <v>46</v>
      </c>
      <c r="D119" s="1">
        <f>CEILING(Demon!$B48/ IF(Demon!$D48&lt; 10.8, $F$8, $F$8 / (Demon!$D48 / 10.8)),1)</f>
        <v>25</v>
      </c>
      <c r="E119" s="1">
        <f>CEILING(Elf!$B48 / IF(Elf!$D48&lt; 10.8, $F$8,$F$8 / (Elf!$D48/ 10.8)),1)</f>
        <v>28</v>
      </c>
      <c r="F119" s="1">
        <f>CEILING(Beastgirl!$B48/ IF(Beastgirl!$D48&lt; 10.8, $F$8, $F$8 / (Beastgirl!$D48 / 10.8)),1)</f>
        <v>44</v>
      </c>
      <c r="G119" s="1">
        <f>CEILING(Warrior!$B48/ IF(Warrior!$D48&lt; 10.8, $F$8, $F$8 / (Warrior!$D48/ 10.8)),1)</f>
        <v>31</v>
      </c>
      <c r="N119" s="1">
        <v>46</v>
      </c>
      <c r="O119" s="1">
        <f>CEILING(Demon!$B48 / IF(Demon!$D48&lt; 10.8, $Q$8, $Q$8 / (Demon!$D48/ 10.8)),1)</f>
        <v>17</v>
      </c>
      <c r="P119" s="1">
        <f>CEILING(Elf!$B48/ IF(Elf!$D48 &lt; 10.8, $Q$8, $Q$8 / (Elf!$D48/ 10.8)),1)</f>
        <v>19</v>
      </c>
      <c r="Q119" s="1">
        <f>CEILING(Beastgirl!$B48/ IF(Beastgirl!$D48&lt; 10.8, $Q$8, $Q$8/ (Beastgirl!$D48 / 10.8)),1)</f>
        <v>29</v>
      </c>
      <c r="R119" s="1">
        <f>CEILING(Warrior!$B48 / IF(Warrior!$D48&lt; 10.8, $Q$8, $Q$8 / (Warrior!$D48 / 10.8)),1)</f>
        <v>21</v>
      </c>
      <c r="Y119" s="1">
        <v>46</v>
      </c>
      <c r="Z119" s="1">
        <f>CEILING(Demon!$B48 / IF(Demon!$D48&lt; 10.8, $AB$8, $AB$8 / (Demon!$D48 / 10.8)),1)</f>
        <v>13</v>
      </c>
      <c r="AA119" s="1">
        <f>CEILING(Elf!$B48 / IF(Elf!$D48 &lt; 10.8, $AB$8, $AB$8 / (Elf!$D48 / 10.8)),1)</f>
        <v>14</v>
      </c>
      <c r="AB119" s="1">
        <f>CEILING(Beastgirl!$B48 / IF(Beastgirl!$D48&lt; 10.8, $AB$8, $AB$8 / (Beastgirl!$D48 / 10.8)),1)</f>
        <v>22</v>
      </c>
      <c r="AC119" s="1">
        <f>CEILING(Warrior!$B48/ IF(Warrior!$D48&lt; 10.8, $AB$8, $AB$8/ (Warrior!$D48 / 10.8)),1)</f>
        <v>16</v>
      </c>
    </row>
    <row r="120" spans="3:29" x14ac:dyDescent="0.3">
      <c r="C120" s="1">
        <v>47</v>
      </c>
      <c r="D120" s="1">
        <f>CEILING(Demon!$B49/ IF(Demon!$D49&lt; 10.8, $F$8, $F$8 / (Demon!$D49 / 10.8)),1)</f>
        <v>26</v>
      </c>
      <c r="E120" s="1">
        <f>CEILING(Elf!$B49 / IF(Elf!$D49&lt; 10.8, $F$8,$F$8 / (Elf!$D49/ 10.8)),1)</f>
        <v>30</v>
      </c>
      <c r="F120" s="1">
        <f>CEILING(Beastgirl!$B49/ IF(Beastgirl!$D49&lt; 10.8, $F$8, $F$8 / (Beastgirl!$D49 / 10.8)),1)</f>
        <v>45</v>
      </c>
      <c r="G120" s="1">
        <f>CEILING(Warrior!$B49/ IF(Warrior!$D49&lt; 10.8, $F$8, $F$8 / (Warrior!$D49/ 10.8)),1)</f>
        <v>33</v>
      </c>
      <c r="N120" s="1">
        <v>47</v>
      </c>
      <c r="O120" s="1">
        <f>CEILING(Demon!$B49 / IF(Demon!$D49&lt; 10.8, $Q$8, $Q$8 / (Demon!$D49/ 10.8)),1)</f>
        <v>18</v>
      </c>
      <c r="P120" s="1">
        <f>CEILING(Elf!$B49/ IF(Elf!$D49 &lt; 10.8, $Q$8, $Q$8 / (Elf!$D49/ 10.8)),1)</f>
        <v>20</v>
      </c>
      <c r="Q120" s="1">
        <f>CEILING(Beastgirl!$B49/ IF(Beastgirl!$D49&lt; 10.8, $Q$8, $Q$8/ (Beastgirl!$D49 / 10.8)),1)</f>
        <v>30</v>
      </c>
      <c r="R120" s="1">
        <f>CEILING(Warrior!$B49 / IF(Warrior!$D49&lt; 10.8, $Q$8, $Q$8 / (Warrior!$D49 / 10.8)),1)</f>
        <v>22</v>
      </c>
      <c r="Y120" s="1">
        <v>47</v>
      </c>
      <c r="Z120" s="1">
        <f>CEILING(Demon!$B49 / IF(Demon!$D49&lt; 10.8, $AB$8, $AB$8 / (Demon!$D49 / 10.8)),1)</f>
        <v>13</v>
      </c>
      <c r="AA120" s="1">
        <f>CEILING(Elf!$B49 / IF(Elf!$D49 &lt; 10.8, $AB$8, $AB$8 / (Elf!$D49 / 10.8)),1)</f>
        <v>15</v>
      </c>
      <c r="AB120" s="1">
        <f>CEILING(Beastgirl!$B49 / IF(Beastgirl!$D49&lt; 10.8, $AB$8, $AB$8 / (Beastgirl!$D49 / 10.8)),1)</f>
        <v>23</v>
      </c>
      <c r="AC120" s="1">
        <f>CEILING(Warrior!$B49/ IF(Warrior!$D49&lt; 10.8, $AB$8, $AB$8/ (Warrior!$D49 / 10.8)),1)</f>
        <v>17</v>
      </c>
    </row>
    <row r="121" spans="3:29" x14ac:dyDescent="0.3">
      <c r="C121" s="1">
        <v>48</v>
      </c>
      <c r="D121" s="1">
        <f>CEILING(Demon!$B50/ IF(Demon!$D50&lt; 10.8, $F$8, $F$8 / (Demon!$D50 / 10.8)),1)</f>
        <v>27</v>
      </c>
      <c r="E121" s="1">
        <f>CEILING(Elf!$B50 / IF(Elf!$D50&lt; 10.8, $F$8,$F$8 / (Elf!$D50/ 10.8)),1)</f>
        <v>31</v>
      </c>
      <c r="F121" s="1">
        <f>CEILING(Beastgirl!$B50/ IF(Beastgirl!$D50&lt; 10.8, $F$8, $F$8 / (Beastgirl!$D50 / 10.8)),1)</f>
        <v>47</v>
      </c>
      <c r="G121" s="1">
        <f>CEILING(Warrior!$B50/ IF(Warrior!$D50&lt; 10.8, $F$8, $F$8 / (Warrior!$D50/ 10.8)),1)</f>
        <v>34</v>
      </c>
      <c r="N121" s="1">
        <v>48</v>
      </c>
      <c r="O121" s="1">
        <f>CEILING(Demon!$B50 / IF(Demon!$D50&lt; 10.8, $Q$8, $Q$8 / (Demon!$D50/ 10.8)),1)</f>
        <v>18</v>
      </c>
      <c r="P121" s="1">
        <f>CEILING(Elf!$B50/ IF(Elf!$D50 &lt; 10.8, $Q$8, $Q$8 / (Elf!$D50/ 10.8)),1)</f>
        <v>21</v>
      </c>
      <c r="Q121" s="1">
        <f>CEILING(Beastgirl!$B50/ IF(Beastgirl!$D50&lt; 10.8, $Q$8, $Q$8/ (Beastgirl!$D50 / 10.8)),1)</f>
        <v>32</v>
      </c>
      <c r="R121" s="1">
        <f>CEILING(Warrior!$B50 / IF(Warrior!$D50&lt; 10.8, $Q$8, $Q$8 / (Warrior!$D50 / 10.8)),1)</f>
        <v>23</v>
      </c>
      <c r="Y121" s="1">
        <v>48</v>
      </c>
      <c r="Z121" s="1">
        <f>CEILING(Demon!$B50 / IF(Demon!$D50&lt; 10.8, $AB$8, $AB$8 / (Demon!$D50 / 10.8)),1)</f>
        <v>14</v>
      </c>
      <c r="AA121" s="1">
        <f>CEILING(Elf!$B50 / IF(Elf!$D50 &lt; 10.8, $AB$8, $AB$8 / (Elf!$D50 / 10.8)),1)</f>
        <v>16</v>
      </c>
      <c r="AB121" s="1">
        <f>CEILING(Beastgirl!$B50 / IF(Beastgirl!$D50&lt; 10.8, $AB$8, $AB$8 / (Beastgirl!$D50 / 10.8)),1)</f>
        <v>24</v>
      </c>
      <c r="AC121" s="1">
        <f>CEILING(Warrior!$B50/ IF(Warrior!$D50&lt; 10.8, $AB$8, $AB$8/ (Warrior!$D50 / 10.8)),1)</f>
        <v>17</v>
      </c>
    </row>
    <row r="122" spans="3:29" x14ac:dyDescent="0.3">
      <c r="C122" s="1">
        <v>49</v>
      </c>
      <c r="D122" s="1">
        <f>CEILING(Demon!$B51/ IF(Demon!$D51&lt; 10.8, $F$8, $F$8 / (Demon!$D51 / 10.8)),1)</f>
        <v>28</v>
      </c>
      <c r="E122" s="1">
        <f>CEILING(Elf!$B51 / IF(Elf!$D51&lt; 10.8, $F$8,$F$8 / (Elf!$D51/ 10.8)),1)</f>
        <v>32</v>
      </c>
      <c r="F122" s="1">
        <f>CEILING(Beastgirl!$B51/ IF(Beastgirl!$D51&lt; 10.8, $F$8, $F$8 / (Beastgirl!$D51 / 10.8)),1)</f>
        <v>49</v>
      </c>
      <c r="G122" s="1">
        <f>CEILING(Warrior!$B51/ IF(Warrior!$D51&lt; 10.8, $F$8, $F$8 / (Warrior!$D51/ 10.8)),1)</f>
        <v>35</v>
      </c>
      <c r="N122" s="1">
        <v>49</v>
      </c>
      <c r="O122" s="1">
        <f>CEILING(Demon!$B51 / IF(Demon!$D51&lt; 10.8, $Q$8, $Q$8 / (Demon!$D51/ 10.8)),1)</f>
        <v>19</v>
      </c>
      <c r="P122" s="1">
        <f>CEILING(Elf!$B51/ IF(Elf!$D51 &lt; 10.8, $Q$8, $Q$8 / (Elf!$D51/ 10.8)),1)</f>
        <v>22</v>
      </c>
      <c r="Q122" s="1">
        <f>CEILING(Beastgirl!$B51/ IF(Beastgirl!$D51&lt; 10.8, $Q$8, $Q$8/ (Beastgirl!$D51 / 10.8)),1)</f>
        <v>33</v>
      </c>
      <c r="R122" s="1">
        <f>CEILING(Warrior!$B51 / IF(Warrior!$D51&lt; 10.8, $Q$8, $Q$8 / (Warrior!$D51 / 10.8)),1)</f>
        <v>24</v>
      </c>
      <c r="Y122" s="1">
        <v>49</v>
      </c>
      <c r="Z122" s="1">
        <f>CEILING(Demon!$B51 / IF(Demon!$D51&lt; 10.8, $AB$8, $AB$8 / (Demon!$D51 / 10.8)),1)</f>
        <v>14</v>
      </c>
      <c r="AA122" s="1">
        <f>CEILING(Elf!$B51 / IF(Elf!$D51 &lt; 10.8, $AB$8, $AB$8 / (Elf!$D51 / 10.8)),1)</f>
        <v>16</v>
      </c>
      <c r="AB122" s="1">
        <f>CEILING(Beastgirl!$B51 / IF(Beastgirl!$D51&lt; 10.8, $AB$8, $AB$8 / (Beastgirl!$D51 / 10.8)),1)</f>
        <v>25</v>
      </c>
      <c r="AC122" s="1">
        <f>CEILING(Warrior!$B51/ IF(Warrior!$D51&lt; 10.8, $AB$8, $AB$8/ (Warrior!$D51 / 10.8)),1)</f>
        <v>18</v>
      </c>
    </row>
    <row r="123" spans="3:29" x14ac:dyDescent="0.3">
      <c r="C123" s="1">
        <v>50</v>
      </c>
      <c r="D123" s="1">
        <f>CEILING(Demon!$B52/ IF(Demon!$D52&lt; 10.8, $F$8, $F$8 / (Demon!$D52 / 10.8)),1)</f>
        <v>29</v>
      </c>
      <c r="E123" s="1">
        <f>CEILING(Elf!$B52 / IF(Elf!$D52&lt; 10.8, $F$8,$F$8 / (Elf!$D52/ 10.8)),1)</f>
        <v>33</v>
      </c>
      <c r="F123" s="1">
        <f>CEILING(Beastgirl!$B52/ IF(Beastgirl!$D52&lt; 10.8, $F$8, $F$8 / (Beastgirl!$D52 / 10.8)),1)</f>
        <v>51</v>
      </c>
      <c r="G123" s="1">
        <f>CEILING(Warrior!$B52/ IF(Warrior!$D52&lt; 10.8, $F$8, $F$8 / (Warrior!$D52/ 10.8)),1)</f>
        <v>37</v>
      </c>
      <c r="N123" s="1">
        <v>50</v>
      </c>
      <c r="O123" s="1">
        <f>CEILING(Demon!$B52 / IF(Demon!$D52&lt; 10.8, $Q$8, $Q$8 / (Demon!$D52/ 10.8)),1)</f>
        <v>20</v>
      </c>
      <c r="P123" s="1">
        <f>CEILING(Elf!$B52/ IF(Elf!$D52 &lt; 10.8, $Q$8, $Q$8 / (Elf!$D52/ 10.8)),1)</f>
        <v>22</v>
      </c>
      <c r="Q123" s="1">
        <f>CEILING(Beastgirl!$B52/ IF(Beastgirl!$D52&lt; 10.8, $Q$8, $Q$8/ (Beastgirl!$D52 / 10.8)),1)</f>
        <v>34</v>
      </c>
      <c r="R123" s="1">
        <f>CEILING(Warrior!$B52 / IF(Warrior!$D52&lt; 10.8, $Q$8, $Q$8 / (Warrior!$D52 / 10.8)),1)</f>
        <v>25</v>
      </c>
      <c r="Y123" s="1">
        <v>50</v>
      </c>
      <c r="Z123" s="1">
        <f>CEILING(Demon!$B52 / IF(Demon!$D52&lt; 10.8, $AB$8, $AB$8 / (Demon!$D52 / 10.8)),1)</f>
        <v>15</v>
      </c>
      <c r="AA123" s="1">
        <f>CEILING(Elf!$B52 / IF(Elf!$D52 &lt; 10.8, $AB$8, $AB$8 / (Elf!$D52 / 10.8)),1)</f>
        <v>17</v>
      </c>
      <c r="AB123" s="1">
        <f>CEILING(Beastgirl!$B52 / IF(Beastgirl!$D52&lt; 10.8, $AB$8, $AB$8 / (Beastgirl!$D52 / 10.8)),1)</f>
        <v>26</v>
      </c>
      <c r="AC123" s="1">
        <f>CEILING(Warrior!$B52/ IF(Warrior!$D52&lt; 10.8, $AB$8, $AB$8/ (Warrior!$D52 / 10.8)),1)</f>
        <v>19</v>
      </c>
    </row>
  </sheetData>
  <mergeCells count="18">
    <mergeCell ref="C79:G79"/>
    <mergeCell ref="N79:R79"/>
    <mergeCell ref="Y79:AC79"/>
    <mergeCell ref="C102:G102"/>
    <mergeCell ref="N102:R102"/>
    <mergeCell ref="Y102:AC102"/>
    <mergeCell ref="C33:G33"/>
    <mergeCell ref="N33:R33"/>
    <mergeCell ref="Y33:AC33"/>
    <mergeCell ref="C56:G56"/>
    <mergeCell ref="N56:R56"/>
    <mergeCell ref="Y56:AC56"/>
    <mergeCell ref="A1:K1"/>
    <mergeCell ref="L1:V1"/>
    <mergeCell ref="W1:AF1"/>
    <mergeCell ref="C10:G10"/>
    <mergeCell ref="N10:R10"/>
    <mergeCell ref="Y10:AC10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146D-5AC0-4E9E-9D3A-5E7B5C68C939}">
  <dimension ref="A1:AF86"/>
  <sheetViews>
    <sheetView zoomScale="50" zoomScaleNormal="50" workbookViewId="0">
      <selection activeCell="D8" sqref="D8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8867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6640625" style="4" customWidth="1"/>
    <col min="33" max="33" width="14.109375" style="4" customWidth="1"/>
    <col min="34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5</v>
      </c>
      <c r="C3" s="1"/>
      <c r="D3" s="1">
        <v>10</v>
      </c>
      <c r="E3" s="1">
        <v>14</v>
      </c>
      <c r="F3" s="1">
        <v>14</v>
      </c>
      <c r="G3" s="1">
        <v>14</v>
      </c>
      <c r="H3" s="1">
        <v>14</v>
      </c>
      <c r="I3" s="1">
        <v>825</v>
      </c>
      <c r="J3" s="1">
        <v>125</v>
      </c>
      <c r="K3" s="1"/>
      <c r="L3" s="4">
        <v>1</v>
      </c>
      <c r="M3" s="1">
        <f>Table596183195207231264282[[#This Row],[HP]] * 1.5</f>
        <v>7.5</v>
      </c>
      <c r="N3" s="1"/>
      <c r="O3" s="1">
        <f>Table596183195207231264282[[#This Row],[DEF]] * 1.5</f>
        <v>15</v>
      </c>
      <c r="P3" s="1">
        <f>Table596183195207231264282[[#This Row],[AGI]] * 1.5</f>
        <v>21</v>
      </c>
      <c r="Q3" s="1">
        <f>Table596183195207231264282[[#This Row],[STR]] * 1.5</f>
        <v>21</v>
      </c>
      <c r="R3" s="1">
        <f>Table596183195207231264282[[#This Row],[INT]] * 1.5</f>
        <v>21</v>
      </c>
      <c r="S3" s="1">
        <f xml:space="preserve"> Table596183195207231264282[[#This Row],[DEX]] * 1.5</f>
        <v>21</v>
      </c>
      <c r="T3" s="1">
        <f>Table596183195207231264282[[#This Row],[XP Given]]*1.25</f>
        <v>1031.25</v>
      </c>
      <c r="U3" s="1">
        <f>Table596183195207231264282[[#This Row],[Gold Given]]*1.25</f>
        <v>156.25</v>
      </c>
      <c r="V3" s="1"/>
      <c r="W3" s="4">
        <v>1</v>
      </c>
      <c r="X3" s="1">
        <f>Table596183195207231264282[[#This Row],[HP]] * 2</f>
        <v>10</v>
      </c>
      <c r="Y3" s="1"/>
      <c r="Z3" s="1">
        <f>Table596183195207231264282[[#This Row],[DEF]] * 2</f>
        <v>20</v>
      </c>
      <c r="AA3" s="1">
        <f>Table596183195207231264282[[#This Row],[AGI]] * 2</f>
        <v>28</v>
      </c>
      <c r="AB3" s="1">
        <f>Table596183195207231264282[[#This Row],[STR]] * 2</f>
        <v>28</v>
      </c>
      <c r="AC3" s="1">
        <f>Table596183195207231264282[[#This Row],[INT]] * 2</f>
        <v>28</v>
      </c>
      <c r="AD3" s="1">
        <f xml:space="preserve"> Table596183195207231264282[[#This Row],[DEX]] * 2</f>
        <v>28</v>
      </c>
      <c r="AE3" s="1">
        <f>Table596183195207231264282[[#This Row],[XP Given]]*1.5</f>
        <v>1237.5</v>
      </c>
      <c r="AF3" s="1">
        <f>Table596183195207231264282[[#This Row],[Gold Given]]*1.5</f>
        <v>187.5</v>
      </c>
    </row>
    <row r="4" spans="1:32" x14ac:dyDescent="0.3">
      <c r="A4" s="4">
        <v>45</v>
      </c>
      <c r="B4" s="1">
        <f>$B$3 + ((Table596183195207231264282[[#This Row],[LV]] / 10) + $B$3 / 8) * Table596183195207231264282[[#This Row],[LV]]</f>
        <v>235.625</v>
      </c>
      <c r="C4" s="1"/>
      <c r="D4" s="1">
        <f>$D$3 + ($D$3 / 4) * Table596183195207231264282[[#This Row],[LV]]</f>
        <v>122.5</v>
      </c>
      <c r="E4" s="1">
        <f>$E$3 + ($E$3 / 4) * Table596183195207231264282[[#This Row],[LV]]</f>
        <v>171.5</v>
      </c>
      <c r="F4" s="1">
        <f>$F$3 + ($F$3 / 4) * Table596183195207231264282[[#This Row],[LV]]</f>
        <v>171.5</v>
      </c>
      <c r="G4" s="1">
        <f>$G$3 + ($G$3 / 4) * Table596183195207231264282[[#This Row],[LV]]</f>
        <v>171.5</v>
      </c>
      <c r="H4" s="1">
        <f>$H$3 + ($H$3 / 4) * Table596183195207231264282[[#This Row],[LV]]</f>
        <v>171.5</v>
      </c>
      <c r="I4" s="1">
        <f>$I$3 + $I$3 * Table596183195207231264282[[#This Row],[LV]] *25 / 100</f>
        <v>10106.25</v>
      </c>
      <c r="J4" s="1">
        <f>$J$3 + $J$3 * Table596183195207231264282[[#This Row],[LV]] * 25 / 100</f>
        <v>1531.25</v>
      </c>
      <c r="K4" s="1"/>
      <c r="L4" s="4">
        <v>45</v>
      </c>
      <c r="M4" s="1">
        <f>$M$3 + ((Table5997184196208232265283[[#This Row],[LV]] / 10) + $M$3 / 8) * Table5997184196208232265283[[#This Row],[LV]]</f>
        <v>252.1875</v>
      </c>
      <c r="N4" s="1"/>
      <c r="O4" s="1">
        <f>$O$3 + ($O$3 / 4) * Table5997184196208232265283[[#This Row],[LV]]</f>
        <v>183.75</v>
      </c>
      <c r="P4" s="1">
        <f>$P$3 + ($P$3 / 4) * Table5997184196208232265283[[#This Row],[LV]]</f>
        <v>257.25</v>
      </c>
      <c r="Q4" s="1">
        <f>$Q$3 + ($Q$3 / 4) * Table5997184196208232265283[[#This Row],[LV]]</f>
        <v>257.25</v>
      </c>
      <c r="R4" s="1">
        <f>$R$3 + ($R$3 / 4) * Table5997184196208232265283[[#This Row],[LV]]</f>
        <v>257.25</v>
      </c>
      <c r="S4" s="1">
        <f>$S$3 + ($S$3 / 4) * Table5997184196208232265283[[#This Row],[LV]]</f>
        <v>257.25</v>
      </c>
      <c r="T4" s="1">
        <f>Table596183195207231264282[[#This Row],[XP Given]]*1.25</f>
        <v>12632.8125</v>
      </c>
      <c r="U4" s="1">
        <f>Table596183195207231264282[[#This Row],[Gold Given]]*1.25</f>
        <v>1914.0625</v>
      </c>
      <c r="V4" s="1"/>
      <c r="W4" s="4">
        <v>45</v>
      </c>
      <c r="X4" s="1">
        <f>$X$3 + ((Table591098185197209233266284[[#This Row],[LV]] / 10) + $X$3 / 8) * Table591098185197209233266284[[#This Row],[LV]]</f>
        <v>268.75</v>
      </c>
      <c r="Y4" s="1"/>
      <c r="Z4" s="1">
        <f>$Z$3 + ($Z$3 / 4) * Table591098185197209233266284[[#This Row],[LV]]</f>
        <v>245</v>
      </c>
      <c r="AA4" s="1">
        <f>$AA$3 + ($AA$3 / 4) * Table591098185197209233266284[[#This Row],[LV]]</f>
        <v>343</v>
      </c>
      <c r="AB4" s="1">
        <f>$AB$3 + ($AB$3 / 4) * Table591098185197209233266284[[#This Row],[LV]]</f>
        <v>343</v>
      </c>
      <c r="AC4" s="1">
        <f>$AC$3 + ($AC$3 / 4) * Table591098185197209233266284[[#This Row],[LV]]</f>
        <v>343</v>
      </c>
      <c r="AD4" s="1">
        <f>$AD$3 + ($AD$3 / 4) * Table591098185197209233266284[[#This Row],[LV]]</f>
        <v>343</v>
      </c>
      <c r="AE4" s="1">
        <f>Table596183195207231264282[[#This Row],[XP Given]]*1.5</f>
        <v>15159.375</v>
      </c>
      <c r="AF4" s="1">
        <f>Table596183195207231264282[[#This Row],[Gold Given]]*1.5</f>
        <v>2296.875</v>
      </c>
    </row>
    <row r="5" spans="1:32" x14ac:dyDescent="0.3">
      <c r="K5" s="1"/>
      <c r="V5" s="1"/>
    </row>
    <row r="6" spans="1:32" ht="25.8" x14ac:dyDescent="0.3">
      <c r="C6" s="53" t="s">
        <v>75</v>
      </c>
      <c r="D6" s="53"/>
      <c r="E6" s="53"/>
      <c r="F6" s="53"/>
      <c r="G6" s="53"/>
      <c r="H6" s="7"/>
      <c r="K6" s="1"/>
      <c r="N6" s="53" t="s">
        <v>75</v>
      </c>
      <c r="O6" s="53"/>
      <c r="P6" s="53"/>
      <c r="Q6" s="53"/>
      <c r="R6" s="53"/>
      <c r="S6" s="7"/>
      <c r="T6" s="7"/>
      <c r="U6" s="7"/>
      <c r="V6" s="1"/>
      <c r="Y6" s="53" t="s">
        <v>75</v>
      </c>
      <c r="Z6" s="53"/>
      <c r="AA6" s="53"/>
      <c r="AB6" s="53"/>
      <c r="AC6" s="53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31</v>
      </c>
      <c r="D8" s="1">
        <f>CEILING(Demon!$B33 / IF(Demon!$D33&lt; 10.8, $F$4, $F$4 / (Demon!$D33 / 10.8)),1)</f>
        <v>6</v>
      </c>
      <c r="E8" s="1">
        <f>CEILING(Elf!$B33 / IF(Elf!$D33 &lt; 10.8, $F$4, $F$4 / (Elf!$D33 / 10.8)),1)</f>
        <v>7</v>
      </c>
      <c r="F8" s="1">
        <f>CEILING(Beastgirl!$B33/ IF(Beastgirl!$D33&lt; 10.8,$F$4, $F$4 / (Beastgirl!$D33 / 10.8)),1)</f>
        <v>11</v>
      </c>
      <c r="G8" s="1">
        <f>CEILING(Warrior!$B33/ IF(Warrior!$D33&lt; 10.8, $F$4, $F$4 / (Warrior!$D33 / 10.8)),1)</f>
        <v>8</v>
      </c>
      <c r="H8" s="1"/>
      <c r="I8" s="1"/>
      <c r="J8" s="1"/>
      <c r="K8" s="1"/>
      <c r="L8" s="1"/>
      <c r="M8" s="1"/>
      <c r="N8" s="1">
        <v>31</v>
      </c>
      <c r="O8" s="1">
        <f>CEILING(Demon!$B33 / IF(Demon!$D33&lt; 10.8, $Q$4, $Q$4 / (Demon!$D33/ 10.8)),1)</f>
        <v>4</v>
      </c>
      <c r="P8" s="1">
        <f>CEILING(Elf!$B33 / IF(Elf!$D33 &lt; 10.8, $Q$4, $Q$4 / (Elf!$D33 / 10.8)),1)</f>
        <v>5</v>
      </c>
      <c r="Q8" s="1">
        <f>CEILING(Beastgirl!$B33 / IF(Beastgirl!$D33&lt; 10.8, $Q$4, $Q$4 / (Beastgirl!$D33/ 10.8)),1)</f>
        <v>8</v>
      </c>
      <c r="R8" s="1">
        <f>CEILING(Warrior!$B33 / IF(Warrior!$D33&lt; 10.8, $Q$4, $Q$4 / (Warrior!$D33 / 10.8)),1)</f>
        <v>5</v>
      </c>
      <c r="S8" s="1"/>
      <c r="T8" s="1"/>
      <c r="U8" s="1"/>
      <c r="V8" s="1"/>
      <c r="W8" s="1"/>
      <c r="X8" s="1"/>
      <c r="Y8" s="1">
        <v>31</v>
      </c>
      <c r="Z8" s="1">
        <f>CEILING(Demon!$B33 / IF(Demon!$D33&lt; 10.8, $AB$4, $AB$4 / (Demon!$D33 / 10.8)),1)</f>
        <v>3</v>
      </c>
      <c r="AA8" s="1">
        <f>CEILING(Elf!$B33 / IF(Elf!$D33 &lt; 10.8, $AB$4, $AB$4 / (Elf!$D33 / 10.8)),1)</f>
        <v>4</v>
      </c>
      <c r="AB8" s="1">
        <f>CEILING(Beastgirl!$B33 / IF(Beastgirl!$D33&lt; 10.8, $AB$4, $AB$4 / (Beastgirl!$D33 / 10.8)),1)</f>
        <v>6</v>
      </c>
      <c r="AC8" s="1">
        <f>CEILING(Warrior!$B33 / IF(Warrior!$D33&lt; 10.8, $AB$4, $AB$4 / (Warrior!$D33 / 10.8)),1)</f>
        <v>4</v>
      </c>
      <c r="AD8" s="1"/>
      <c r="AE8" s="1"/>
    </row>
    <row r="9" spans="1:32" x14ac:dyDescent="0.3">
      <c r="A9" s="1"/>
      <c r="B9" s="1"/>
      <c r="C9" s="1">
        <v>32</v>
      </c>
      <c r="D9" s="1">
        <f>CEILING(Demon!$B34 / IF(Demon!$D34&lt; 10.8, $F$4, $F$4 / (Demon!$D34 / 10.8)),1)</f>
        <v>7</v>
      </c>
      <c r="E9" s="1">
        <f>CEILING(Elf!$B34 / IF(Elf!$D34 &lt; 10.8, $F$4, $F$4 / (Elf!$D34 / 10.8)),1)</f>
        <v>7</v>
      </c>
      <c r="F9" s="1">
        <f>CEILING(Beastgirl!$B34/ IF(Beastgirl!$D34&lt; 10.8,$F$4, $F$4 / (Beastgirl!$D34 / 10.8)),1)</f>
        <v>12</v>
      </c>
      <c r="G9" s="1">
        <f>CEILING(Warrior!$B34/ IF(Warrior!$D34&lt; 10.8, $F$4, $F$4 / (Warrior!$D34 / 10.8)),1)</f>
        <v>8</v>
      </c>
      <c r="H9" s="1"/>
      <c r="I9" s="1"/>
      <c r="J9" s="1"/>
      <c r="L9" s="1"/>
      <c r="M9" s="1"/>
      <c r="N9" s="1">
        <v>32</v>
      </c>
      <c r="O9" s="1">
        <f>CEILING(Demon!$B34 / IF(Demon!$D34&lt; 10.8, $Q$4, $Q$4 / (Demon!$D34/ 10.8)),1)</f>
        <v>5</v>
      </c>
      <c r="P9" s="1">
        <f>CEILING(Elf!$B34 / IF(Elf!$D34 &lt; 10.8, $Q$4, $Q$4 / (Elf!$D34 / 10.8)),1)</f>
        <v>5</v>
      </c>
      <c r="Q9" s="1">
        <f>CEILING(Beastgirl!$B34 / IF(Beastgirl!$D34&lt; 10.8, $Q$4, $Q$4 / (Beastgirl!$D34/ 10.8)),1)</f>
        <v>8</v>
      </c>
      <c r="R9" s="1">
        <f>CEILING(Warrior!$B34 / IF(Warrior!$D34&lt; 10.8, $Q$4, $Q$4 / (Warrior!$D34 / 10.8)),1)</f>
        <v>6</v>
      </c>
      <c r="S9" s="1"/>
      <c r="T9" s="1"/>
      <c r="U9" s="1"/>
      <c r="W9" s="1"/>
      <c r="X9" s="1"/>
      <c r="Y9" s="1">
        <v>32</v>
      </c>
      <c r="Z9" s="1">
        <f>CEILING(Demon!$B34 / IF(Demon!$D34&lt; 10.8, $AB$4, $AB$4 / (Demon!$D34 / 10.8)),1)</f>
        <v>4</v>
      </c>
      <c r="AA9" s="1">
        <f>CEILING(Elf!$B34 / IF(Elf!$D34 &lt; 10.8, $AB$4, $AB$4 / (Elf!$D34 / 10.8)),1)</f>
        <v>4</v>
      </c>
      <c r="AB9" s="1">
        <f>CEILING(Beastgirl!$B34 / IF(Beastgirl!$D34&lt; 10.8, $AB$4, $AB$4 / (Beastgirl!$D34 / 10.8)),1)</f>
        <v>6</v>
      </c>
      <c r="AC9" s="1">
        <f>CEILING(Warrior!$B34 / IF(Warrior!$D34&lt; 10.8, $AB$4, $AB$4 / (Warrior!$D34 / 10.8)),1)</f>
        <v>4</v>
      </c>
      <c r="AD9" s="1"/>
      <c r="AE9" s="1"/>
    </row>
    <row r="10" spans="1:32" ht="25.8" x14ac:dyDescent="0.3">
      <c r="A10" s="1"/>
      <c r="B10" s="1"/>
      <c r="C10" s="1">
        <v>33</v>
      </c>
      <c r="D10" s="1">
        <f>CEILING(Demon!$B35 / IF(Demon!$D35&lt; 10.8, $F$4, $F$4 / (Demon!$D35 / 10.8)),1)</f>
        <v>7</v>
      </c>
      <c r="E10" s="1">
        <f>CEILING(Elf!$B35 / IF(Elf!$D35 &lt; 10.8, $F$4, $F$4 / (Elf!$D35 / 10.8)),1)</f>
        <v>8</v>
      </c>
      <c r="F10" s="1">
        <f>CEILING(Beastgirl!$B35/ IF(Beastgirl!$D35&lt; 10.8,$F$4, $F$4 / (Beastgirl!$D35 / 10.8)),1)</f>
        <v>12</v>
      </c>
      <c r="G10" s="1">
        <f>CEILING(Warrior!$B35/ IF(Warrior!$D35&lt; 10.8, $F$4, $F$4 / (Warrior!$D35 / 10.8)),1)</f>
        <v>9</v>
      </c>
      <c r="H10" s="1"/>
      <c r="I10" s="1"/>
      <c r="J10" s="1"/>
      <c r="L10" s="1"/>
      <c r="M10" s="1"/>
      <c r="N10" s="1">
        <v>33</v>
      </c>
      <c r="O10" s="1">
        <f>CEILING(Demon!$B35 / IF(Demon!$D35&lt; 10.8, $Q$4, $Q$4 / (Demon!$D35/ 10.8)),1)</f>
        <v>5</v>
      </c>
      <c r="P10" s="1">
        <f>CEILING(Elf!$B35 / IF(Elf!$D35 &lt; 10.8, $Q$4, $Q$4 / (Elf!$D35 / 10.8)),1)</f>
        <v>5</v>
      </c>
      <c r="Q10" s="1">
        <f>CEILING(Beastgirl!$B35 / IF(Beastgirl!$D35&lt; 10.8, $Q$4, $Q$4 / (Beastgirl!$D35/ 10.8)),1)</f>
        <v>8</v>
      </c>
      <c r="R10" s="1">
        <f>CEILING(Warrior!$B35 / IF(Warrior!$D35&lt; 10.8, $Q$4, $Q$4 / (Warrior!$D35 / 10.8)),1)</f>
        <v>6</v>
      </c>
      <c r="S10" s="1"/>
      <c r="T10" s="1"/>
      <c r="U10" s="1"/>
      <c r="V10" s="7"/>
      <c r="W10" s="1"/>
      <c r="X10" s="1"/>
      <c r="Y10" s="1">
        <v>33</v>
      </c>
      <c r="Z10" s="1">
        <f>CEILING(Demon!$B35 / IF(Demon!$D35&lt; 10.8, $AB$4, $AB$4 / (Demon!$D35 / 10.8)),1)</f>
        <v>4</v>
      </c>
      <c r="AA10" s="1">
        <f>CEILING(Elf!$B35 / IF(Elf!$D35 &lt; 10.8, $AB$4, $AB$4 / (Elf!$D35 / 10.8)),1)</f>
        <v>4</v>
      </c>
      <c r="AB10" s="1">
        <f>CEILING(Beastgirl!$B35 / IF(Beastgirl!$D35&lt; 10.8, $AB$4, $AB$4 / (Beastgirl!$D35 / 10.8)),1)</f>
        <v>6</v>
      </c>
      <c r="AC10" s="1">
        <f>CEILING(Warrior!$B35 / IF(Warrior!$D35&lt; 10.8, $AB$4, $AB$4 / (Warrior!$D35 / 10.8)),1)</f>
        <v>5</v>
      </c>
      <c r="AD10" s="1"/>
      <c r="AE10" s="1"/>
    </row>
    <row r="11" spans="1:32" s="6" customFormat="1" ht="25.8" x14ac:dyDescent="0.3">
      <c r="A11" s="1"/>
      <c r="B11" s="1"/>
      <c r="C11" s="1">
        <v>34</v>
      </c>
      <c r="D11" s="1">
        <f>CEILING(Demon!$B36 / IF(Demon!$D36&lt; 10.8, $F$4, $F$4 / (Demon!$D36 / 10.8)),1)</f>
        <v>7</v>
      </c>
      <c r="E11" s="1">
        <f>CEILING(Elf!$B36 / IF(Elf!$D36 &lt; 10.8, $F$4, $F$4 / (Elf!$D36 / 10.8)),1)</f>
        <v>8</v>
      </c>
      <c r="F11" s="1">
        <f>CEILING(Beastgirl!$B36/ IF(Beastgirl!$D36&lt; 10.8,$F$4, $F$4 / (Beastgirl!$D36 / 10.8)),1)</f>
        <v>13</v>
      </c>
      <c r="G11" s="1">
        <f>CEILING(Warrior!$B36/ IF(Warrior!$D36&lt; 10.8, $F$4, $F$4 / (Warrior!$D36 / 10.8)),1)</f>
        <v>9</v>
      </c>
      <c r="H11" s="1"/>
      <c r="I11" s="1"/>
      <c r="J11" s="1"/>
      <c r="K11" s="7"/>
      <c r="L11" s="1"/>
      <c r="M11" s="1"/>
      <c r="N11" s="1">
        <v>34</v>
      </c>
      <c r="O11" s="1">
        <f>CEILING(Demon!$B36 / IF(Demon!$D36&lt; 10.8, $Q$4, $Q$4 / (Demon!$D36/ 10.8)),1)</f>
        <v>5</v>
      </c>
      <c r="P11" s="1">
        <f>CEILING(Elf!$B36 / IF(Elf!$D36 &lt; 10.8, $Q$4, $Q$4 / (Elf!$D36 / 10.8)),1)</f>
        <v>6</v>
      </c>
      <c r="Q11" s="1">
        <f>CEILING(Beastgirl!$B36 / IF(Beastgirl!$D36&lt; 10.8, $Q$4, $Q$4 / (Beastgirl!$D36/ 10.8)),1)</f>
        <v>9</v>
      </c>
      <c r="R11" s="1">
        <f>CEILING(Warrior!$B36 / IF(Warrior!$D36&lt; 10.8, $Q$4, $Q$4 / (Warrior!$D36 / 10.8)),1)</f>
        <v>6</v>
      </c>
      <c r="S11" s="1"/>
      <c r="T11" s="1"/>
      <c r="U11" s="1"/>
      <c r="V11" s="4"/>
      <c r="W11" s="1"/>
      <c r="X11" s="1"/>
      <c r="Y11" s="1">
        <v>34</v>
      </c>
      <c r="Z11" s="1">
        <f>CEILING(Demon!$B36 / IF(Demon!$D36&lt; 10.8, $AB$4, $AB$4 / (Demon!$D36 / 10.8)),1)</f>
        <v>4</v>
      </c>
      <c r="AA11" s="1">
        <f>CEILING(Elf!$B36 / IF(Elf!$D36 &lt; 10.8, $AB$4, $AB$4 / (Elf!$D36 / 10.8)),1)</f>
        <v>4</v>
      </c>
      <c r="AB11" s="1">
        <f>CEILING(Beastgirl!$B36 / IF(Beastgirl!$D36&lt; 10.8, $AB$4, $AB$4 / (Beastgirl!$D36 / 10.8)),1)</f>
        <v>7</v>
      </c>
      <c r="AC11" s="1">
        <f>CEILING(Warrior!$B36 / IF(Warrior!$D36&lt; 10.8, $AB$4, $AB$4 / (Warrior!$D36 / 10.8)),1)</f>
        <v>5</v>
      </c>
      <c r="AD11" s="1"/>
      <c r="AE11" s="1"/>
    </row>
    <row r="12" spans="1:32" s="1" customFormat="1" x14ac:dyDescent="0.3">
      <c r="C12" s="1">
        <v>35</v>
      </c>
      <c r="D12" s="1">
        <f>CEILING(Demon!$B37 / IF(Demon!$D37&lt; 10.8, $F$4, $F$4 / (Demon!$D37 / 10.8)),1)</f>
        <v>10</v>
      </c>
      <c r="E12" s="1">
        <f>CEILING(Elf!$B37 / IF(Elf!$D37 &lt; 10.8, $F$4, $F$4 / (Elf!$D37 / 10.8)),1)</f>
        <v>11</v>
      </c>
      <c r="F12" s="1">
        <f>CEILING(Beastgirl!$B37/ IF(Beastgirl!$D37&lt; 10.8,$F$4, $F$4 / (Beastgirl!$D37 / 10.8)),1)</f>
        <v>17</v>
      </c>
      <c r="G12" s="1">
        <f>CEILING(Warrior!$B37/ IF(Warrior!$D37&lt; 10.8, $F$4, $F$4 / (Warrior!$D37 / 10.8)),1)</f>
        <v>12</v>
      </c>
      <c r="N12" s="1">
        <v>35</v>
      </c>
      <c r="O12" s="1">
        <f>CEILING(Demon!$B37 / IF(Demon!$D37&lt; 10.8, $Q$4, $Q$4 / (Demon!$D37/ 10.8)),1)</f>
        <v>7</v>
      </c>
      <c r="P12" s="1">
        <f>CEILING(Elf!$B37 / IF(Elf!$D37 &lt; 10.8, $Q$4, $Q$4 / (Elf!$D37 / 10.8)),1)</f>
        <v>7</v>
      </c>
      <c r="Q12" s="1">
        <f>CEILING(Beastgirl!$B37 / IF(Beastgirl!$D37&lt; 10.8, $Q$4, $Q$4 / (Beastgirl!$D37/ 10.8)),1)</f>
        <v>12</v>
      </c>
      <c r="R12" s="1">
        <f>CEILING(Warrior!$B37 / IF(Warrior!$D37&lt; 10.8, $Q$4, $Q$4 / (Warrior!$D37 / 10.8)),1)</f>
        <v>8</v>
      </c>
      <c r="Y12" s="1">
        <v>35</v>
      </c>
      <c r="Z12" s="1">
        <f>CEILING(Demon!$B37 / IF(Demon!$D37&lt; 10.8, $AB$4, $AB$4 / (Demon!$D37 / 10.8)),1)</f>
        <v>5</v>
      </c>
      <c r="AA12" s="1">
        <f>CEILING(Elf!$B37 / IF(Elf!$D37 &lt; 10.8, $AB$4, $AB$4 / (Elf!$D37 / 10.8)),1)</f>
        <v>6</v>
      </c>
      <c r="AB12" s="1">
        <f>CEILING(Beastgirl!$B37 / IF(Beastgirl!$D37&lt; 10.8, $AB$4, $AB$4 / (Beastgirl!$D37 / 10.8)),1)</f>
        <v>9</v>
      </c>
      <c r="AC12" s="1">
        <f>CEILING(Warrior!$B37 / IF(Warrior!$D37&lt; 10.8, $AB$4, $AB$4 / (Warrior!$D37 / 10.8)),1)</f>
        <v>6</v>
      </c>
    </row>
    <row r="13" spans="1:32" s="1" customFormat="1" x14ac:dyDescent="0.3">
      <c r="C13" s="1">
        <v>36</v>
      </c>
      <c r="D13" s="1">
        <f>CEILING(Demon!$B38 / IF(Demon!$D38&lt; 10.8, $F$4, $F$4 / (Demon!$D38 / 10.8)),1)</f>
        <v>10</v>
      </c>
      <c r="E13" s="1">
        <f>CEILING(Elf!$B38 / IF(Elf!$D38 &lt; 10.8, $F$4, $F$4 / (Elf!$D38 / 10.8)),1)</f>
        <v>12</v>
      </c>
      <c r="F13" s="1">
        <f>CEILING(Beastgirl!$B38/ IF(Beastgirl!$D38&lt; 10.8,$F$4, $F$4 / (Beastgirl!$D38 / 10.8)),1)</f>
        <v>18</v>
      </c>
      <c r="G13" s="1">
        <f>CEILING(Warrior!$B38/ IF(Warrior!$D38&lt; 10.8, $F$4, $F$4 / (Warrior!$D38 / 10.8)),1)</f>
        <v>13</v>
      </c>
      <c r="N13" s="1">
        <v>36</v>
      </c>
      <c r="O13" s="1">
        <f>CEILING(Demon!$B38 / IF(Demon!$D38&lt; 10.8, $Q$4, $Q$4 / (Demon!$D38/ 10.8)),1)</f>
        <v>7</v>
      </c>
      <c r="P13" s="1">
        <f>CEILING(Elf!$B38 / IF(Elf!$D38 &lt; 10.8, $Q$4, $Q$4 / (Elf!$D38 / 10.8)),1)</f>
        <v>8</v>
      </c>
      <c r="Q13" s="1">
        <f>CEILING(Beastgirl!$B38 / IF(Beastgirl!$D38&lt; 10.8, $Q$4, $Q$4 / (Beastgirl!$D38/ 10.8)),1)</f>
        <v>12</v>
      </c>
      <c r="R13" s="1">
        <f>CEILING(Warrior!$B38 / IF(Warrior!$D38&lt; 10.8, $Q$4, $Q$4 / (Warrior!$D38 / 10.8)),1)</f>
        <v>9</v>
      </c>
      <c r="Y13" s="1">
        <v>36</v>
      </c>
      <c r="Z13" s="1">
        <f>CEILING(Demon!$B38 / IF(Demon!$D38&lt; 10.8, $AB$4, $AB$4 / (Demon!$D38 / 10.8)),1)</f>
        <v>5</v>
      </c>
      <c r="AA13" s="1">
        <f>CEILING(Elf!$B38 / IF(Elf!$D38 &lt; 10.8, $AB$4, $AB$4 / (Elf!$D38 / 10.8)),1)</f>
        <v>6</v>
      </c>
      <c r="AB13" s="1">
        <f>CEILING(Beastgirl!$B38 / IF(Beastgirl!$D38&lt; 10.8, $AB$4, $AB$4 / (Beastgirl!$D38 / 10.8)),1)</f>
        <v>9</v>
      </c>
      <c r="AC13" s="1">
        <f>CEILING(Warrior!$B38 / IF(Warrior!$D38&lt; 10.8, $AB$4, $AB$4 / (Warrior!$D38 / 10.8)),1)</f>
        <v>7</v>
      </c>
    </row>
    <row r="14" spans="1:32" s="1" customFormat="1" x14ac:dyDescent="0.3">
      <c r="C14" s="1">
        <v>37</v>
      </c>
      <c r="D14" s="1">
        <f>CEILING(Demon!$B39 / IF(Demon!$D39&lt; 10.8, $F$4, $F$4 / (Demon!$D39 / 10.8)),1)</f>
        <v>11</v>
      </c>
      <c r="E14" s="1">
        <f>CEILING(Elf!$B39 / IF(Elf!$D39 &lt; 10.8, $F$4, $F$4 / (Elf!$D39 / 10.8)),1)</f>
        <v>12</v>
      </c>
      <c r="F14" s="1">
        <f>CEILING(Beastgirl!$B39/ IF(Beastgirl!$D39&lt; 10.8,$F$4, $F$4 / (Beastgirl!$D39 / 10.8)),1)</f>
        <v>19</v>
      </c>
      <c r="G14" s="1">
        <f>CEILING(Warrior!$B39/ IF(Warrior!$D39&lt; 10.8, $F$4, $F$4 / (Warrior!$D39 / 10.8)),1)</f>
        <v>14</v>
      </c>
      <c r="N14" s="1">
        <v>37</v>
      </c>
      <c r="O14" s="1">
        <f>CEILING(Demon!$B39 / IF(Demon!$D39&lt; 10.8, $Q$4, $Q$4 / (Demon!$D39/ 10.8)),1)</f>
        <v>7</v>
      </c>
      <c r="P14" s="1">
        <f>CEILING(Elf!$B39 / IF(Elf!$D39 &lt; 10.8, $Q$4, $Q$4 / (Elf!$D39 / 10.8)),1)</f>
        <v>8</v>
      </c>
      <c r="Q14" s="1">
        <f>CEILING(Beastgirl!$B39 / IF(Beastgirl!$D39&lt; 10.8, $Q$4, $Q$4 / (Beastgirl!$D39/ 10.8)),1)</f>
        <v>13</v>
      </c>
      <c r="R14" s="1">
        <f>CEILING(Warrior!$B39 / IF(Warrior!$D39&lt; 10.8, $Q$4, $Q$4 / (Warrior!$D39 / 10.8)),1)</f>
        <v>9</v>
      </c>
      <c r="Y14" s="1">
        <v>37</v>
      </c>
      <c r="Z14" s="1">
        <f>CEILING(Demon!$B39 / IF(Demon!$D39&lt; 10.8, $AB$4, $AB$4 / (Demon!$D39 / 10.8)),1)</f>
        <v>6</v>
      </c>
      <c r="AA14" s="1">
        <f>CEILING(Elf!$B39 / IF(Elf!$D39 &lt; 10.8, $AB$4, $AB$4 / (Elf!$D39 / 10.8)),1)</f>
        <v>6</v>
      </c>
      <c r="AB14" s="1">
        <f>CEILING(Beastgirl!$B39 / IF(Beastgirl!$D39&lt; 10.8, $AB$4, $AB$4 / (Beastgirl!$D39 / 10.8)),1)</f>
        <v>10</v>
      </c>
      <c r="AC14" s="1">
        <f>CEILING(Warrior!$B39 / IF(Warrior!$D39&lt; 10.8, $AB$4, $AB$4 / (Warrior!$D39 / 10.8)),1)</f>
        <v>7</v>
      </c>
    </row>
    <row r="15" spans="1:32" s="1" customFormat="1" x14ac:dyDescent="0.3">
      <c r="C15" s="1">
        <v>38</v>
      </c>
      <c r="D15" s="1">
        <f>CEILING(Demon!$B40 / IF(Demon!$D40&lt; 10.8, $F$4, $F$4 / (Demon!$D40 / 10.8)),1)</f>
        <v>11</v>
      </c>
      <c r="E15" s="1">
        <f>CEILING(Elf!$B40 / IF(Elf!$D40 &lt; 10.8, $F$4, $F$4 / (Elf!$D40 / 10.8)),1)</f>
        <v>13</v>
      </c>
      <c r="F15" s="1">
        <f>CEILING(Beastgirl!$B40/ IF(Beastgirl!$D40&lt; 10.8,$F$4, $F$4 / (Beastgirl!$D40 / 10.8)),1)</f>
        <v>20</v>
      </c>
      <c r="G15" s="1">
        <f>CEILING(Warrior!$B40/ IF(Warrior!$D40&lt; 10.8, $F$4, $F$4 / (Warrior!$D40 / 10.8)),1)</f>
        <v>14</v>
      </c>
      <c r="N15" s="1">
        <v>38</v>
      </c>
      <c r="O15" s="1">
        <f>CEILING(Demon!$B40 / IF(Demon!$D40&lt; 10.8, $Q$4, $Q$4 / (Demon!$D40/ 10.8)),1)</f>
        <v>8</v>
      </c>
      <c r="P15" s="1">
        <f>CEILING(Elf!$B40 / IF(Elf!$D40 &lt; 10.8, $Q$4, $Q$4 / (Elf!$D40 / 10.8)),1)</f>
        <v>9</v>
      </c>
      <c r="Q15" s="1">
        <f>CEILING(Beastgirl!$B40 / IF(Beastgirl!$D40&lt; 10.8, $Q$4, $Q$4 / (Beastgirl!$D40/ 10.8)),1)</f>
        <v>13</v>
      </c>
      <c r="R15" s="1">
        <f>CEILING(Warrior!$B40 / IF(Warrior!$D40&lt; 10.8, $Q$4, $Q$4 / (Warrior!$D40 / 10.8)),1)</f>
        <v>10</v>
      </c>
      <c r="Y15" s="1">
        <v>38</v>
      </c>
      <c r="Z15" s="1">
        <f>CEILING(Demon!$B40 / IF(Demon!$D40&lt; 10.8, $AB$4, $AB$4 / (Demon!$D40 / 10.8)),1)</f>
        <v>6</v>
      </c>
      <c r="AA15" s="1">
        <f>CEILING(Elf!$B40 / IF(Elf!$D40 &lt; 10.8, $AB$4, $AB$4 / (Elf!$D40 / 10.8)),1)</f>
        <v>7</v>
      </c>
      <c r="AB15" s="1">
        <f>CEILING(Beastgirl!$B40 / IF(Beastgirl!$D40&lt; 10.8, $AB$4, $AB$4 / (Beastgirl!$D40 / 10.8)),1)</f>
        <v>10</v>
      </c>
      <c r="AC15" s="1">
        <f>CEILING(Warrior!$B40 / IF(Warrior!$D40&lt; 10.8, $AB$4, $AB$4 / (Warrior!$D40 / 10.8)),1)</f>
        <v>7</v>
      </c>
    </row>
    <row r="16" spans="1:32" s="1" customFormat="1" x14ac:dyDescent="0.3">
      <c r="C16" s="1">
        <v>39</v>
      </c>
      <c r="D16" s="1">
        <f>CEILING(Demon!$B41 / IF(Demon!$D41&lt; 10.8, $F$4, $F$4 / (Demon!$D41 / 10.8)),1)</f>
        <v>12</v>
      </c>
      <c r="E16" s="1">
        <f>CEILING(Elf!$B41 / IF(Elf!$D41 &lt; 10.8, $F$4, $F$4 / (Elf!$D41 / 10.8)),1)</f>
        <v>13</v>
      </c>
      <c r="F16" s="1">
        <f>CEILING(Beastgirl!$B41/ IF(Beastgirl!$D41&lt; 10.8,$F$4, $F$4 / (Beastgirl!$D41 / 10.8)),1)</f>
        <v>21</v>
      </c>
      <c r="G16" s="1">
        <f>CEILING(Warrior!$B41/ IF(Warrior!$D41&lt; 10.8, $F$4, $F$4 / (Warrior!$D41 / 10.8)),1)</f>
        <v>15</v>
      </c>
      <c r="N16" s="1">
        <v>39</v>
      </c>
      <c r="O16" s="1">
        <f>CEILING(Demon!$B41 / IF(Demon!$D41&lt; 10.8, $Q$4, $Q$4 / (Demon!$D41/ 10.8)),1)</f>
        <v>8</v>
      </c>
      <c r="P16" s="1">
        <f>CEILING(Elf!$B41 / IF(Elf!$D41 &lt; 10.8, $Q$4, $Q$4 / (Elf!$D41 / 10.8)),1)</f>
        <v>9</v>
      </c>
      <c r="Q16" s="1">
        <f>CEILING(Beastgirl!$B41 / IF(Beastgirl!$D41&lt; 10.8, $Q$4, $Q$4 / (Beastgirl!$D41/ 10.8)),1)</f>
        <v>14</v>
      </c>
      <c r="R16" s="1">
        <f>CEILING(Warrior!$B41 / IF(Warrior!$D41&lt; 10.8, $Q$4, $Q$4 / (Warrior!$D41 / 10.8)),1)</f>
        <v>10</v>
      </c>
      <c r="Y16" s="1">
        <v>39</v>
      </c>
      <c r="Z16" s="1">
        <f>CEILING(Demon!$B41 / IF(Demon!$D41&lt; 10.8, $AB$4, $AB$4 / (Demon!$D41 / 10.8)),1)</f>
        <v>6</v>
      </c>
      <c r="AA16" s="1">
        <f>CEILING(Elf!$B41 / IF(Elf!$D41 &lt; 10.8, $AB$4, $AB$4 / (Elf!$D41 / 10.8)),1)</f>
        <v>7</v>
      </c>
      <c r="AB16" s="1">
        <f>CEILING(Beastgirl!$B41 / IF(Beastgirl!$D41&lt; 10.8, $AB$4, $AB$4 / (Beastgirl!$D41 / 10.8)),1)</f>
        <v>11</v>
      </c>
      <c r="AC16" s="1">
        <f>CEILING(Warrior!$B41 / IF(Warrior!$D41&lt; 10.8, $AB$4, $AB$4 / (Warrior!$D41 / 10.8)),1)</f>
        <v>8</v>
      </c>
    </row>
    <row r="17" spans="3:31" s="1" customFormat="1" x14ac:dyDescent="0.3">
      <c r="C17" s="1">
        <v>40</v>
      </c>
      <c r="D17" s="1">
        <f>CEILING(Demon!$B42 / IF(Demon!$D42&lt; 10.8, $F$4, $F$4 / (Demon!$D42 / 10.8)),1)</f>
        <v>12</v>
      </c>
      <c r="E17" s="1">
        <f>CEILING(Elf!$B42 / IF(Elf!$D42 &lt; 10.8, $F$4, $F$4 / (Elf!$D42 / 10.8)),1)</f>
        <v>14</v>
      </c>
      <c r="F17" s="1">
        <f>CEILING(Beastgirl!$B42/ IF(Beastgirl!$D42&lt; 10.8,$F$4, $F$4 / (Beastgirl!$D42 / 10.8)),1)</f>
        <v>22</v>
      </c>
      <c r="G17" s="1">
        <f>CEILING(Warrior!$B42/ IF(Warrior!$D42&lt; 10.8, $F$4, $F$4 / (Warrior!$D42 / 10.8)),1)</f>
        <v>16</v>
      </c>
      <c r="N17" s="1">
        <v>40</v>
      </c>
      <c r="O17" s="1">
        <f>CEILING(Demon!$B42 / IF(Demon!$D42&lt; 10.8, $Q$4, $Q$4 / (Demon!$D42/ 10.8)),1)</f>
        <v>8</v>
      </c>
      <c r="P17" s="1">
        <f>CEILING(Elf!$B42 / IF(Elf!$D42 &lt; 10.8, $Q$4, $Q$4 / (Elf!$D42 / 10.8)),1)</f>
        <v>10</v>
      </c>
      <c r="Q17" s="1">
        <f>CEILING(Beastgirl!$B42 / IF(Beastgirl!$D42&lt; 10.8, $Q$4, $Q$4 / (Beastgirl!$D42/ 10.8)),1)</f>
        <v>15</v>
      </c>
      <c r="R17" s="1">
        <f>CEILING(Warrior!$B42 / IF(Warrior!$D42&lt; 10.8, $Q$4, $Q$4 / (Warrior!$D42 / 10.8)),1)</f>
        <v>11</v>
      </c>
      <c r="Y17" s="1">
        <v>40</v>
      </c>
      <c r="Z17" s="1">
        <f>CEILING(Demon!$B42 / IF(Demon!$D42&lt; 10.8, $AB$4, $AB$4 / (Demon!$D42 / 10.8)),1)</f>
        <v>6</v>
      </c>
      <c r="AA17" s="1">
        <f>CEILING(Elf!$B42 / IF(Elf!$D42 &lt; 10.8, $AB$4, $AB$4 / (Elf!$D42 / 10.8)),1)</f>
        <v>7</v>
      </c>
      <c r="AB17" s="1">
        <f>CEILING(Beastgirl!$B42 / IF(Beastgirl!$D42&lt; 10.8, $AB$4, $AB$4 / (Beastgirl!$D42 / 10.8)),1)</f>
        <v>11</v>
      </c>
      <c r="AC17" s="1">
        <f>CEILING(Warrior!$B42 / IF(Warrior!$D42&lt; 10.8, $AB$4, $AB$4 / (Warrior!$D42 / 10.8)),1)</f>
        <v>8</v>
      </c>
    </row>
    <row r="18" spans="3:31" s="1" customFormat="1" x14ac:dyDescent="0.3">
      <c r="C18" s="1">
        <v>41</v>
      </c>
      <c r="D18" s="1">
        <f>CEILING(Demon!$B43 / IF(Demon!$D43&lt; 10.8, $F$4, $F$4 / (Demon!$D43 / 10.8)),1)</f>
        <v>13</v>
      </c>
      <c r="E18" s="1">
        <f>CEILING(Elf!$B43 / IF(Elf!$D43 &lt; 10.8, $F$4, $F$4 / (Elf!$D43 / 10.8)),1)</f>
        <v>15</v>
      </c>
      <c r="F18" s="1">
        <f>CEILING(Beastgirl!$B43/ IF(Beastgirl!$D43&lt; 10.8,$F$4, $F$4 / (Beastgirl!$D43 / 10.8)),1)</f>
        <v>23</v>
      </c>
      <c r="G18" s="1">
        <f>CEILING(Warrior!$B43/ IF(Warrior!$D43&lt; 10.8, $F$4, $F$4 / (Warrior!$D43 / 10.8)),1)</f>
        <v>16</v>
      </c>
      <c r="N18" s="1">
        <v>41</v>
      </c>
      <c r="O18" s="1">
        <f>CEILING(Demon!$B43 / IF(Demon!$D43&lt; 10.8, $Q$4, $Q$4 / (Demon!$D43/ 10.8)),1)</f>
        <v>9</v>
      </c>
      <c r="P18" s="1">
        <f>CEILING(Elf!$B43 / IF(Elf!$D43 &lt; 10.8, $Q$4, $Q$4 / (Elf!$D43 / 10.8)),1)</f>
        <v>10</v>
      </c>
      <c r="Q18" s="1">
        <f>CEILING(Beastgirl!$B43 / IF(Beastgirl!$D43&lt; 10.8, $Q$4, $Q$4 / (Beastgirl!$D43/ 10.8)),1)</f>
        <v>15</v>
      </c>
      <c r="R18" s="1">
        <f>CEILING(Warrior!$B43 / IF(Warrior!$D43&lt; 10.8, $Q$4, $Q$4 / (Warrior!$D43 / 10.8)),1)</f>
        <v>11</v>
      </c>
      <c r="Y18" s="1">
        <v>41</v>
      </c>
      <c r="Z18" s="1">
        <f>CEILING(Demon!$B43 / IF(Demon!$D43&lt; 10.8, $AB$4, $AB$4 / (Demon!$D43 / 10.8)),1)</f>
        <v>7</v>
      </c>
      <c r="AA18" s="1">
        <f>CEILING(Elf!$B43 / IF(Elf!$D43 &lt; 10.8, $AB$4, $AB$4 / (Elf!$D43 / 10.8)),1)</f>
        <v>8</v>
      </c>
      <c r="AB18" s="1">
        <f>CEILING(Beastgirl!$B43 / IF(Beastgirl!$D43&lt; 10.8, $AB$4, $AB$4 / (Beastgirl!$D43 / 10.8)),1)</f>
        <v>12</v>
      </c>
      <c r="AC18" s="1">
        <f>CEILING(Warrior!$B43 / IF(Warrior!$D43&lt; 10.8, $AB$4, $AB$4 / (Warrior!$D43 / 10.8)),1)</f>
        <v>8</v>
      </c>
    </row>
    <row r="19" spans="3:31" s="1" customFormat="1" x14ac:dyDescent="0.3">
      <c r="C19" s="1">
        <v>42</v>
      </c>
      <c r="D19" s="1">
        <f>CEILING(Demon!$B44 / IF(Demon!$D44&lt; 10.8, $F$4, $F$4 / (Demon!$D44 / 10.8)),1)</f>
        <v>14</v>
      </c>
      <c r="E19" s="1">
        <f>CEILING(Elf!$B44 / IF(Elf!$D44 &lt; 10.8, $F$4, $F$4 / (Elf!$D44 / 10.8)),1)</f>
        <v>15</v>
      </c>
      <c r="F19" s="1">
        <f>CEILING(Beastgirl!$B44/ IF(Beastgirl!$D44&lt; 10.8,$F$4, $F$4 / (Beastgirl!$D44 / 10.8)),1)</f>
        <v>24</v>
      </c>
      <c r="G19" s="1">
        <f>CEILING(Warrior!$B44/ IF(Warrior!$D44&lt; 10.8, $F$4, $F$4 / (Warrior!$D44 / 10.8)),1)</f>
        <v>17</v>
      </c>
      <c r="N19" s="1">
        <v>42</v>
      </c>
      <c r="O19" s="1">
        <f>CEILING(Demon!$B44 / IF(Demon!$D44&lt; 10.8, $Q$4, $Q$4 / (Demon!$D44/ 10.8)),1)</f>
        <v>9</v>
      </c>
      <c r="P19" s="1">
        <f>CEILING(Elf!$B44 / IF(Elf!$D44 &lt; 10.8, $Q$4, $Q$4 / (Elf!$D44 / 10.8)),1)</f>
        <v>10</v>
      </c>
      <c r="Q19" s="1">
        <f>CEILING(Beastgirl!$B44 / IF(Beastgirl!$D44&lt; 10.8, $Q$4, $Q$4 / (Beastgirl!$D44/ 10.8)),1)</f>
        <v>16</v>
      </c>
      <c r="R19" s="1">
        <f>CEILING(Warrior!$B44 / IF(Warrior!$D44&lt; 10.8, $Q$4, $Q$4 / (Warrior!$D44 / 10.8)),1)</f>
        <v>12</v>
      </c>
      <c r="Y19" s="1">
        <v>42</v>
      </c>
      <c r="Z19" s="1">
        <f>CEILING(Demon!$B44 / IF(Demon!$D44&lt; 10.8, $AB$4, $AB$4 / (Demon!$D44 / 10.8)),1)</f>
        <v>7</v>
      </c>
      <c r="AA19" s="1">
        <f>CEILING(Elf!$B44 / IF(Elf!$D44 &lt; 10.8, $AB$4, $AB$4 / (Elf!$D44 / 10.8)),1)</f>
        <v>8</v>
      </c>
      <c r="AB19" s="1">
        <f>CEILING(Beastgirl!$B44 / IF(Beastgirl!$D44&lt; 10.8, $AB$4, $AB$4 / (Beastgirl!$D44 / 10.8)),1)</f>
        <v>12</v>
      </c>
      <c r="AC19" s="1">
        <f>CEILING(Warrior!$B44 / IF(Warrior!$D44&lt; 10.8, $AB$4, $AB$4 / (Warrior!$D44 / 10.8)),1)</f>
        <v>9</v>
      </c>
    </row>
    <row r="20" spans="3:31" s="1" customFormat="1" x14ac:dyDescent="0.3">
      <c r="C20" s="1">
        <v>43</v>
      </c>
      <c r="D20" s="1">
        <f>CEILING(Demon!$B45 / IF(Demon!$D45&lt; 10.8, $F$4, $F$4 / (Demon!$D45 / 10.8)),1)</f>
        <v>14</v>
      </c>
      <c r="E20" s="1">
        <f>CEILING(Elf!$B45 / IF(Elf!$D45 &lt; 10.8, $F$4, $F$4 / (Elf!$D45 / 10.8)),1)</f>
        <v>16</v>
      </c>
      <c r="F20" s="1">
        <f>CEILING(Beastgirl!$B45/ IF(Beastgirl!$D45&lt; 10.8,$F$4, $F$4 / (Beastgirl!$D45 / 10.8)),1)</f>
        <v>25</v>
      </c>
      <c r="G20" s="1">
        <f>CEILING(Warrior!$B45/ IF(Warrior!$D45&lt; 10.8, $F$4, $F$4 / (Warrior!$D45 / 10.8)),1)</f>
        <v>18</v>
      </c>
      <c r="N20" s="1">
        <v>43</v>
      </c>
      <c r="O20" s="1">
        <f>CEILING(Demon!$B45 / IF(Demon!$D45&lt; 10.8, $Q$4, $Q$4 / (Demon!$D45/ 10.8)),1)</f>
        <v>10</v>
      </c>
      <c r="P20" s="1">
        <f>CEILING(Elf!$B45 / IF(Elf!$D45 &lt; 10.8, $Q$4, $Q$4 / (Elf!$D45 / 10.8)),1)</f>
        <v>11</v>
      </c>
      <c r="Q20" s="1">
        <f>CEILING(Beastgirl!$B45 / IF(Beastgirl!$D45&lt; 10.8, $Q$4, $Q$4 / (Beastgirl!$D45/ 10.8)),1)</f>
        <v>17</v>
      </c>
      <c r="R20" s="1">
        <f>CEILING(Warrior!$B45 / IF(Warrior!$D45&lt; 10.8, $Q$4, $Q$4 / (Warrior!$D45 / 10.8)),1)</f>
        <v>12</v>
      </c>
      <c r="Y20" s="1">
        <v>43</v>
      </c>
      <c r="Z20" s="1">
        <f>CEILING(Demon!$B45 / IF(Demon!$D45&lt; 10.8, $AB$4, $AB$4 / (Demon!$D45 / 10.8)),1)</f>
        <v>7</v>
      </c>
      <c r="AA20" s="1">
        <f>CEILING(Elf!$B45 / IF(Elf!$D45 &lt; 10.8, $AB$4, $AB$4 / (Elf!$D45 / 10.8)),1)</f>
        <v>8</v>
      </c>
      <c r="AB20" s="1">
        <f>CEILING(Beastgirl!$B45 / IF(Beastgirl!$D45&lt; 10.8, $AB$4, $AB$4 / (Beastgirl!$D45 / 10.8)),1)</f>
        <v>13</v>
      </c>
      <c r="AC20" s="1">
        <f>CEILING(Warrior!$B45 / IF(Warrior!$D45&lt; 10.8, $AB$4, $AB$4 / (Warrior!$D45 / 10.8)),1)</f>
        <v>9</v>
      </c>
    </row>
    <row r="21" spans="3:31" s="1" customFormat="1" x14ac:dyDescent="0.3">
      <c r="C21" s="1">
        <v>44</v>
      </c>
      <c r="D21" s="1">
        <f>CEILING(Demon!$B46 / IF(Demon!$D46&lt; 10.8, $F$4, $F$4 / (Demon!$D46 / 10.8)),1)</f>
        <v>15</v>
      </c>
      <c r="E21" s="1">
        <f>CEILING(Elf!$B46 / IF(Elf!$D46 &lt; 10.8, $F$4, $F$4 / (Elf!$D46 / 10.8)),1)</f>
        <v>17</v>
      </c>
      <c r="F21" s="1">
        <f>CEILING(Beastgirl!$B46/ IF(Beastgirl!$D46&lt; 10.8,$F$4, $F$4 / (Beastgirl!$D46 / 10.8)),1)</f>
        <v>26</v>
      </c>
      <c r="G21" s="1">
        <f>CEILING(Warrior!$B46/ IF(Warrior!$D46&lt; 10.8, $F$4, $F$4 / (Warrior!$D46 / 10.8)),1)</f>
        <v>19</v>
      </c>
      <c r="N21" s="1">
        <v>44</v>
      </c>
      <c r="O21" s="1">
        <f>CEILING(Demon!$B46 / IF(Demon!$D46&lt; 10.8, $Q$4, $Q$4 / (Demon!$D46/ 10.8)),1)</f>
        <v>10</v>
      </c>
      <c r="P21" s="1">
        <f>CEILING(Elf!$B46 / IF(Elf!$D46 &lt; 10.8, $Q$4, $Q$4 / (Elf!$D46 / 10.8)),1)</f>
        <v>11</v>
      </c>
      <c r="Q21" s="1">
        <f>CEILING(Beastgirl!$B46 / IF(Beastgirl!$D46&lt; 10.8, $Q$4, $Q$4 / (Beastgirl!$D46/ 10.8)),1)</f>
        <v>17</v>
      </c>
      <c r="R21" s="1">
        <f>CEILING(Warrior!$B46 / IF(Warrior!$D46&lt; 10.8, $Q$4, $Q$4 / (Warrior!$D46 / 10.8)),1)</f>
        <v>13</v>
      </c>
      <c r="Y21" s="1">
        <v>44</v>
      </c>
      <c r="Z21" s="1">
        <f>CEILING(Demon!$B46 / IF(Demon!$D46&lt; 10.8, $AB$4, $AB$4 / (Demon!$D46 / 10.8)),1)</f>
        <v>8</v>
      </c>
      <c r="AA21" s="1">
        <f>CEILING(Elf!$B46 / IF(Elf!$D46 &lt; 10.8, $AB$4, $AB$4 / (Elf!$D46 / 10.8)),1)</f>
        <v>9</v>
      </c>
      <c r="AB21" s="1">
        <f>CEILING(Beastgirl!$B46 / IF(Beastgirl!$D46&lt; 10.8, $AB$4, $AB$4 / (Beastgirl!$D46 / 10.8)),1)</f>
        <v>13</v>
      </c>
      <c r="AC21" s="1">
        <f>CEILING(Warrior!$B46 / IF(Warrior!$D46&lt; 10.8, $AB$4, $AB$4 / (Warrior!$D46 / 10.8)),1)</f>
        <v>10</v>
      </c>
    </row>
    <row r="22" spans="3:31" s="1" customFormat="1" x14ac:dyDescent="0.3">
      <c r="C22" s="1">
        <v>45</v>
      </c>
      <c r="D22" s="1">
        <f>CEILING(Demon!$B47 / IF(Demon!$D47&lt; 10.8, $F$4, $F$4 / (Demon!$D47 / 10.8)),1)</f>
        <v>19</v>
      </c>
      <c r="E22" s="1">
        <f>CEILING(Elf!$B47 / IF(Elf!$D47 &lt; 10.8, $F$4, $F$4 / (Elf!$D47 / 10.8)),1)</f>
        <v>21</v>
      </c>
      <c r="F22" s="1">
        <f>CEILING(Beastgirl!$B47/ IF(Beastgirl!$D47&lt; 10.8,$F$4, $F$4 / (Beastgirl!$D47 / 10.8)),1)</f>
        <v>32</v>
      </c>
      <c r="G22" s="1">
        <f>CEILING(Warrior!$B47/ IF(Warrior!$D47&lt; 10.8, $F$4, $F$4 / (Warrior!$D47 / 10.8)),1)</f>
        <v>23</v>
      </c>
      <c r="N22" s="1">
        <v>45</v>
      </c>
      <c r="O22" s="1">
        <f>CEILING(Demon!$B47 / IF(Demon!$D47&lt; 10.8, $Q$4, $Q$4 / (Demon!$D47/ 10.8)),1)</f>
        <v>13</v>
      </c>
      <c r="P22" s="1">
        <f>CEILING(Elf!$B47 / IF(Elf!$D47 &lt; 10.8, $Q$4, $Q$4 / (Elf!$D47 / 10.8)),1)</f>
        <v>14</v>
      </c>
      <c r="Q22" s="1">
        <f>CEILING(Beastgirl!$B47 / IF(Beastgirl!$D47&lt; 10.8, $Q$4, $Q$4 / (Beastgirl!$D47/ 10.8)),1)</f>
        <v>22</v>
      </c>
      <c r="R22" s="1">
        <f>CEILING(Warrior!$B47 / IF(Warrior!$D47&lt; 10.8, $Q$4, $Q$4 / (Warrior!$D47 / 10.8)),1)</f>
        <v>16</v>
      </c>
      <c r="Y22" s="1">
        <v>45</v>
      </c>
      <c r="Z22" s="1">
        <f>CEILING(Demon!$B47 / IF(Demon!$D47&lt; 10.8, $AB$4, $AB$4 / (Demon!$D47 / 10.8)),1)</f>
        <v>10</v>
      </c>
      <c r="AA22" s="1">
        <f>CEILING(Elf!$B47 / IF(Elf!$D47 &lt; 10.8, $AB$4, $AB$4 / (Elf!$D47 / 10.8)),1)</f>
        <v>11</v>
      </c>
      <c r="AB22" s="1">
        <f>CEILING(Beastgirl!$B47 / IF(Beastgirl!$D47&lt; 10.8, $AB$4, $AB$4 / (Beastgirl!$D47 / 10.8)),1)</f>
        <v>16</v>
      </c>
      <c r="AC22" s="1">
        <f>CEILING(Warrior!$B47 / IF(Warrior!$D47&lt; 10.8, $AB$4, $AB$4 / (Warrior!$D47 / 10.8)),1)</f>
        <v>12</v>
      </c>
    </row>
    <row r="23" spans="3:31" s="1" customFormat="1" x14ac:dyDescent="0.3">
      <c r="C23" s="1">
        <v>46</v>
      </c>
      <c r="D23" s="1">
        <f>CEILING(Demon!$B48 / IF(Demon!$D48&lt; 10.8, $F$4, $F$4 / (Demon!$D48 / 10.8)),1)</f>
        <v>20</v>
      </c>
      <c r="E23" s="1">
        <f>CEILING(Elf!$B48 / IF(Elf!$D48 &lt; 10.8, $F$4, $F$4 / (Elf!$D48 / 10.8)),1)</f>
        <v>22</v>
      </c>
      <c r="F23" s="1">
        <f>CEILING(Beastgirl!$B48/ IF(Beastgirl!$D48&lt; 10.8,$F$4, $F$4 / (Beastgirl!$D48 / 10.8)),1)</f>
        <v>34</v>
      </c>
      <c r="G23" s="1">
        <f>CEILING(Warrior!$B48/ IF(Warrior!$D48&lt; 10.8, $F$4, $F$4 / (Warrior!$D48 / 10.8)),1)</f>
        <v>24</v>
      </c>
      <c r="N23" s="1">
        <v>46</v>
      </c>
      <c r="O23" s="1">
        <f>CEILING(Demon!$B48 / IF(Demon!$D48&lt; 10.8, $Q$4, $Q$4 / (Demon!$D48/ 10.8)),1)</f>
        <v>13</v>
      </c>
      <c r="P23" s="1">
        <f>CEILING(Elf!$B48 / IF(Elf!$D48 &lt; 10.8, $Q$4, $Q$4 / (Elf!$D48 / 10.8)),1)</f>
        <v>15</v>
      </c>
      <c r="Q23" s="1">
        <f>CEILING(Beastgirl!$B48 / IF(Beastgirl!$D48&lt; 10.8, $Q$4, $Q$4 / (Beastgirl!$D48/ 10.8)),1)</f>
        <v>23</v>
      </c>
      <c r="R23" s="1">
        <f>CEILING(Warrior!$B48 / IF(Warrior!$D48&lt; 10.8, $Q$4, $Q$4 / (Warrior!$D48 / 10.8)),1)</f>
        <v>16</v>
      </c>
      <c r="Y23" s="1">
        <v>46</v>
      </c>
      <c r="Z23" s="1">
        <f>CEILING(Demon!$B48 / IF(Demon!$D48&lt; 10.8, $AB$4, $AB$4 / (Demon!$D48 / 10.8)),1)</f>
        <v>10</v>
      </c>
      <c r="AA23" s="1">
        <f>CEILING(Elf!$B48 / IF(Elf!$D48 &lt; 10.8, $AB$4, $AB$4 / (Elf!$D48 / 10.8)),1)</f>
        <v>11</v>
      </c>
      <c r="AB23" s="1">
        <f>CEILING(Beastgirl!$B48 / IF(Beastgirl!$D48&lt; 10.8, $AB$4, $AB$4 / (Beastgirl!$D48 / 10.8)),1)</f>
        <v>17</v>
      </c>
      <c r="AC23" s="1">
        <f>CEILING(Warrior!$B48 / IF(Warrior!$D48&lt; 10.8, $AB$4, $AB$4 / (Warrior!$D48 / 10.8)),1)</f>
        <v>12</v>
      </c>
    </row>
    <row r="24" spans="3:31" s="1" customFormat="1" x14ac:dyDescent="0.3">
      <c r="C24" s="1">
        <v>47</v>
      </c>
      <c r="D24" s="1">
        <f>CEILING(Demon!$B49 / IF(Demon!$D49&lt; 10.8, $F$4, $F$4 / (Demon!$D49 / 10.8)),1)</f>
        <v>20</v>
      </c>
      <c r="E24" s="1">
        <f>CEILING(Elf!$B49 / IF(Elf!$D49 &lt; 10.8, $F$4, $F$4 / (Elf!$D49 / 10.8)),1)</f>
        <v>23</v>
      </c>
      <c r="F24" s="1">
        <f>CEILING(Beastgirl!$B49/ IF(Beastgirl!$D49&lt; 10.8,$F$4, $F$4 / (Beastgirl!$D49 / 10.8)),1)</f>
        <v>35</v>
      </c>
      <c r="G24" s="1">
        <f>CEILING(Warrior!$B49/ IF(Warrior!$D49&lt; 10.8, $F$4, $F$4 / (Warrior!$D49 / 10.8)),1)</f>
        <v>25</v>
      </c>
      <c r="N24" s="1">
        <v>47</v>
      </c>
      <c r="O24" s="1">
        <f>CEILING(Demon!$B49 / IF(Demon!$D49&lt; 10.8, $Q$4, $Q$4 / (Demon!$D49/ 10.8)),1)</f>
        <v>14</v>
      </c>
      <c r="P24" s="1">
        <f>CEILING(Elf!$B49 / IF(Elf!$D49 &lt; 10.8, $Q$4, $Q$4 / (Elf!$D49 / 10.8)),1)</f>
        <v>15</v>
      </c>
      <c r="Q24" s="1">
        <f>CEILING(Beastgirl!$B49 / IF(Beastgirl!$D49&lt; 10.8, $Q$4, $Q$4 / (Beastgirl!$D49/ 10.8)),1)</f>
        <v>24</v>
      </c>
      <c r="R24" s="1">
        <f>CEILING(Warrior!$B49 / IF(Warrior!$D49&lt; 10.8, $Q$4, $Q$4 / (Warrior!$D49 / 10.8)),1)</f>
        <v>17</v>
      </c>
      <c r="Y24" s="1">
        <v>47</v>
      </c>
      <c r="Z24" s="1">
        <f>CEILING(Demon!$B49 / IF(Demon!$D49&lt; 10.8, $AB$4, $AB$4 / (Demon!$D49 / 10.8)),1)</f>
        <v>10</v>
      </c>
      <c r="AA24" s="1">
        <f>CEILING(Elf!$B49 / IF(Elf!$D49 &lt; 10.8, $AB$4, $AB$4 / (Elf!$D49 / 10.8)),1)</f>
        <v>12</v>
      </c>
      <c r="AB24" s="1">
        <f>CEILING(Beastgirl!$B49 / IF(Beastgirl!$D49&lt; 10.8, $AB$4, $AB$4 / (Beastgirl!$D49 / 10.8)),1)</f>
        <v>18</v>
      </c>
      <c r="AC24" s="1">
        <f>CEILING(Warrior!$B49 / IF(Warrior!$D49&lt; 10.8, $AB$4, $AB$4 / (Warrior!$D49 / 10.8)),1)</f>
        <v>13</v>
      </c>
    </row>
    <row r="25" spans="3:31" s="1" customFormat="1" x14ac:dyDescent="0.3">
      <c r="C25" s="1">
        <v>48</v>
      </c>
      <c r="D25" s="1">
        <f>CEILING(Demon!$B50 / IF(Demon!$D50&lt; 10.8, $F$4, $F$4 / (Demon!$D50 / 10.8)),1)</f>
        <v>21</v>
      </c>
      <c r="E25" s="1">
        <f>CEILING(Elf!$B50 / IF(Elf!$D50 &lt; 10.8, $F$4, $F$4 / (Elf!$D50 / 10.8)),1)</f>
        <v>24</v>
      </c>
      <c r="F25" s="1">
        <f>CEILING(Beastgirl!$B50/ IF(Beastgirl!$D50&lt; 10.8,$F$4, $F$4 / (Beastgirl!$D50 / 10.8)),1)</f>
        <v>36</v>
      </c>
      <c r="G25" s="1">
        <f>CEILING(Warrior!$B50/ IF(Warrior!$D50&lt; 10.8, $F$4, $F$4 / (Warrior!$D50 / 10.8)),1)</f>
        <v>26</v>
      </c>
      <c r="N25" s="1">
        <v>48</v>
      </c>
      <c r="O25" s="1">
        <f>CEILING(Demon!$B50 / IF(Demon!$D50&lt; 10.8, $Q$4, $Q$4 / (Demon!$D50/ 10.8)),1)</f>
        <v>14</v>
      </c>
      <c r="P25" s="1">
        <f>CEILING(Elf!$B50 / IF(Elf!$D50 &lt; 10.8, $Q$4, $Q$4 / (Elf!$D50 / 10.8)),1)</f>
        <v>16</v>
      </c>
      <c r="Q25" s="1">
        <f>CEILING(Beastgirl!$B50 / IF(Beastgirl!$D50&lt; 10.8, $Q$4, $Q$4 / (Beastgirl!$D50/ 10.8)),1)</f>
        <v>24</v>
      </c>
      <c r="R25" s="1">
        <f>CEILING(Warrior!$B50 / IF(Warrior!$D50&lt; 10.8, $Q$4, $Q$4 / (Warrior!$D50 / 10.8)),1)</f>
        <v>18</v>
      </c>
      <c r="Y25" s="1">
        <v>48</v>
      </c>
      <c r="Z25" s="1">
        <f>CEILING(Demon!$B50 / IF(Demon!$D50&lt; 10.8, $AB$4, $AB$4 / (Demon!$D50 / 10.8)),1)</f>
        <v>11</v>
      </c>
      <c r="AA25" s="1">
        <f>CEILING(Elf!$B50 / IF(Elf!$D50 &lt; 10.8, $AB$4, $AB$4 / (Elf!$D50 / 10.8)),1)</f>
        <v>12</v>
      </c>
      <c r="AB25" s="1">
        <f>CEILING(Beastgirl!$B50 / IF(Beastgirl!$D50&lt; 10.8, $AB$4, $AB$4 / (Beastgirl!$D50 / 10.8)),1)</f>
        <v>18</v>
      </c>
      <c r="AC25" s="1">
        <f>CEILING(Warrior!$B50 / IF(Warrior!$D50&lt; 10.8, $AB$4, $AB$4 / (Warrior!$D50 / 10.8)),1)</f>
        <v>13</v>
      </c>
    </row>
    <row r="26" spans="3:31" s="1" customFormat="1" x14ac:dyDescent="0.3">
      <c r="C26" s="1">
        <v>49</v>
      </c>
      <c r="D26" s="1">
        <f>CEILING(Demon!$B51 / IF(Demon!$D51&lt; 10.8, $F$4, $F$4 / (Demon!$D51 / 10.8)),1)</f>
        <v>22</v>
      </c>
      <c r="E26" s="1">
        <f>CEILING(Elf!$B51 / IF(Elf!$D51 &lt; 10.8, $F$4, $F$4 / (Elf!$D51 / 10.8)),1)</f>
        <v>25</v>
      </c>
      <c r="F26" s="1">
        <f>CEILING(Beastgirl!$B51/ IF(Beastgirl!$D51&lt; 10.8,$F$4, $F$4 / (Beastgirl!$D51 / 10.8)),1)</f>
        <v>38</v>
      </c>
      <c r="G26" s="1">
        <f>CEILING(Warrior!$B51/ IF(Warrior!$D51&lt; 10.8, $F$4, $F$4 / (Warrior!$D51 / 10.8)),1)</f>
        <v>27</v>
      </c>
      <c r="N26" s="1">
        <v>49</v>
      </c>
      <c r="O26" s="1">
        <f>CEILING(Demon!$B51 / IF(Demon!$D51&lt; 10.8, $Q$4, $Q$4 / (Demon!$D51/ 10.8)),1)</f>
        <v>15</v>
      </c>
      <c r="P26" s="1">
        <f>CEILING(Elf!$B51 / IF(Elf!$D51 &lt; 10.8, $Q$4, $Q$4 / (Elf!$D51 / 10.8)),1)</f>
        <v>17</v>
      </c>
      <c r="Q26" s="1">
        <f>CEILING(Beastgirl!$B51 / IF(Beastgirl!$D51&lt; 10.8, $Q$4, $Q$4 / (Beastgirl!$D51/ 10.8)),1)</f>
        <v>25</v>
      </c>
      <c r="R26" s="1">
        <f>CEILING(Warrior!$B51 / IF(Warrior!$D51&lt; 10.8, $Q$4, $Q$4 / (Warrior!$D51 / 10.8)),1)</f>
        <v>18</v>
      </c>
      <c r="Y26" s="1">
        <v>49</v>
      </c>
      <c r="Z26" s="1">
        <f>CEILING(Demon!$B51 / IF(Demon!$D51&lt; 10.8, $AB$4, $AB$4 / (Demon!$D51 / 10.8)),1)</f>
        <v>11</v>
      </c>
      <c r="AA26" s="1">
        <f>CEILING(Elf!$B51 / IF(Elf!$D51 &lt; 10.8, $AB$4, $AB$4 / (Elf!$D51 / 10.8)),1)</f>
        <v>13</v>
      </c>
      <c r="AB26" s="1">
        <f>CEILING(Beastgirl!$B51 / IF(Beastgirl!$D51&lt; 10.8, $AB$4, $AB$4 / (Beastgirl!$D51 / 10.8)),1)</f>
        <v>19</v>
      </c>
      <c r="AC26" s="1">
        <f>CEILING(Warrior!$B51 / IF(Warrior!$D51&lt; 10.8, $AB$4, $AB$4 / (Warrior!$D51 / 10.8)),1)</f>
        <v>14</v>
      </c>
    </row>
    <row r="27" spans="3:31" s="1" customFormat="1" x14ac:dyDescent="0.3">
      <c r="C27" s="1">
        <v>50</v>
      </c>
      <c r="D27" s="1">
        <f>CEILING(Demon!$B52 / IF(Demon!$D52&lt; 10.8, $F$4, $F$4 / (Demon!$D52 / 10.8)),1)</f>
        <v>23</v>
      </c>
      <c r="E27" s="1">
        <f>CEILING(Elf!$B52 / IF(Elf!$D52 &lt; 10.8, $F$4, $F$4 / (Elf!$D52 / 10.8)),1)</f>
        <v>26</v>
      </c>
      <c r="F27" s="1">
        <f>CEILING(Beastgirl!$B52/ IF(Beastgirl!$D52&lt; 10.8,$F$4, $F$4 / (Beastgirl!$D52 / 10.8)),1)</f>
        <v>39</v>
      </c>
      <c r="G27" s="1">
        <f>CEILING(Warrior!$B52/ IF(Warrior!$D52&lt; 10.8, $F$4, $F$4 / (Warrior!$D52 / 10.8)),1)</f>
        <v>28</v>
      </c>
      <c r="N27" s="1">
        <v>50</v>
      </c>
      <c r="O27" s="1">
        <f>CEILING(Demon!$B52 / IF(Demon!$D52&lt; 10.8, $Q$4, $Q$4 / (Demon!$D52/ 10.8)),1)</f>
        <v>15</v>
      </c>
      <c r="P27" s="1">
        <f>CEILING(Elf!$B52 / IF(Elf!$D52 &lt; 10.8, $Q$4, $Q$4 / (Elf!$D52 / 10.8)),1)</f>
        <v>17</v>
      </c>
      <c r="Q27" s="1">
        <f>CEILING(Beastgirl!$B52 / IF(Beastgirl!$D52&lt; 10.8, $Q$4, $Q$4 / (Beastgirl!$D52/ 10.8)),1)</f>
        <v>26</v>
      </c>
      <c r="R27" s="1">
        <f>CEILING(Warrior!$B52 / IF(Warrior!$D52&lt; 10.8, $Q$4, $Q$4 / (Warrior!$D52 / 10.8)),1)</f>
        <v>19</v>
      </c>
      <c r="Y27" s="1">
        <v>50</v>
      </c>
      <c r="Z27" s="1">
        <f>CEILING(Demon!$B52 / IF(Demon!$D52&lt; 10.8, $AB$4, $AB$4 / (Demon!$D52 / 10.8)),1)</f>
        <v>12</v>
      </c>
      <c r="AA27" s="1">
        <f>CEILING(Elf!$B52 / IF(Elf!$D52 &lt; 10.8, $AB$4, $AB$4 / (Elf!$D52 / 10.8)),1)</f>
        <v>13</v>
      </c>
      <c r="AB27" s="1">
        <f>CEILING(Beastgirl!$B52 / IF(Beastgirl!$D52&lt; 10.8, $AB$4, $AB$4 / (Beastgirl!$D52 / 10.8)),1)</f>
        <v>20</v>
      </c>
      <c r="AC27" s="1">
        <f>CEILING(Warrior!$B52 / IF(Warrior!$D52&lt; 10.8, $AB$4, $AB$4 / (Warrior!$D52 / 10.8)),1)</f>
        <v>14</v>
      </c>
    </row>
    <row r="28" spans="3:31" s="1" customFormat="1" x14ac:dyDescent="0.3">
      <c r="C28" s="4"/>
      <c r="D28" s="4"/>
      <c r="E28" s="4"/>
      <c r="F28" s="4"/>
      <c r="G28" s="4"/>
      <c r="I28" s="4"/>
      <c r="J28" s="4"/>
      <c r="L28" s="4"/>
      <c r="M28" s="4"/>
      <c r="N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C28" s="4"/>
      <c r="AD28" s="4"/>
      <c r="AE28" s="4"/>
    </row>
    <row r="29" spans="3:31" s="1" customFormat="1" x14ac:dyDescent="0.3">
      <c r="D29" s="4"/>
      <c r="F29" s="4"/>
      <c r="G29" s="4"/>
      <c r="H29" s="4"/>
      <c r="I29" s="4"/>
      <c r="J29" s="4"/>
      <c r="L29" s="4"/>
      <c r="M29" s="4"/>
      <c r="N29" s="4"/>
      <c r="O29" s="4"/>
    </row>
    <row r="30" spans="3:31" s="1" customFormat="1" x14ac:dyDescent="0.3">
      <c r="D30" s="4"/>
      <c r="F30" s="4"/>
      <c r="G30" s="4"/>
      <c r="H30" s="4"/>
      <c r="I30" s="4"/>
      <c r="J30" s="4"/>
      <c r="L30" s="4"/>
      <c r="M30" s="4"/>
      <c r="N30" s="4"/>
      <c r="O30" s="4"/>
    </row>
    <row r="31" spans="3:31" s="1" customFormat="1" x14ac:dyDescent="0.3">
      <c r="D31" s="4"/>
      <c r="F31" s="4"/>
      <c r="G31" s="4"/>
      <c r="H31" s="4"/>
      <c r="I31" s="4"/>
      <c r="J31" s="4"/>
      <c r="L31" s="4"/>
      <c r="M31" s="4"/>
      <c r="N31" s="4"/>
      <c r="O31" s="4"/>
    </row>
    <row r="32" spans="3:31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</row>
    <row r="33" spans="4:17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</row>
    <row r="34" spans="4:17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</row>
    <row r="35" spans="4:17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</row>
    <row r="36" spans="4:17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</row>
    <row r="37" spans="4:17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</row>
    <row r="38" spans="4:17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</row>
    <row r="39" spans="4:17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</row>
    <row r="40" spans="4:17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</row>
    <row r="41" spans="4:17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</row>
    <row r="42" spans="4:17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</row>
    <row r="43" spans="4:17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</row>
    <row r="44" spans="4:17" s="1" customFormat="1" x14ac:dyDescent="0.3">
      <c r="D44" s="4"/>
      <c r="E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</row>
    <row r="45" spans="4:17" s="1" customFormat="1" x14ac:dyDescent="0.3">
      <c r="D45" s="4"/>
      <c r="E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</row>
    <row r="46" spans="4:17" s="1" customFormat="1" x14ac:dyDescent="0.3">
      <c r="D46" s="4"/>
      <c r="E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</row>
    <row r="47" spans="4:17" s="1" customFormat="1" x14ac:dyDescent="0.3">
      <c r="D47" s="4"/>
      <c r="E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</row>
    <row r="48" spans="4:17" s="1" customFormat="1" x14ac:dyDescent="0.3">
      <c r="D48" s="4"/>
      <c r="E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</row>
    <row r="49" spans="1:17" s="1" customFormat="1" x14ac:dyDescent="0.3">
      <c r="D49" s="4"/>
      <c r="E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</row>
    <row r="50" spans="1:17" s="1" customFormat="1" x14ac:dyDescent="0.3">
      <c r="D50" s="4"/>
      <c r="E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</row>
    <row r="51" spans="1:17" s="1" customFormat="1" x14ac:dyDescent="0.3">
      <c r="D51" s="4"/>
      <c r="E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</row>
    <row r="52" spans="1:17" s="1" customFormat="1" x14ac:dyDescent="0.3">
      <c r="D52" s="4"/>
      <c r="E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</row>
    <row r="53" spans="1:17" s="1" customFormat="1" x14ac:dyDescent="0.3">
      <c r="D53" s="4"/>
      <c r="E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</row>
    <row r="54" spans="1:17" s="1" customFormat="1" x14ac:dyDescent="0.3">
      <c r="D54" s="4"/>
      <c r="E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</row>
    <row r="55" spans="1:17" s="1" customFormat="1" x14ac:dyDescent="0.3">
      <c r="D55" s="4"/>
      <c r="E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</row>
    <row r="56" spans="1:17" s="1" customFormat="1" x14ac:dyDescent="0.3">
      <c r="D56" s="4"/>
      <c r="E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</row>
    <row r="57" spans="1:17" s="1" customFormat="1" x14ac:dyDescent="0.3">
      <c r="D57" s="4"/>
      <c r="E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</row>
    <row r="58" spans="1:17" s="1" customFormat="1" x14ac:dyDescent="0.3">
      <c r="D58" s="4"/>
      <c r="E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</row>
    <row r="59" spans="1:17" s="1" customFormat="1" x14ac:dyDescent="0.3">
      <c r="D59" s="4"/>
      <c r="E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</row>
    <row r="60" spans="1:17" s="1" customFormat="1" x14ac:dyDescent="0.3">
      <c r="D60" s="4"/>
      <c r="E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</row>
    <row r="61" spans="1:17" s="1" customFormat="1" x14ac:dyDescent="0.3">
      <c r="D61" s="4"/>
      <c r="E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</row>
    <row r="62" spans="1:17" s="1" customFormat="1" x14ac:dyDescent="0.3">
      <c r="D62" s="4"/>
      <c r="E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</row>
    <row r="63" spans="1:17" s="1" customFormat="1" x14ac:dyDescent="0.3">
      <c r="D63" s="4"/>
      <c r="E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</row>
    <row r="64" spans="1:17" s="1" customFormat="1" x14ac:dyDescent="0.3">
      <c r="A64" s="4"/>
      <c r="B64" s="4"/>
      <c r="C64" s="4"/>
      <c r="D64" s="4"/>
      <c r="E64" s="4"/>
      <c r="F64" s="4"/>
      <c r="I64" s="4"/>
      <c r="J64" s="4"/>
      <c r="L64" s="4"/>
      <c r="M64" s="4"/>
      <c r="N64" s="4"/>
      <c r="O64" s="4"/>
      <c r="P64" s="4"/>
      <c r="Q64" s="4"/>
    </row>
    <row r="65" spans="1:17" s="1" customFormat="1" x14ac:dyDescent="0.3">
      <c r="A65" s="4"/>
      <c r="B65" s="4"/>
      <c r="C65" s="4"/>
      <c r="D65" s="4"/>
      <c r="E65" s="4"/>
      <c r="F65" s="4"/>
      <c r="I65" s="4"/>
      <c r="J65" s="4"/>
      <c r="L65" s="4"/>
      <c r="M65" s="4"/>
      <c r="N65" s="4"/>
      <c r="O65" s="4"/>
      <c r="P65" s="4"/>
      <c r="Q65" s="4"/>
    </row>
    <row r="66" spans="1:17" s="1" customFormat="1" x14ac:dyDescent="0.3">
      <c r="A66" s="4"/>
      <c r="B66" s="4"/>
      <c r="C66" s="4"/>
      <c r="D66" s="4"/>
      <c r="E66" s="4"/>
      <c r="F66" s="4"/>
      <c r="I66" s="4"/>
      <c r="J66" s="4"/>
      <c r="L66" s="4"/>
      <c r="M66" s="4"/>
      <c r="N66" s="4"/>
      <c r="O66" s="4"/>
      <c r="P66" s="4"/>
      <c r="Q66" s="4"/>
    </row>
    <row r="67" spans="1:17" s="1" customFormat="1" x14ac:dyDescent="0.3">
      <c r="A67" s="4"/>
      <c r="B67" s="4"/>
      <c r="C67" s="4"/>
      <c r="D67" s="4"/>
      <c r="E67" s="4"/>
      <c r="F67" s="4"/>
      <c r="I67" s="4"/>
      <c r="J67" s="4"/>
      <c r="L67" s="4"/>
      <c r="M67" s="4"/>
      <c r="N67" s="4"/>
      <c r="O67" s="4"/>
      <c r="P67" s="4"/>
      <c r="Q67" s="4"/>
    </row>
    <row r="68" spans="1:17" s="1" customFormat="1" x14ac:dyDescent="0.3">
      <c r="A68" s="4"/>
      <c r="B68" s="4"/>
      <c r="C68" s="4"/>
      <c r="D68" s="4"/>
      <c r="E68" s="4"/>
      <c r="F68" s="4"/>
      <c r="I68" s="4"/>
      <c r="J68" s="4"/>
      <c r="K68" s="4"/>
      <c r="L68" s="4"/>
      <c r="M68" s="4"/>
      <c r="N68" s="4"/>
      <c r="O68" s="4"/>
    </row>
    <row r="69" spans="1:17" s="1" customFormat="1" x14ac:dyDescent="0.3">
      <c r="A69" s="4"/>
      <c r="B69" s="4"/>
      <c r="C69" s="4"/>
      <c r="D69" s="4"/>
      <c r="E69" s="4"/>
      <c r="F69" s="4"/>
      <c r="I69" s="4"/>
      <c r="J69" s="4"/>
      <c r="K69" s="4"/>
      <c r="L69" s="4"/>
      <c r="M69" s="4"/>
      <c r="N69" s="4"/>
      <c r="O69" s="4"/>
    </row>
    <row r="70" spans="1:17" s="1" customFormat="1" x14ac:dyDescent="0.3">
      <c r="A70" s="4"/>
      <c r="B70" s="4"/>
      <c r="C70" s="4"/>
      <c r="D70" s="4"/>
      <c r="E70" s="4"/>
      <c r="F70" s="4"/>
      <c r="I70" s="4"/>
      <c r="J70" s="4"/>
      <c r="K70" s="4"/>
      <c r="L70" s="4"/>
      <c r="M70" s="4"/>
      <c r="N70" s="4"/>
      <c r="O70" s="4"/>
    </row>
    <row r="71" spans="1:17" s="1" customFormat="1" x14ac:dyDescent="0.3">
      <c r="A71" s="4"/>
      <c r="B71" s="4"/>
      <c r="C71" s="4"/>
      <c r="D71" s="4"/>
      <c r="E71" s="4"/>
      <c r="F71" s="4"/>
      <c r="I71" s="4"/>
      <c r="J71" s="4"/>
      <c r="K71" s="4"/>
      <c r="L71" s="4"/>
      <c r="M71" s="4"/>
      <c r="N71" s="4"/>
      <c r="O71" s="4"/>
    </row>
    <row r="72" spans="1:17" s="1" customFormat="1" x14ac:dyDescent="0.3">
      <c r="A72" s="4"/>
      <c r="B72" s="4"/>
      <c r="C72" s="4"/>
      <c r="D72" s="4"/>
      <c r="E72" s="4"/>
      <c r="F72" s="4"/>
      <c r="I72" s="4"/>
      <c r="J72" s="4"/>
      <c r="K72" s="4"/>
      <c r="L72" s="4"/>
      <c r="M72" s="4"/>
      <c r="N72" s="4"/>
      <c r="O72" s="4"/>
    </row>
    <row r="73" spans="1:17" s="1" customFormat="1" x14ac:dyDescent="0.3">
      <c r="A73" s="4"/>
      <c r="B73" s="4"/>
      <c r="C73" s="4"/>
      <c r="D73" s="4"/>
      <c r="E73" s="4"/>
      <c r="F73" s="4"/>
      <c r="I73" s="4"/>
      <c r="J73" s="4"/>
      <c r="K73" s="4"/>
      <c r="L73" s="4"/>
      <c r="M73" s="4"/>
      <c r="N73" s="4"/>
      <c r="O73" s="4"/>
    </row>
    <row r="74" spans="1:17" s="1" customFormat="1" x14ac:dyDescent="0.3">
      <c r="A74" s="4"/>
      <c r="B74" s="4"/>
      <c r="C74" s="4"/>
      <c r="D74" s="4"/>
      <c r="E74" s="4"/>
      <c r="F74" s="4"/>
      <c r="I74" s="4"/>
      <c r="J74" s="4"/>
      <c r="K74" s="4"/>
      <c r="L74" s="4"/>
      <c r="M74" s="4"/>
      <c r="N74" s="4"/>
      <c r="O74" s="4"/>
    </row>
    <row r="75" spans="1:17" s="1" customFormat="1" x14ac:dyDescent="0.3">
      <c r="A75" s="4"/>
      <c r="B75" s="4"/>
      <c r="C75" s="4"/>
      <c r="D75" s="4"/>
      <c r="E75" s="4"/>
      <c r="F75" s="4"/>
      <c r="I75" s="4"/>
      <c r="J75" s="4"/>
      <c r="K75" s="4"/>
      <c r="L75" s="4"/>
      <c r="M75" s="4"/>
      <c r="N75" s="4"/>
      <c r="O75" s="4"/>
    </row>
    <row r="76" spans="1:17" s="1" customFormat="1" x14ac:dyDescent="0.3">
      <c r="A76" s="4"/>
      <c r="B76" s="4"/>
      <c r="C76" s="4"/>
      <c r="D76" s="4"/>
      <c r="E76" s="4"/>
      <c r="F76" s="4"/>
      <c r="I76" s="4"/>
      <c r="J76" s="4"/>
      <c r="K76" s="4"/>
      <c r="L76" s="4"/>
      <c r="M76" s="4"/>
      <c r="N76" s="4"/>
      <c r="O76" s="4"/>
    </row>
    <row r="77" spans="1:17" s="1" customFormat="1" x14ac:dyDescent="0.3">
      <c r="A77" s="4"/>
      <c r="B77" s="4"/>
      <c r="C77" s="4"/>
      <c r="D77" s="4"/>
      <c r="E77" s="4"/>
      <c r="F77" s="4"/>
      <c r="I77" s="4"/>
      <c r="J77" s="4"/>
      <c r="K77" s="4"/>
      <c r="L77" s="4"/>
      <c r="M77" s="4"/>
      <c r="N77" s="4"/>
      <c r="O77" s="4"/>
    </row>
    <row r="78" spans="1:17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7" s="1" customForma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7" s="1" customForma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s="1" customForma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6" spans="1:15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8ACE-1D53-447D-935C-7F59AD24174B}">
  <dimension ref="A1:I50"/>
  <sheetViews>
    <sheetView workbookViewId="0">
      <selection activeCell="E8" sqref="E8"/>
    </sheetView>
  </sheetViews>
  <sheetFormatPr defaultRowHeight="14.4" x14ac:dyDescent="0.3"/>
  <cols>
    <col min="1" max="1" width="15.33203125" style="4" customWidth="1"/>
    <col min="2" max="2" width="31" style="4" customWidth="1"/>
    <col min="3" max="3" width="44.33203125" style="4" customWidth="1"/>
    <col min="4" max="4" width="19.44140625" style="4" customWidth="1"/>
    <col min="5" max="5" width="40.88671875" style="4" customWidth="1"/>
    <col min="6" max="7" width="8.88671875" style="4"/>
    <col min="8" max="8" width="20.44140625" style="4" customWidth="1"/>
    <col min="9" max="16384" width="8.88671875" style="4"/>
  </cols>
  <sheetData>
    <row r="1" spans="1:9" s="38" customFormat="1" ht="25.8" x14ac:dyDescent="0.3">
      <c r="A1" s="38" t="s">
        <v>184</v>
      </c>
      <c r="B1" s="38" t="s">
        <v>183</v>
      </c>
      <c r="C1" s="38" t="s">
        <v>96</v>
      </c>
      <c r="D1" s="38" t="s">
        <v>97</v>
      </c>
      <c r="E1" s="38" t="s">
        <v>98</v>
      </c>
    </row>
    <row r="2" spans="1:9" x14ac:dyDescent="0.3">
      <c r="A2" s="4" t="s">
        <v>125</v>
      </c>
      <c r="B2" s="4">
        <v>1</v>
      </c>
      <c r="C2" s="4" t="s">
        <v>121</v>
      </c>
      <c r="D2" s="1">
        <f ca="1">INDIRECT("Demon!" &amp; ADDRESS(Table19[[#This Row],[Recommended LV]] + 2, 9)) * 15 / 100</f>
        <v>15</v>
      </c>
      <c r="E2" s="4" t="s">
        <v>179</v>
      </c>
    </row>
    <row r="3" spans="1:9" x14ac:dyDescent="0.3">
      <c r="A3" s="4" t="s">
        <v>125</v>
      </c>
      <c r="B3" s="4">
        <v>1</v>
      </c>
      <c r="C3" s="4" t="s">
        <v>122</v>
      </c>
      <c r="D3" s="1">
        <f ca="1">INDIRECT("Demon!" &amp; ADDRESS(Table19[[#This Row],[Recommended LV]] + 2, 9)) * 15 / 100</f>
        <v>15</v>
      </c>
      <c r="E3" s="4" t="s">
        <v>180</v>
      </c>
      <c r="H3" s="4" t="s">
        <v>182</v>
      </c>
    </row>
    <row r="4" spans="1:9" x14ac:dyDescent="0.3">
      <c r="A4" s="4" t="s">
        <v>125</v>
      </c>
      <c r="B4" s="4">
        <v>1</v>
      </c>
      <c r="C4" s="4" t="s">
        <v>123</v>
      </c>
      <c r="D4" s="1">
        <f ca="1">INDIRECT("Demon!" &amp; ADDRESS(Table19[[#This Row],[Recommended LV]] + 2, 9)) * 15 / 100</f>
        <v>15</v>
      </c>
      <c r="E4" s="1">
        <f xml:space="preserve"> H4 * $G$10 / 100</f>
        <v>112.5</v>
      </c>
      <c r="H4" s="40">
        <v>7.5</v>
      </c>
    </row>
    <row r="5" spans="1:9" s="42" customFormat="1" x14ac:dyDescent="0.3">
      <c r="A5" s="42" t="s">
        <v>125</v>
      </c>
      <c r="B5" s="42">
        <v>1</v>
      </c>
      <c r="C5" s="42" t="s">
        <v>123</v>
      </c>
      <c r="D5" s="30">
        <f ca="1">INDIRECT("Demon!" &amp; ADDRESS(Table19[[#This Row],[Recommended LV]] + 2, 9)) * 15 / 100</f>
        <v>15</v>
      </c>
      <c r="E5" s="30">
        <f t="shared" ref="E5:E10" si="0" xml:space="preserve"> H5 * $G$10 / 100</f>
        <v>112.5</v>
      </c>
      <c r="H5" s="44">
        <v>7.5</v>
      </c>
    </row>
    <row r="6" spans="1:9" x14ac:dyDescent="0.3">
      <c r="A6" s="4" t="s">
        <v>149</v>
      </c>
      <c r="B6" s="4">
        <v>2</v>
      </c>
      <c r="C6" s="4" t="s">
        <v>124</v>
      </c>
      <c r="D6" s="1">
        <f ca="1">INDIRECT("Demon!" &amp; ADDRESS(Table19[[#This Row],[Recommended LV]] + 2, 9)) * 15 / 100</f>
        <v>15.685714285714285</v>
      </c>
      <c r="E6" s="1">
        <f t="shared" si="0"/>
        <v>150</v>
      </c>
      <c r="H6" s="43">
        <v>10</v>
      </c>
    </row>
    <row r="7" spans="1:9" x14ac:dyDescent="0.3">
      <c r="A7" s="4" t="s">
        <v>132</v>
      </c>
      <c r="B7" s="4">
        <v>3</v>
      </c>
      <c r="C7" s="4" t="s">
        <v>126</v>
      </c>
      <c r="D7" s="1">
        <f ca="1">INDIRECT("Demon!" &amp; ADDRESS(Table19[[#This Row],[Recommended LV]] + 2, 9)) * 15 / 100</f>
        <v>17.314285714285717</v>
      </c>
      <c r="E7" s="1">
        <f t="shared" si="0"/>
        <v>225</v>
      </c>
      <c r="H7" s="41">
        <v>15</v>
      </c>
    </row>
    <row r="8" spans="1:9" x14ac:dyDescent="0.3">
      <c r="A8" s="4" t="s">
        <v>132</v>
      </c>
      <c r="B8" s="4">
        <v>3</v>
      </c>
      <c r="C8" s="4" t="s">
        <v>127</v>
      </c>
      <c r="D8" s="1">
        <f ca="1">INDIRECT("Demon!" &amp; ADDRESS(Table19[[#This Row],[Recommended LV]] + 2, 9)) * 15 / 100</f>
        <v>17.314285714285717</v>
      </c>
      <c r="E8" s="1">
        <f t="shared" si="0"/>
        <v>375</v>
      </c>
      <c r="H8" s="40">
        <v>25</v>
      </c>
    </row>
    <row r="9" spans="1:9" x14ac:dyDescent="0.3">
      <c r="A9" s="4" t="s">
        <v>132</v>
      </c>
      <c r="B9" s="4">
        <v>4</v>
      </c>
      <c r="C9" s="4" t="s">
        <v>128</v>
      </c>
      <c r="D9" s="1">
        <f ca="1">INDIRECT("Demon!" &amp; ADDRESS(Table19[[#This Row],[Recommended LV]] + 2, 9)) * 15 / 100</f>
        <v>20.485714285714284</v>
      </c>
      <c r="E9" s="1">
        <f t="shared" si="0"/>
        <v>300</v>
      </c>
      <c r="H9" s="41">
        <v>20</v>
      </c>
    </row>
    <row r="10" spans="1:9" s="42" customFormat="1" x14ac:dyDescent="0.3">
      <c r="A10" s="42" t="s">
        <v>132</v>
      </c>
      <c r="B10" s="42">
        <v>4</v>
      </c>
      <c r="C10" s="42" t="s">
        <v>131</v>
      </c>
      <c r="D10" s="30">
        <f ca="1">INDIRECT("Demon!" &amp; ADDRESS(Table19[[#This Row],[Recommended LV]] + 2, 9)) * 15 / 100</f>
        <v>20.485714285714284</v>
      </c>
      <c r="E10" s="30">
        <f t="shared" si="0"/>
        <v>225</v>
      </c>
      <c r="G10" s="42">
        <f>2000 * 75 / 100</f>
        <v>1500</v>
      </c>
      <c r="H10" s="46">
        <v>15</v>
      </c>
      <c r="I10" s="47">
        <f>SUM(H4:H10)</f>
        <v>100</v>
      </c>
    </row>
    <row r="11" spans="1:9" x14ac:dyDescent="0.3">
      <c r="A11" s="4" t="s">
        <v>150</v>
      </c>
      <c r="B11" s="4">
        <v>5</v>
      </c>
      <c r="C11" s="4" t="s">
        <v>129</v>
      </c>
      <c r="D11" s="1">
        <f ca="1">INDIRECT("Demon!" &amp; ADDRESS(Table19[[#This Row],[Recommended LV]] + 2, 9)) * 15 / 100</f>
        <v>25.714285714285715</v>
      </c>
      <c r="E11" s="1">
        <f xml:space="preserve"> H11 * $G$17 / 100</f>
        <v>450</v>
      </c>
      <c r="H11" s="45">
        <v>10</v>
      </c>
    </row>
    <row r="12" spans="1:9" x14ac:dyDescent="0.3">
      <c r="A12" s="4" t="s">
        <v>120</v>
      </c>
      <c r="B12" s="4">
        <v>5</v>
      </c>
      <c r="C12" s="4" t="s">
        <v>130</v>
      </c>
      <c r="D12" s="1">
        <f ca="1">INDIRECT("Demon!" &amp; ADDRESS(Table19[[#This Row],[Recommended LV]] + 2, 9)) * 15 / 100</f>
        <v>25.714285714285715</v>
      </c>
      <c r="E12" s="1">
        <f t="shared" ref="E12:E16" si="1" xml:space="preserve"> H12 * $G$17 / 100</f>
        <v>675</v>
      </c>
      <c r="H12" s="40">
        <v>15</v>
      </c>
    </row>
    <row r="13" spans="1:9" x14ac:dyDescent="0.3">
      <c r="A13" s="4" t="s">
        <v>120</v>
      </c>
      <c r="B13" s="4">
        <v>6</v>
      </c>
      <c r="C13" s="4" t="s">
        <v>133</v>
      </c>
      <c r="D13" s="1">
        <f ca="1">INDIRECT("Demon!" &amp; ADDRESS(Table19[[#This Row],[Recommended LV]] + 2, 9)) * 15 / 100</f>
        <v>33.514285714285712</v>
      </c>
      <c r="E13" s="1">
        <f t="shared" si="1"/>
        <v>450</v>
      </c>
      <c r="H13" s="41">
        <v>10</v>
      </c>
    </row>
    <row r="14" spans="1:9" x14ac:dyDescent="0.3">
      <c r="A14" s="4" t="s">
        <v>120</v>
      </c>
      <c r="B14" s="4">
        <v>6</v>
      </c>
      <c r="C14" s="4" t="s">
        <v>144</v>
      </c>
      <c r="D14" s="1">
        <f ca="1">INDIRECT("Demon!" &amp; ADDRESS(Table19[[#This Row],[Recommended LV]] + 2, 9)) * 15 / 100</f>
        <v>33.514285714285712</v>
      </c>
      <c r="E14" s="1">
        <f t="shared" si="1"/>
        <v>225</v>
      </c>
      <c r="H14" s="40">
        <v>5</v>
      </c>
    </row>
    <row r="15" spans="1:9" x14ac:dyDescent="0.3">
      <c r="A15" s="4" t="s">
        <v>120</v>
      </c>
      <c r="B15" s="4">
        <v>7</v>
      </c>
      <c r="C15" s="4" t="s">
        <v>134</v>
      </c>
      <c r="D15" s="1">
        <f ca="1">INDIRECT("Demon!" &amp; ADDRESS(Table19[[#This Row],[Recommended LV]] + 2, 9)) * 15 / 100</f>
        <v>44.4</v>
      </c>
      <c r="E15" s="1">
        <f t="shared" si="1"/>
        <v>900</v>
      </c>
      <c r="H15" s="41">
        <v>20</v>
      </c>
    </row>
    <row r="16" spans="1:9" x14ac:dyDescent="0.3">
      <c r="A16" s="4" t="s">
        <v>120</v>
      </c>
      <c r="B16" s="4">
        <v>7</v>
      </c>
      <c r="C16" s="4" t="s">
        <v>135</v>
      </c>
      <c r="D16" s="1">
        <f ca="1">INDIRECT("Demon!" &amp; ADDRESS(Table19[[#This Row],[Recommended LV]] + 2, 9)) * 15 / 100</f>
        <v>44.4</v>
      </c>
      <c r="E16" s="1">
        <f t="shared" si="1"/>
        <v>1350</v>
      </c>
      <c r="H16" s="40">
        <v>30</v>
      </c>
    </row>
    <row r="17" spans="1:9" s="42" customFormat="1" x14ac:dyDescent="0.3">
      <c r="A17" s="42" t="s">
        <v>120</v>
      </c>
      <c r="B17" s="42">
        <v>9</v>
      </c>
      <c r="C17" s="42" t="s">
        <v>181</v>
      </c>
      <c r="D17" s="30">
        <f ca="1">INDIRECT("Demon!" &amp; ADDRESS(Table19[[#This Row],[Recommended LV]] + 2, 9)) * 15 / 100</f>
        <v>77.48571428571428</v>
      </c>
      <c r="E17" s="30">
        <f xml:space="preserve"> H17 * $G$17 / 100</f>
        <v>450</v>
      </c>
      <c r="G17" s="42">
        <f>6000 * 75 / 100</f>
        <v>4500</v>
      </c>
      <c r="H17" s="44">
        <v>10</v>
      </c>
      <c r="I17" s="42">
        <f>SUM(H11:H17)</f>
        <v>100</v>
      </c>
    </row>
    <row r="18" spans="1:9" x14ac:dyDescent="0.3">
      <c r="A18" s="4" t="s">
        <v>151</v>
      </c>
      <c r="B18" s="4">
        <v>10</v>
      </c>
      <c r="C18" s="4" t="s">
        <v>137</v>
      </c>
      <c r="D18" s="1">
        <f ca="1">INDIRECT("Demon!" &amp; ADDRESS(Table19[[#This Row],[Recommended LV]] + 2, 9)) * 15 / 100</f>
        <v>100.71428571428572</v>
      </c>
      <c r="E18" s="1">
        <f xml:space="preserve"> H18 * $G$26 / 100</f>
        <v>750</v>
      </c>
      <c r="H18" s="43">
        <v>5</v>
      </c>
    </row>
    <row r="19" spans="1:9" x14ac:dyDescent="0.3">
      <c r="A19" s="4" t="s">
        <v>136</v>
      </c>
      <c r="B19" s="4">
        <v>11</v>
      </c>
      <c r="C19" s="4" t="s">
        <v>138</v>
      </c>
      <c r="D19" s="1">
        <f ca="1">INDIRECT("Demon!" &amp; ADDRESS(Table19[[#This Row],[Recommended LV]] + 2, 9)) * 15 / 100</f>
        <v>129.08571428571429</v>
      </c>
      <c r="E19" s="1">
        <f t="shared" ref="E19:E26" si="2" xml:space="preserve"> H19 * $G$26 / 100</f>
        <v>750</v>
      </c>
      <c r="H19" s="41">
        <v>5</v>
      </c>
    </row>
    <row r="20" spans="1:9" x14ac:dyDescent="0.3">
      <c r="A20" s="4" t="s">
        <v>136</v>
      </c>
      <c r="B20" s="4">
        <v>11</v>
      </c>
      <c r="C20" s="4" t="s">
        <v>146</v>
      </c>
      <c r="D20" s="1">
        <f ca="1">INDIRECT("Demon!" &amp; ADDRESS(Table19[[#This Row],[Recommended LV]] + 2, 9)) * 15 / 100</f>
        <v>129.08571428571429</v>
      </c>
      <c r="E20" s="1">
        <f t="shared" si="2"/>
        <v>300</v>
      </c>
      <c r="H20" s="40">
        <v>2</v>
      </c>
    </row>
    <row r="21" spans="1:9" x14ac:dyDescent="0.3">
      <c r="A21" s="4" t="s">
        <v>136</v>
      </c>
      <c r="B21" s="4">
        <v>12</v>
      </c>
      <c r="C21" s="4" t="s">
        <v>139</v>
      </c>
      <c r="D21" s="1">
        <f ca="1">INDIRECT("Demon!" &amp; ADDRESS(Table19[[#This Row],[Recommended LV]] + 2, 9)) * 15 / 100</f>
        <v>163.11428571428573</v>
      </c>
      <c r="E21" s="1">
        <f t="shared" si="2"/>
        <v>2250</v>
      </c>
      <c r="H21" s="41">
        <v>15</v>
      </c>
    </row>
    <row r="22" spans="1:9" x14ac:dyDescent="0.3">
      <c r="A22" s="4" t="s">
        <v>136</v>
      </c>
      <c r="B22" s="4">
        <v>12</v>
      </c>
      <c r="C22" s="4" t="s">
        <v>140</v>
      </c>
      <c r="D22" s="1">
        <f ca="1">INDIRECT("Demon!" &amp; ADDRESS(Table19[[#This Row],[Recommended LV]] + 2, 9)) * 15 / 100</f>
        <v>163.11428571428573</v>
      </c>
      <c r="E22" s="1">
        <f t="shared" si="2"/>
        <v>3000</v>
      </c>
      <c r="H22" s="40">
        <v>20</v>
      </c>
    </row>
    <row r="23" spans="1:9" x14ac:dyDescent="0.3">
      <c r="A23" s="4" t="s">
        <v>136</v>
      </c>
      <c r="B23" s="4">
        <v>15</v>
      </c>
      <c r="C23" s="4" t="s">
        <v>141</v>
      </c>
      <c r="D23" s="1">
        <f ca="1">INDIRECT("Demon!" &amp; ADDRESS(Table19[[#This Row],[Recommended LV]] + 2, 9)) * 15 / 100</f>
        <v>304.28571428571433</v>
      </c>
      <c r="E23" s="1">
        <f t="shared" si="2"/>
        <v>1500</v>
      </c>
      <c r="H23" s="41">
        <v>10</v>
      </c>
    </row>
    <row r="24" spans="1:9" x14ac:dyDescent="0.3">
      <c r="A24" s="4" t="s">
        <v>136</v>
      </c>
      <c r="B24" s="4">
        <v>15</v>
      </c>
      <c r="C24" s="4" t="s">
        <v>145</v>
      </c>
      <c r="D24" s="1">
        <f ca="1">INDIRECT("Demon!" &amp; ADDRESS(Table19[[#This Row],[Recommended LV]] + 2, 9)) * 15 / 100</f>
        <v>304.28571428571433</v>
      </c>
      <c r="E24" s="1">
        <f t="shared" si="2"/>
        <v>450</v>
      </c>
      <c r="H24" s="40">
        <v>3</v>
      </c>
    </row>
    <row r="25" spans="1:9" x14ac:dyDescent="0.3">
      <c r="A25" s="4" t="s">
        <v>136</v>
      </c>
      <c r="B25" s="4">
        <v>16</v>
      </c>
      <c r="C25" s="4" t="s">
        <v>142</v>
      </c>
      <c r="D25" s="1">
        <f ca="1">INDIRECT("Demon!" &amp; ADDRESS(Table19[[#This Row],[Recommended LV]] + 2, 9)) * 15 / 100</f>
        <v>366.08571428571429</v>
      </c>
      <c r="E25" s="1">
        <f t="shared" si="2"/>
        <v>2250</v>
      </c>
      <c r="H25" s="41">
        <v>15</v>
      </c>
    </row>
    <row r="26" spans="1:9" s="42" customFormat="1" x14ac:dyDescent="0.3">
      <c r="A26" s="42" t="s">
        <v>136</v>
      </c>
      <c r="B26" s="42">
        <v>17</v>
      </c>
      <c r="C26" s="42" t="s">
        <v>143</v>
      </c>
      <c r="D26" s="30">
        <f ca="1">INDIRECT("Demon!" &amp; ADDRESS(Table19[[#This Row],[Recommended LV]] + 2, 9)) * 15 / 100</f>
        <v>436.1142857142857</v>
      </c>
      <c r="E26" s="30">
        <f t="shared" si="2"/>
        <v>3750</v>
      </c>
      <c r="G26" s="42">
        <f>20000 * 75 / 100</f>
        <v>15000</v>
      </c>
      <c r="H26" s="46">
        <v>25</v>
      </c>
      <c r="I26" s="42">
        <f>SUM(H18:H26)</f>
        <v>100</v>
      </c>
    </row>
    <row r="27" spans="1:9" x14ac:dyDescent="0.3">
      <c r="A27" s="4" t="s">
        <v>147</v>
      </c>
      <c r="B27" s="4">
        <v>20</v>
      </c>
      <c r="C27" s="4" t="s">
        <v>148</v>
      </c>
      <c r="D27" s="1">
        <f ca="1">INDIRECT("Demon!" &amp; ADDRESS(Table19[[#This Row],[Recommended LV]] + 2, 9)) * 15 / 100</f>
        <v>700.71428571428578</v>
      </c>
      <c r="E27" s="1">
        <f xml:space="preserve"> H27 * $G$39 / 100</f>
        <v>4500</v>
      </c>
      <c r="H27" s="45">
        <v>10</v>
      </c>
    </row>
    <row r="28" spans="1:9" x14ac:dyDescent="0.3">
      <c r="A28" s="4" t="s">
        <v>152</v>
      </c>
      <c r="B28" s="4">
        <v>21</v>
      </c>
      <c r="C28" s="4" t="s">
        <v>153</v>
      </c>
      <c r="D28" s="1">
        <f ca="1">INDIRECT("Demon!" &amp; ADDRESS(Table19[[#This Row],[Recommended LV]] + 2, 9)) * 15 / 100</f>
        <v>808.8</v>
      </c>
      <c r="E28" s="1">
        <f t="shared" ref="E28:E39" si="3" xml:space="preserve"> H28 * $G$39 / 100</f>
        <v>1125</v>
      </c>
      <c r="H28" s="40">
        <v>2.5</v>
      </c>
    </row>
    <row r="29" spans="1:9" x14ac:dyDescent="0.3">
      <c r="A29" s="4" t="s">
        <v>152</v>
      </c>
      <c r="B29" s="4">
        <v>21</v>
      </c>
      <c r="C29" s="4" t="s">
        <v>158</v>
      </c>
      <c r="D29" s="1">
        <f ca="1">INDIRECT("Demon!" &amp; ADDRESS(Table19[[#This Row],[Recommended LV]] + 2, 9)) * 15 / 100</f>
        <v>808.8</v>
      </c>
      <c r="E29" s="1">
        <f t="shared" si="3"/>
        <v>1125</v>
      </c>
      <c r="H29" s="41">
        <v>2.5</v>
      </c>
    </row>
    <row r="30" spans="1:9" x14ac:dyDescent="0.3">
      <c r="A30" s="4" t="s">
        <v>152</v>
      </c>
      <c r="B30" s="4">
        <v>22</v>
      </c>
      <c r="C30" s="4" t="s">
        <v>154</v>
      </c>
      <c r="D30" s="1">
        <f ca="1">INDIRECT("Demon!" &amp; ADDRESS(Table19[[#This Row],[Recommended LV]] + 2, 9)) * 15 / 100</f>
        <v>927.6857142857142</v>
      </c>
      <c r="E30" s="1">
        <f t="shared" si="3"/>
        <v>2250</v>
      </c>
      <c r="H30" s="40">
        <v>5</v>
      </c>
    </row>
    <row r="31" spans="1:9" x14ac:dyDescent="0.3">
      <c r="A31" s="4" t="s">
        <v>152</v>
      </c>
      <c r="B31" s="4">
        <v>23</v>
      </c>
      <c r="C31" s="4" t="s">
        <v>155</v>
      </c>
      <c r="D31" s="1">
        <f ca="1">INDIRECT("Demon!" &amp; ADDRESS(Table19[[#This Row],[Recommended LV]] + 2, 9)) * 15 / 100</f>
        <v>1057.8857142857141</v>
      </c>
      <c r="E31" s="1">
        <f t="shared" si="3"/>
        <v>4500</v>
      </c>
      <c r="H31" s="41">
        <v>10</v>
      </c>
    </row>
    <row r="32" spans="1:9" x14ac:dyDescent="0.3">
      <c r="A32" s="4" t="s">
        <v>152</v>
      </c>
      <c r="B32" s="4">
        <v>24</v>
      </c>
      <c r="C32" s="4" t="s">
        <v>157</v>
      </c>
      <c r="D32" s="1">
        <f ca="1">INDIRECT("Demon!" &amp; ADDRESS(Table19[[#This Row],[Recommended LV]] + 2, 9)) * 15 / 100</f>
        <v>1199.9142857142858</v>
      </c>
      <c r="E32" s="1">
        <f t="shared" si="3"/>
        <v>1687.5</v>
      </c>
      <c r="H32" s="40">
        <v>3.75</v>
      </c>
    </row>
    <row r="33" spans="1:9" x14ac:dyDescent="0.3">
      <c r="A33" s="4" t="s">
        <v>152</v>
      </c>
      <c r="B33" s="4">
        <v>24</v>
      </c>
      <c r="C33" s="4" t="s">
        <v>158</v>
      </c>
      <c r="D33" s="1">
        <f ca="1">INDIRECT("Demon!" &amp; ADDRESS(Table19[[#This Row],[Recommended LV]] + 2, 9)) * 15 / 100</f>
        <v>1199.9142857142858</v>
      </c>
      <c r="E33" s="1">
        <f t="shared" si="3"/>
        <v>1687.5</v>
      </c>
      <c r="H33" s="41">
        <v>3.75</v>
      </c>
    </row>
    <row r="34" spans="1:9" x14ac:dyDescent="0.3">
      <c r="A34" s="4" t="s">
        <v>152</v>
      </c>
      <c r="B34" s="4">
        <v>25</v>
      </c>
      <c r="C34" s="4" t="s">
        <v>159</v>
      </c>
      <c r="D34" s="1">
        <f ca="1">INDIRECT("Demon!" &amp; ADDRESS(Table19[[#This Row],[Recommended LV]] + 2, 9)) * 15 / 100</f>
        <v>1354.2857142857144</v>
      </c>
      <c r="E34" s="1">
        <f t="shared" si="3"/>
        <v>3375</v>
      </c>
      <c r="H34" s="40">
        <v>7.5</v>
      </c>
    </row>
    <row r="35" spans="1:9" x14ac:dyDescent="0.3">
      <c r="A35" s="4" t="s">
        <v>152</v>
      </c>
      <c r="B35" s="4">
        <v>26</v>
      </c>
      <c r="C35" s="4" t="s">
        <v>160</v>
      </c>
      <c r="D35" s="1">
        <f ca="1">INDIRECT("Demon!" &amp; ADDRESS(Table19[[#This Row],[Recommended LV]] + 2, 9)) * 15 / 100</f>
        <v>1521.5142857142855</v>
      </c>
      <c r="E35" s="1">
        <f t="shared" si="3"/>
        <v>6750</v>
      </c>
      <c r="H35" s="41">
        <v>15</v>
      </c>
    </row>
    <row r="36" spans="1:9" x14ac:dyDescent="0.3">
      <c r="A36" s="4" t="s">
        <v>152</v>
      </c>
      <c r="B36" s="4">
        <v>27</v>
      </c>
      <c r="C36" s="4" t="s">
        <v>156</v>
      </c>
      <c r="D36" s="1">
        <f ca="1">INDIRECT("Demon!" &amp; ADDRESS(Table19[[#This Row],[Recommended LV]] + 2, 9)) * 15 / 100</f>
        <v>1702.1142857142854</v>
      </c>
      <c r="E36" s="1">
        <f t="shared" si="3"/>
        <v>2250</v>
      </c>
      <c r="H36" s="40">
        <v>5</v>
      </c>
    </row>
    <row r="37" spans="1:9" x14ac:dyDescent="0.3">
      <c r="A37" s="4" t="s">
        <v>152</v>
      </c>
      <c r="B37" s="4">
        <v>27</v>
      </c>
      <c r="C37" s="4" t="s">
        <v>158</v>
      </c>
      <c r="D37" s="1">
        <f ca="1">INDIRECT("Demon!" &amp; ADDRESS(Table19[[#This Row],[Recommended LV]] + 2, 9)) * 15 / 100</f>
        <v>1702.1142857142854</v>
      </c>
      <c r="E37" s="1">
        <f t="shared" si="3"/>
        <v>2250</v>
      </c>
      <c r="H37" s="41">
        <v>5</v>
      </c>
    </row>
    <row r="38" spans="1:9" x14ac:dyDescent="0.3">
      <c r="A38" s="4" t="s">
        <v>152</v>
      </c>
      <c r="B38" s="4">
        <v>28</v>
      </c>
      <c r="C38" s="4" t="s">
        <v>161</v>
      </c>
      <c r="D38" s="1">
        <f ca="1">INDIRECT("Demon!" &amp; ADDRESS(Table19[[#This Row],[Recommended LV]] + 2, 9)) * 15 / 100</f>
        <v>1896.6</v>
      </c>
      <c r="E38" s="1">
        <f t="shared" si="3"/>
        <v>4500</v>
      </c>
      <c r="H38" s="40">
        <v>10</v>
      </c>
    </row>
    <row r="39" spans="1:9" s="42" customFormat="1" x14ac:dyDescent="0.3">
      <c r="A39" s="42" t="s">
        <v>152</v>
      </c>
      <c r="B39" s="42">
        <v>29</v>
      </c>
      <c r="C39" s="42" t="s">
        <v>162</v>
      </c>
      <c r="D39" s="30">
        <f ca="1">INDIRECT("Demon!" &amp; ADDRESS(Table19[[#This Row],[Recommended LV]] + 2, 9)) * 15 / 100</f>
        <v>2105.4857142857145</v>
      </c>
      <c r="E39" s="30">
        <f t="shared" si="3"/>
        <v>9000</v>
      </c>
      <c r="G39" s="42">
        <f>60000 * 75 / 100</f>
        <v>45000</v>
      </c>
      <c r="H39" s="44">
        <v>20</v>
      </c>
      <c r="I39" s="42">
        <f>SUM(H27:H39)</f>
        <v>100</v>
      </c>
    </row>
    <row r="40" spans="1:9" x14ac:dyDescent="0.3">
      <c r="A40" s="4" t="s">
        <v>163</v>
      </c>
      <c r="B40" s="4">
        <v>30</v>
      </c>
      <c r="C40" s="4" t="s">
        <v>164</v>
      </c>
      <c r="D40" s="1">
        <f ca="1">INDIRECT("Demon!" &amp; ADDRESS(Table19[[#This Row],[Recommended LV]] + 2, 9)) * 15 / 100</f>
        <v>2329.2857142857147</v>
      </c>
      <c r="E40" s="1">
        <f xml:space="preserve"> H40 * $G$49 / 100</f>
        <v>15000</v>
      </c>
      <c r="H40" s="43">
        <v>10</v>
      </c>
    </row>
    <row r="41" spans="1:9" x14ac:dyDescent="0.3">
      <c r="A41" s="4" t="s">
        <v>175</v>
      </c>
      <c r="B41" s="4">
        <v>30</v>
      </c>
      <c r="C41" s="4" t="s">
        <v>178</v>
      </c>
      <c r="D41" s="1">
        <f ca="1">INDIRECT("Demon!" &amp; ADDRESS(Table19[[#This Row],[Recommended LV]] + 2, 9)) * 15 / 100</f>
        <v>2329.2857142857147</v>
      </c>
      <c r="E41" s="1">
        <f t="shared" ref="E41:E49" si="4" xml:space="preserve"> H41 * $G$49 / 100</f>
        <v>3000</v>
      </c>
      <c r="H41" s="41">
        <v>2</v>
      </c>
    </row>
    <row r="42" spans="1:9" x14ac:dyDescent="0.3">
      <c r="A42" s="4" t="s">
        <v>175</v>
      </c>
      <c r="B42" s="4">
        <v>31</v>
      </c>
      <c r="C42" s="4" t="s">
        <v>167</v>
      </c>
      <c r="D42" s="1">
        <f ca="1">INDIRECT("Demon!" &amp; ADDRESS(Table19[[#This Row],[Recommended LV]] + 2, 9)) * 15 / 100</f>
        <v>2568.514285714286</v>
      </c>
      <c r="E42" s="1">
        <f t="shared" si="4"/>
        <v>7500</v>
      </c>
      <c r="H42" s="40">
        <v>5</v>
      </c>
    </row>
    <row r="43" spans="1:9" x14ac:dyDescent="0.3">
      <c r="A43" s="4" t="s">
        <v>175</v>
      </c>
      <c r="B43" s="4">
        <v>31</v>
      </c>
      <c r="C43" s="4" t="s">
        <v>168</v>
      </c>
      <c r="D43" s="1">
        <f ca="1">INDIRECT("Demon!" &amp; ADDRESS(Table19[[#This Row],[Recommended LV]] + 2, 9)) * 15 / 100</f>
        <v>2568.514285714286</v>
      </c>
      <c r="E43" s="1">
        <f t="shared" si="4"/>
        <v>4500</v>
      </c>
      <c r="H43" s="41">
        <v>3</v>
      </c>
    </row>
    <row r="44" spans="1:9" x14ac:dyDescent="0.3">
      <c r="A44" s="4" t="s">
        <v>175</v>
      </c>
      <c r="B44" s="4">
        <v>32</v>
      </c>
      <c r="C44" s="4" t="s">
        <v>169</v>
      </c>
      <c r="D44" s="1">
        <f ca="1">INDIRECT("Demon!" &amp; ADDRESS(Table19[[#This Row],[Recommended LV]] + 2, 9)) * 15 / 100</f>
        <v>2823.6857142857143</v>
      </c>
      <c r="E44" s="1">
        <f t="shared" si="4"/>
        <v>11250</v>
      </c>
      <c r="H44" s="40">
        <v>7.5</v>
      </c>
    </row>
    <row r="45" spans="1:9" x14ac:dyDescent="0.3">
      <c r="A45" s="4" t="s">
        <v>175</v>
      </c>
      <c r="B45" s="4">
        <v>33</v>
      </c>
      <c r="C45" s="4" t="s">
        <v>170</v>
      </c>
      <c r="D45" s="1">
        <f ca="1">INDIRECT("Demon!" &amp; ADDRESS(Table19[[#This Row],[Recommended LV]] + 2, 9)) * 15 / 100</f>
        <v>3095.3142857142857</v>
      </c>
      <c r="E45" s="1">
        <f t="shared" si="4"/>
        <v>22500</v>
      </c>
      <c r="H45" s="41">
        <v>15</v>
      </c>
    </row>
    <row r="46" spans="1:9" x14ac:dyDescent="0.3">
      <c r="A46" s="4" t="s">
        <v>175</v>
      </c>
      <c r="B46" s="4">
        <v>36</v>
      </c>
      <c r="C46" s="4" t="s">
        <v>171</v>
      </c>
      <c r="D46" s="1">
        <f ca="1">INDIRECT("Demon!" &amp; ADDRESS(Table19[[#This Row],[Recommended LV]] + 2, 9)) * 15 / 100</f>
        <v>4014.0857142857144</v>
      </c>
      <c r="E46" s="1">
        <f t="shared" si="4"/>
        <v>11250</v>
      </c>
      <c r="H46" s="40">
        <v>7.5</v>
      </c>
    </row>
    <row r="47" spans="1:9" x14ac:dyDescent="0.3">
      <c r="A47" s="4" t="s">
        <v>175</v>
      </c>
      <c r="B47" s="4">
        <v>36</v>
      </c>
      <c r="C47" s="4" t="s">
        <v>172</v>
      </c>
      <c r="D47" s="1">
        <f ca="1">INDIRECT("Demon!" &amp; ADDRESS(Table19[[#This Row],[Recommended LV]] + 2, 9)) * 15 / 100</f>
        <v>4014.0857142857144</v>
      </c>
      <c r="E47" s="1">
        <f t="shared" si="4"/>
        <v>7500</v>
      </c>
      <c r="H47" s="41">
        <v>5</v>
      </c>
    </row>
    <row r="48" spans="1:9" x14ac:dyDescent="0.3">
      <c r="A48" s="4" t="s">
        <v>175</v>
      </c>
      <c r="B48" s="4">
        <v>37</v>
      </c>
      <c r="C48" s="4" t="s">
        <v>173</v>
      </c>
      <c r="D48" s="1">
        <f ca="1">INDIRECT("Demon!" &amp; ADDRESS(Table19[[#This Row],[Recommended LV]] + 2, 9)) * 15 / 100</f>
        <v>4356.6857142857143</v>
      </c>
      <c r="E48" s="1">
        <f t="shared" si="4"/>
        <v>22500</v>
      </c>
      <c r="H48" s="40">
        <v>15</v>
      </c>
    </row>
    <row r="49" spans="1:9" s="42" customFormat="1" x14ac:dyDescent="0.3">
      <c r="A49" s="42" t="s">
        <v>175</v>
      </c>
      <c r="B49" s="42">
        <v>38</v>
      </c>
      <c r="C49" s="42" t="s">
        <v>174</v>
      </c>
      <c r="D49" s="30">
        <f ca="1">INDIRECT("Demon!" &amp; ADDRESS(Table19[[#This Row],[Recommended LV]] + 2, 9)) * 15 / 100</f>
        <v>4718.3142857142857</v>
      </c>
      <c r="E49" s="30">
        <f t="shared" si="4"/>
        <v>45000</v>
      </c>
      <c r="G49" s="42">
        <f>200000 * 75 / 100</f>
        <v>150000</v>
      </c>
      <c r="H49" s="44">
        <v>30</v>
      </c>
      <c r="I49" s="42">
        <f>SUM(H40:H49)</f>
        <v>100</v>
      </c>
    </row>
    <row r="50" spans="1:9" x14ac:dyDescent="0.3">
      <c r="A50" s="4" t="s">
        <v>176</v>
      </c>
      <c r="B50" s="4">
        <v>45</v>
      </c>
      <c r="C50" s="4" t="s">
        <v>177</v>
      </c>
      <c r="D50" s="1">
        <f ca="1">INDIRECT("Demon!" &amp; ADDRESS(Table19[[#This Row],[Recommended LV]] + 2, 9)) * 15 / 100</f>
        <v>7825.7142857142862</v>
      </c>
      <c r="E50" s="1">
        <v>75000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C4D0-5A2F-4EA1-97F0-9F0958BC271A}">
  <dimension ref="A1:BB52"/>
  <sheetViews>
    <sheetView topLeftCell="A7" zoomScale="60" zoomScaleNormal="60" workbookViewId="0">
      <pane xSplit="1" topLeftCell="B1" activePane="topRight" state="frozen"/>
      <selection pane="topRight" sqref="A1:A1048576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77734375" style="1" customWidth="1"/>
    <col min="12" max="12" width="19.21875" style="1" customWidth="1"/>
    <col min="13" max="13" width="9.33203125" style="1" customWidth="1"/>
    <col min="14" max="14" width="19.6640625" style="1" customWidth="1"/>
    <col min="15" max="15" width="11.88671875" style="1" customWidth="1"/>
    <col min="16" max="16" width="21.5546875" style="1" customWidth="1"/>
    <col min="17" max="17" width="13.5546875" style="1" customWidth="1"/>
    <col min="18" max="18" width="23.21875" style="1" customWidth="1"/>
    <col min="19" max="19" width="23" style="1" customWidth="1"/>
    <col min="20" max="20" width="24.33203125" style="1" customWidth="1"/>
    <col min="21" max="21" width="21.5546875" style="1" customWidth="1"/>
    <col min="22" max="22" width="13.77734375" style="1" customWidth="1"/>
    <col min="23" max="23" width="23.5546875" style="1" customWidth="1"/>
    <col min="24" max="24" width="12.6640625" style="1" customWidth="1"/>
    <col min="25" max="25" width="8.88671875" style="1"/>
    <col min="26" max="26" width="16.33203125" style="1" customWidth="1"/>
    <col min="27" max="27" width="18.44140625" style="1" customWidth="1"/>
    <col min="28" max="28" width="9.6640625" style="1" customWidth="1"/>
    <col min="29" max="29" width="20.109375" style="1" customWidth="1"/>
    <col min="30" max="30" width="11.6640625" style="1" customWidth="1"/>
    <col min="31" max="31" width="22.21875" style="1" customWidth="1"/>
    <col min="32" max="32" width="14.109375" style="1" customWidth="1"/>
    <col min="33" max="33" width="22.88671875" style="1" customWidth="1"/>
    <col min="34" max="34" width="23.109375" style="1" customWidth="1"/>
    <col min="35" max="35" width="24.33203125" style="1" customWidth="1"/>
    <col min="36" max="36" width="21.21875" style="1" customWidth="1"/>
    <col min="37" max="37" width="13.109375" style="1" customWidth="1"/>
    <col min="38" max="38" width="23.77734375" style="1" customWidth="1"/>
    <col min="39" max="39" width="12.109375" style="1" customWidth="1"/>
    <col min="40" max="40" width="8.88671875" style="1"/>
    <col min="41" max="41" width="16.33203125" style="1" customWidth="1"/>
    <col min="42" max="42" width="18.77734375" style="1" customWidth="1"/>
    <col min="43" max="43" width="9.88671875" style="1" customWidth="1"/>
    <col min="44" max="44" width="19.5546875" style="1" customWidth="1"/>
    <col min="45" max="45" width="11.109375" style="1" customWidth="1"/>
    <col min="46" max="46" width="21.44140625" style="1" customWidth="1"/>
    <col min="47" max="47" width="13.44140625" style="1" customWidth="1"/>
    <col min="48" max="48" width="22.77734375" style="1" customWidth="1"/>
    <col min="49" max="49" width="22.88671875" style="1" customWidth="1"/>
    <col min="50" max="50" width="24.33203125" style="1" customWidth="1"/>
    <col min="51" max="51" width="21.21875" style="1" customWidth="1"/>
    <col min="52" max="52" width="13" style="1" customWidth="1"/>
    <col min="53" max="53" width="24.21875" style="1" customWidth="1"/>
    <col min="54" max="54" width="12.554687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10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0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8</v>
      </c>
      <c r="C3" s="34">
        <f xml:space="preserve"> 2*Table14[[#This Row],[INT]]</f>
        <v>12</v>
      </c>
      <c r="D3" s="34">
        <v>6</v>
      </c>
      <c r="E3" s="34">
        <v>7</v>
      </c>
      <c r="F3" s="34">
        <v>5</v>
      </c>
      <c r="G3" s="34">
        <v>6</v>
      </c>
      <c r="H3" s="34">
        <v>8</v>
      </c>
      <c r="I3" s="1">
        <v>100</v>
      </c>
      <c r="K3" s="14">
        <f>CEILING('Blue Slime'!$B$5/ IF('Blue Slime'!$D$5&lt; 10.8, Table14[[#This Row],[STR]], Table14[[#This Row],[STR]] / ('Blue Slime'!$D$5 / 10.8)), 1)</f>
        <v>5</v>
      </c>
      <c r="L3" s="14">
        <f>CEILING('Green Slime'!$B$5/ IF('Green Slime'!$D$5&lt; 10.8, Table14[[#This Row],[STR]], Table14[[#This Row],[STR]] / ('Green Slime'!$D$5 / 10.8)), 1)</f>
        <v>6</v>
      </c>
      <c r="M3" s="14">
        <f>CEILING(Wolf!$B$6/ IF(Wolf!$D$6&lt; 10.8, Table14[[#This Row],[STR]], Table14[[#This Row],[STR]] / (Wolf!$D$6 / 10.8)), 1)</f>
        <v>15</v>
      </c>
      <c r="N3" s="14">
        <f>CEILING('Horned Wolf'!$B$5/ IF('Horned Wolf'!$D$5&lt; 10.8, Table14[[#This Row],[STR]], Table14[[#This Row],[STR]] / ('Horned Wolf'!$D$5 / 10.8)), 1)</f>
        <v>39</v>
      </c>
      <c r="O3" s="8">
        <f>CEILING(Spider!$B$7/ IF(Spider!$D$7&lt; 10.8, Table14[[#This Row],[STR]], Table14[[#This Row],[STR]] / (Spider!$D$7 / 10.8)), 1)</f>
        <v>38</v>
      </c>
      <c r="P3" s="8">
        <f>CEILING('Evolved Spider'!$B$8/ IF('Evolved Spider'!$D$8&lt; 10.8, Table14[[#This Row],[STR]], Table14[[#This Row],[STR]] / ('Evolved Spider'!$D$8 / 10.8)), 1)</f>
        <v>74</v>
      </c>
      <c r="Q3" s="8">
        <f>CEILING(Arachne!$B$4/ IF(Arachne!$D$4&lt; 10.8, Table14[[#This Row],[STR]], Table14[[#This Row],[STR]] / (Arachne!$D$4 / 10.8)), 1)</f>
        <v>98</v>
      </c>
      <c r="R3" s="12">
        <f>CEILING('Earth Elemental'!$B$6/ IF('Earth Elemental'!$D$6&lt; 10.8, Table14[[#This Row],[STR]], Table14[[#This Row],[STR]] / ('Earth Elemental'!$D$6 / 10.8)), 1)</f>
        <v>101</v>
      </c>
      <c r="S3" s="12">
        <f>CEILING('Wind Elemental'!$B$6/ IF('Wind Elemental'!$D$6&lt; 10.8, Table14[[#This Row],[STR]], Table14[[#This Row],[STR]] / ('Wind Elemental'!$D$6 / 10.8)), 1)</f>
        <v>90</v>
      </c>
      <c r="T3" s="12">
        <f>CEILING('Water Elemental'!$B$6/ IF('Water Elemental'!$D$6&lt; 10.8, Table14[[#This Row],[STR]], Table14[[#This Row],[STR]] / ('Water Elemental'!$D$6 / 10.8)), 1)</f>
        <v>136</v>
      </c>
      <c r="U3" s="12">
        <f>CEILING('Fire Elemental'!$B$4/ IF('Fire Elemental'!$D$4&lt; 10.8, Table14[[#This Row],[STR]], Table14[[#This Row],[STR]] / ('Fire Elemental'!$D$4 / 10.8)), 1)</f>
        <v>174</v>
      </c>
      <c r="V3" s="12">
        <f>CEILING(Wyvern!$B$4/ IF(Wyvern!$D$4&lt; 10.8, Table14[[#This Row],[STR]], Table14[[#This Row],[STR]] / (Wyvern!$D$4 / 10.8)), 1)</f>
        <v>235</v>
      </c>
      <c r="W3" s="12">
        <f>CEILING('Evolved Wyvern'!$B$4/ IF('Evolved Wyvern'!$D$4&lt; 10.8, Table14[[#This Row],[STR]], Table14[[#This Row],[STR]] / ('Evolved Wyvern'!$D$4 / 10.8)), 1)</f>
        <v>325</v>
      </c>
      <c r="X3" s="12">
        <f>CEILING(Dragon!$B$4/ IF(Dragon!$D$4&lt; 10.8, Table14[[#This Row],[STR]], Table14[[#This Row],[STR]] / (Dragon!$D$4 / 10.8)), 1)</f>
        <v>535</v>
      </c>
      <c r="Z3" s="14">
        <f>CEILING('Blue Slime'!$M$5/ IF('Blue Slime'!$O$5&lt; 10.8, Table14[[#This Row],[STR]], Table14[[#This Row],[STR]] / ('Blue Slime'!$O$5 / 10.8)), 1)</f>
        <v>6</v>
      </c>
      <c r="AA3" s="14">
        <f>CEILING('Green Slime'!$M$5/ IF('Green Slime'!$O$5&lt; 10.8, Table14[[#This Row],[STR]], Table14[[#This Row],[STR]] / ('Green Slime'!$O$5 / 10.8)), 1)</f>
        <v>11</v>
      </c>
      <c r="AB3" s="14">
        <f>CEILING(Wolf!$M$6/ IF(Wolf!$O$6&lt; 10.8, Table14[[#This Row],[STR]], Table14[[#This Row],[STR]] / (Wolf!$O$6 / 10.8)), 1)</f>
        <v>31</v>
      </c>
      <c r="AC3" s="14">
        <f>CEILING('Horned Wolf'!$M$5/ IF('Horned Wolf'!$O$5&lt; 10.8, Table14[[#This Row],[STR]], Table14[[#This Row],[STR]] / ('Horned Wolf'!$O$5 / 10.8)), 1)</f>
        <v>85</v>
      </c>
      <c r="AD3" s="8">
        <f>CEILING(Spider!$M$7/ IF(Spider!$O$7&lt; 10.8, Table14[[#This Row],[STR]], Table14[[#This Row],[STR]] / (Spider!$O$7 / 10.8)), 1)</f>
        <v>77</v>
      </c>
      <c r="AE3" s="8">
        <f>CEILING('Evolved Spider'!$M$8/ IF('Evolved Spider'!$O$8&lt; 10.8, Table14[[#This Row],[STR]], Table14[[#This Row],[STR]] / ('Evolved Spider'!$O$8 / 10.8)), 1)</f>
        <v>144</v>
      </c>
      <c r="AF3" s="8">
        <f>CEILING(Arachne!$M$4/ IF(Arachne!$O$4&lt; 10.8, Table14[[#This Row],[STR]], Table14[[#This Row],[STR]] / (Arachne!$O$4 / 10.8)), 1)</f>
        <v>194</v>
      </c>
      <c r="AG3" s="12">
        <f>CEILING('Earth Elemental'!$M$6/ IF('Earth Elemental'!$O$6&lt; 10.8, Table14[[#This Row],[STR]], Table14[[#This Row],[STR]] / ('Earth Elemental'!$O$6 / 10.8)), 1)</f>
        <v>176</v>
      </c>
      <c r="AH3" s="12">
        <f>CEILING('Wind Elemental'!$M$6/ IF('Wind Elemental'!$O$6&lt; 10.8, Table14[[#This Row],[STR]], Table14[[#This Row],[STR]] / ('Wind Elemental'!$O$6 / 10.8)), 1)</f>
        <v>145</v>
      </c>
      <c r="AI3" s="12">
        <f>CEILING('Water Elemental'!$M$6/ IF('Water Elemental'!$O$6&lt; 10.8, Table14[[#This Row],[STR]], Table14[[#This Row],[STR]] / ('Water Elemental'!$O$6 / 10.8)), 1)</f>
        <v>209</v>
      </c>
      <c r="AJ3" s="12">
        <f>CEILING('Fire Elemental'!$M$4/ IF('Fire Elemental'!$O$4&lt; 10.8, Table14[[#This Row],[STR]], Table14[[#This Row],[STR]] / ('Fire Elemental'!$O$4 / 10.8)), 1)</f>
        <v>305</v>
      </c>
      <c r="AK3" s="8">
        <f>CEILING(Wyvern!$M$4/ IF(Wyvern!$O$4&lt; 10.8, Table14[[#This Row],[STR]], Table14[[#This Row],[STR]] / (Wyvern!$O$4 / 10.8)), 1)</f>
        <v>387</v>
      </c>
      <c r="AL3" s="8">
        <f>CEILING('Evolved Wyvern'!$M$4/ IF('Evolved Wyvern'!$O$4&lt; 10.8, Table14[[#This Row],[STR]], Table14[[#This Row],[STR]] / ('Evolved Wyvern'!$O$4 / 10.8)), 1)</f>
        <v>515</v>
      </c>
      <c r="AM3" s="8">
        <f>CEILING(Dragon!$M$4/ IF(Dragon!$O$4&lt; 10.8, Table14[[#This Row],[STR]], Table14[[#This Row],[STR]] / (Dragon!$O$4 / 10.8)), 1)</f>
        <v>859</v>
      </c>
      <c r="AO3" s="14">
        <f>CEILING('Blue Slime'!$Z$5/ IF('Blue Slime'!$X$5&lt; 10.8, Table14[[#This Row],[STR]], Table14[[#This Row],[STR]] / ('Blue Slime'!$X$5 / 10.8)), 1)</f>
        <v>11</v>
      </c>
      <c r="AP3" s="14">
        <f>CEILING('Green Slime'!$Z$5/ IF('Green Slime'!$X$5&lt; 10.8, Table14[[#This Row],[STR]], Table14[[#This Row],[STR]] / ('Green Slime'!$X$5 / 10.8)), 1)</f>
        <v>19</v>
      </c>
      <c r="AQ3" s="14">
        <f>CEILING(Wolf!$Z$6/ IF(Wolf!$X$6&lt; 10.8, Table14[[#This Row],[STR]], Table14[[#This Row],[STR]] / (Wolf!$X$6 / 10.8)), 1)</f>
        <v>53</v>
      </c>
      <c r="AR3" s="14">
        <f>CEILING('Horned Wolf'!$Z$5/ IF('Horned Wolf'!$X$5&lt; 10.8, Table14[[#This Row],[STR]], Table14[[#This Row],[STR]] / ('Horned Wolf'!$X$5 / 10.8)), 1)</f>
        <v>148</v>
      </c>
      <c r="AS3" s="8">
        <f>CEILING(Spider!$Z$7/ IF(Spider!$X$7&lt; 10.8, Table14[[#This Row],[STR]], Table14[[#This Row],[STR]] / (Spider!$X$7 / 10.8)), 1)</f>
        <v>130</v>
      </c>
      <c r="AT3" s="8">
        <f>CEILING('Evolved Spider'!$Z$8/ IF('Evolved Spider'!$X$8&lt; 10.8, Table14[[#This Row],[STR]], Table14[[#This Row],[STR]] / ('Evolved Spider'!$X$8 / 10.8)), 1)</f>
        <v>235</v>
      </c>
      <c r="AU3" s="8">
        <f>CEILING(Arachne!$Z$4/ IF(Arachne!$X$4&lt; 10.8, Table14[[#This Row],[STR]], Table14[[#This Row],[STR]] / (Arachne!$X$4 / 10.8)), 1)</f>
        <v>320</v>
      </c>
      <c r="AV3" s="8">
        <f>CEILING('Earth Elemental'!$Z$6/ IF('Earth Elemental'!$X$6&lt; 10.8, Table14[[#This Row],[STR]], Table14[[#This Row],[STR]] / ('Earth Elemental'!$X$6 / 10.8)), 1)</f>
        <v>268</v>
      </c>
      <c r="AW3" s="12">
        <f>CEILING('Wind Elemental'!$Z$6/ IF('Wind Elemental'!$X$6&lt; 10.8, Table14[[#This Row],[STR]], Table14[[#This Row],[STR]] / ('Wind Elemental'!$X$6 / 10.8)), 1)</f>
        <v>207</v>
      </c>
      <c r="AX3" s="12">
        <f>CEILING('Water Elemental'!$Z$6/ IF('Water Elemental'!$X$6&lt; 10.8, Table14[[#This Row],[STR]], Table14[[#This Row],[STR]] / ('Water Elemental'!$X$6 / 10.8)), 1)</f>
        <v>286</v>
      </c>
      <c r="AY3" s="8">
        <f>CEILING('Fire Elemental'!$Z$4/ IF('Fire Elemental'!$X$4&lt; 10.8, Table14[[#This Row],[STR]], Table14[[#This Row],[STR]] / ('Fire Elemental'!$X$4 / 10.8)), 1)</f>
        <v>466</v>
      </c>
      <c r="AZ3" s="8">
        <f>CEILING(Wyvern!$Z$4/ IF(Wyvern!$X$4&lt; 10.8, Table14[[#This Row],[STR]], Table14[[#This Row],[STR]] / (Wyvern!$X$4 / 10.8)), 1)</f>
        <v>564</v>
      </c>
      <c r="BA3" s="8">
        <f>CEILING('Evolved Wyvern'!$Z$4/ IF('Evolved Wyvern'!$X$4&lt; 10.8, Table14[[#This Row],[STR]], Table14[[#This Row],[STR]] / ('Evolved Wyvern'!$X$4 / 10.8)), 1)</f>
        <v>723</v>
      </c>
      <c r="BB3" s="8">
        <f>CEILING(Dragon!$Z$4/ IF(Dragon!$X$4&lt; 10.8, Table14[[#This Row],[STR]], Table14[[#This Row],[STR]] / (Dragon!$X$4 / 10.8)), 1)</f>
        <v>1220</v>
      </c>
    </row>
    <row r="4" spans="1:54" x14ac:dyDescent="0.3">
      <c r="A4" s="34">
        <v>2</v>
      </c>
      <c r="B4" s="34">
        <f>$B$3 + ((Table14[[#This Row],[Level]] / 10) + $B$3 / 8) * Table14[[#This Row],[Level]]</f>
        <v>10.4</v>
      </c>
      <c r="C4" s="34">
        <f xml:space="preserve"> 2*Table14[[#This Row],[INT]]</f>
        <v>18</v>
      </c>
      <c r="D4" s="34">
        <f>$D$3 + ($D$3 / 4) * Table14[[#This Row],[Level]]</f>
        <v>9</v>
      </c>
      <c r="E4" s="34">
        <f>$E$3 + ($E$3 / 4) * Table14[[#This Row],[Level]]</f>
        <v>10.5</v>
      </c>
      <c r="F4" s="34">
        <f>$F$3 + ($F$3 / 4) * Table14[[#This Row],[Level]]</f>
        <v>7.5</v>
      </c>
      <c r="G4" s="34">
        <f>$G$3 + ($G$3 / 4) * Table14[[#This Row],[Level]]</f>
        <v>9</v>
      </c>
      <c r="H4" s="34">
        <f>$H$3 + ($H$3 / 4) * Table14[[#This Row],[Level]]</f>
        <v>12</v>
      </c>
      <c r="I4" s="1">
        <f xml:space="preserve"> (4 * (Table14[[#This Row],[Level]] ^ 3))/7 + $I$3</f>
        <v>104.57142857142857</v>
      </c>
      <c r="K4" s="14">
        <f>CEILING('Blue Slime'!$B$5/ IF('Blue Slime'!$D$5&lt; 10.8, Table14[[#This Row],[STR]], Table14[[#This Row],[STR]] / ('Blue Slime'!$D$5 / 10.8)), 1)</f>
        <v>3</v>
      </c>
      <c r="L4" s="14">
        <f>CEILING('Green Slime'!$B$5/ IF('Green Slime'!$D$5&lt; 10.8, Table14[[#This Row],[STR]], Table14[[#This Row],[STR]] / ('Green Slime'!$D$5 / 10.8)), 1)</f>
        <v>4</v>
      </c>
      <c r="M4" s="14">
        <f>CEILING(Wolf!$B$6/ IF(Wolf!$D$6&lt; 10.8, Table14[[#This Row],[STR]], Table14[[#This Row],[STR]] / (Wolf!$D$6 / 10.8)), 1)</f>
        <v>10</v>
      </c>
      <c r="N4" s="14">
        <f>CEILING('Horned Wolf'!$B$5/ IF('Horned Wolf'!$D$5&lt; 10.8, Table14[[#This Row],[STR]], Table14[[#This Row],[STR]] / ('Horned Wolf'!$D$5 / 10.8)), 1)</f>
        <v>26</v>
      </c>
      <c r="O4" s="8">
        <f>CEILING(Spider!$B$7/ IF(Spider!$D$7&lt; 10.8, Table14[[#This Row],[STR]], Table14[[#This Row],[STR]] / (Spider!$D$7 / 10.8)), 1)</f>
        <v>25</v>
      </c>
      <c r="P4" s="8">
        <f>CEILING('Evolved Spider'!$B$8/ IF('Evolved Spider'!$D$8&lt; 10.8, Table14[[#This Row],[STR]], Table14[[#This Row],[STR]] / ('Evolved Spider'!$D$8 / 10.8)), 1)</f>
        <v>50</v>
      </c>
      <c r="Q4" s="8">
        <f>CEILING(Arachne!$B$4/ IF(Arachne!$D$4&lt; 10.8, Table14[[#This Row],[STR]], Table14[[#This Row],[STR]] / (Arachne!$D$4 / 10.8)), 1)</f>
        <v>66</v>
      </c>
      <c r="R4" s="12">
        <f>CEILING('Earth Elemental'!$B$6/ IF('Earth Elemental'!$D$6&lt; 10.8, Table14[[#This Row],[STR]], Table14[[#This Row],[STR]] / ('Earth Elemental'!$D$6 / 10.8)), 1)</f>
        <v>67</v>
      </c>
      <c r="S4" s="12">
        <f>CEILING('Wind Elemental'!$B$6/ IF('Wind Elemental'!$D$6&lt; 10.8, Table14[[#This Row],[STR]], Table14[[#This Row],[STR]] / ('Wind Elemental'!$D$6 / 10.8)), 1)</f>
        <v>60</v>
      </c>
      <c r="T4" s="12">
        <f>CEILING('Water Elemental'!$B$6/ IF('Water Elemental'!$D$6&lt; 10.8, Table14[[#This Row],[STR]], Table14[[#This Row],[STR]] / ('Water Elemental'!$D$6 / 10.8)), 1)</f>
        <v>91</v>
      </c>
      <c r="U4" s="12">
        <f>CEILING('Fire Elemental'!$B$4/ IF('Fire Elemental'!$D$4&lt; 10.8, Table14[[#This Row],[STR]], Table14[[#This Row],[STR]] / ('Fire Elemental'!$D$4 / 10.8)), 1)</f>
        <v>116</v>
      </c>
      <c r="V4" s="12">
        <f>CEILING(Wyvern!$B$4/ IF(Wyvern!$D$4&lt; 10.8, Table14[[#This Row],[STR]], Table14[[#This Row],[STR]] / (Wyvern!$D$4 / 10.8)), 1)</f>
        <v>157</v>
      </c>
      <c r="W4" s="12">
        <f>CEILING('Evolved Wyvern'!$B$4/ IF('Evolved Wyvern'!$D$4&lt; 10.8, Table14[[#This Row],[STR]], Table14[[#This Row],[STR]] / ('Evolved Wyvern'!$D$4 / 10.8)), 1)</f>
        <v>217</v>
      </c>
      <c r="X4" s="12">
        <f>CEILING(Dragon!$B$4/ IF(Dragon!$D$4&lt; 10.8, Table14[[#This Row],[STR]], Table14[[#This Row],[STR]] / (Dragon!$D$4 / 10.8)), 1)</f>
        <v>357</v>
      </c>
      <c r="Z4" s="14">
        <f>CEILING('Blue Slime'!$M$5/ IF('Blue Slime'!$O$5&lt; 10.8, Table14[[#This Row],[STR]], Table14[[#This Row],[STR]] / ('Blue Slime'!$O$5 / 10.8)), 1)</f>
        <v>4</v>
      </c>
      <c r="AA4" s="14">
        <f>CEILING('Green Slime'!$M$5/ IF('Green Slime'!$O$5&lt; 10.8, Table14[[#This Row],[STR]], Table14[[#This Row],[STR]] / ('Green Slime'!$O$5 / 10.8)), 1)</f>
        <v>7</v>
      </c>
      <c r="AB4" s="14">
        <f>CEILING(Wolf!$M$6/ IF(Wolf!$O$6&lt; 10.8, Table14[[#This Row],[STR]], Table14[[#This Row],[STR]] / (Wolf!$O$6 / 10.8)), 1)</f>
        <v>21</v>
      </c>
      <c r="AC4" s="14">
        <f>CEILING('Horned Wolf'!$M$5/ IF('Horned Wolf'!$O$5&lt; 10.8, Table14[[#This Row],[STR]], Table14[[#This Row],[STR]] / ('Horned Wolf'!$O$5 / 10.8)), 1)</f>
        <v>57</v>
      </c>
      <c r="AD4" s="8">
        <f>CEILING(Spider!$M$7/ IF(Spider!$O$7&lt; 10.8, Table14[[#This Row],[STR]], Table14[[#This Row],[STR]] / (Spider!$O$7 / 10.8)), 1)</f>
        <v>52</v>
      </c>
      <c r="AE4" s="8">
        <f>CEILING('Evolved Spider'!$M$8/ IF('Evolved Spider'!$O$8&lt; 10.8, Table14[[#This Row],[STR]], Table14[[#This Row],[STR]] / ('Evolved Spider'!$O$8 / 10.8)), 1)</f>
        <v>96</v>
      </c>
      <c r="AF4" s="8">
        <f>CEILING(Arachne!$M$4/ IF(Arachne!$O$4&lt; 10.8, Table14[[#This Row],[STR]], Table14[[#This Row],[STR]] / (Arachne!$O$4 / 10.8)), 1)</f>
        <v>129</v>
      </c>
      <c r="AG4" s="12">
        <f>CEILING('Earth Elemental'!$M$6/ IF('Earth Elemental'!$O$6&lt; 10.8, Table14[[#This Row],[STR]], Table14[[#This Row],[STR]] / ('Earth Elemental'!$O$6 / 10.8)), 1)</f>
        <v>117</v>
      </c>
      <c r="AH4" s="12">
        <f>CEILING('Wind Elemental'!$M$6/ IF('Wind Elemental'!$O$6&lt; 10.8, Table14[[#This Row],[STR]], Table14[[#This Row],[STR]] / ('Wind Elemental'!$O$6 / 10.8)), 1)</f>
        <v>97</v>
      </c>
      <c r="AI4" s="12">
        <f>CEILING('Water Elemental'!$M$6/ IF('Water Elemental'!$O$6&lt; 10.8, Table14[[#This Row],[STR]], Table14[[#This Row],[STR]] / ('Water Elemental'!$O$6 / 10.8)), 1)</f>
        <v>140</v>
      </c>
      <c r="AJ4" s="12">
        <f>CEILING('Fire Elemental'!$M$4/ IF('Fire Elemental'!$O$4&lt; 10.8, Table14[[#This Row],[STR]], Table14[[#This Row],[STR]] / ('Fire Elemental'!$O$4 / 10.8)), 1)</f>
        <v>204</v>
      </c>
      <c r="AK4" s="12">
        <f>CEILING(Wyvern!$M$4/ IF(Wyvern!$O$4&lt; 10.8, Table14[[#This Row],[STR]], Table14[[#This Row],[STR]] / (Wyvern!$O$4 / 10.8)), 1)</f>
        <v>258</v>
      </c>
      <c r="AL4" s="12">
        <f>CEILING('Evolved Wyvern'!$M$4/ IF('Evolved Wyvern'!$O$4&lt; 10.8, Table14[[#This Row],[STR]], Table14[[#This Row],[STR]] / ('Evolved Wyvern'!$O$4 / 10.8)), 1)</f>
        <v>343</v>
      </c>
      <c r="AM4" s="12">
        <f>CEILING(Dragon!$M$4/ IF(Dragon!$O$4&lt; 10.8, Table14[[#This Row],[STR]], Table14[[#This Row],[STR]] / (Dragon!$O$4 / 10.8)), 1)</f>
        <v>573</v>
      </c>
      <c r="AO4" s="14">
        <f>CEILING('Blue Slime'!$Z$5/ IF('Blue Slime'!$X$5&lt; 10.8, Table14[[#This Row],[STR]], Table14[[#This Row],[STR]] / ('Blue Slime'!$X$5 / 10.8)), 1)</f>
        <v>7</v>
      </c>
      <c r="AP4" s="14">
        <f>CEILING('Green Slime'!$Z$5/ IF('Green Slime'!$X$5&lt; 10.8, Table14[[#This Row],[STR]], Table14[[#This Row],[STR]] / ('Green Slime'!$X$5 / 10.8)), 1)</f>
        <v>13</v>
      </c>
      <c r="AQ4" s="14">
        <f>CEILING(Wolf!$Z$6/ IF(Wolf!$X$6&lt; 10.8, Table14[[#This Row],[STR]], Table14[[#This Row],[STR]] / (Wolf!$X$6 / 10.8)), 1)</f>
        <v>35</v>
      </c>
      <c r="AR4" s="14">
        <f>CEILING('Horned Wolf'!$Z$5/ IF('Horned Wolf'!$X$5&lt; 10.8, Table14[[#This Row],[STR]], Table14[[#This Row],[STR]] / ('Horned Wolf'!$X$5 / 10.8)), 1)</f>
        <v>99</v>
      </c>
      <c r="AS4" s="8">
        <f>CEILING(Spider!$Z$7/ IF(Spider!$X$7&lt; 10.8, Table14[[#This Row],[STR]], Table14[[#This Row],[STR]] / (Spider!$X$7 / 10.8)), 1)</f>
        <v>87</v>
      </c>
      <c r="AT4" s="8">
        <f>CEILING('Evolved Spider'!$Z$8/ IF('Evolved Spider'!$X$8&lt; 10.8, Table14[[#This Row],[STR]], Table14[[#This Row],[STR]] / ('Evolved Spider'!$X$8 / 10.8)), 1)</f>
        <v>157</v>
      </c>
      <c r="AU4" s="8">
        <f>CEILING(Arachne!$Z$4/ IF(Arachne!$X$4&lt; 10.8, Table14[[#This Row],[STR]], Table14[[#This Row],[STR]] / (Arachne!$X$4 / 10.8)), 1)</f>
        <v>214</v>
      </c>
      <c r="AV4" s="12">
        <f>CEILING('Earth Elemental'!$Z$6/ IF('Earth Elemental'!$X$6&lt; 10.8, Table14[[#This Row],[STR]], Table14[[#This Row],[STR]] / ('Earth Elemental'!$X$6 / 10.8)), 1)</f>
        <v>179</v>
      </c>
      <c r="AW4" s="12">
        <f>CEILING('Wind Elemental'!$Z$6/ IF('Wind Elemental'!$X$6&lt; 10.8, Table14[[#This Row],[STR]], Table14[[#This Row],[STR]] / ('Wind Elemental'!$X$6 / 10.8)), 1)</f>
        <v>138</v>
      </c>
      <c r="AX4" s="12">
        <f>CEILING('Water Elemental'!$Z$6/ IF('Water Elemental'!$X$6&lt; 10.8, Table14[[#This Row],[STR]], Table14[[#This Row],[STR]] / ('Water Elemental'!$X$6 / 10.8)), 1)</f>
        <v>191</v>
      </c>
      <c r="AY4" s="12">
        <f>CEILING('Fire Elemental'!$Z$4/ IF('Fire Elemental'!$X$4&lt; 10.8, Table14[[#This Row],[STR]], Table14[[#This Row],[STR]] / ('Fire Elemental'!$X$4 / 10.8)), 1)</f>
        <v>311</v>
      </c>
      <c r="AZ4" s="12">
        <f>CEILING(Wyvern!$Z$4/ IF(Wyvern!$X$4&lt; 10.8, Table14[[#This Row],[STR]], Table14[[#This Row],[STR]] / (Wyvern!$X$4 / 10.8)), 1)</f>
        <v>376</v>
      </c>
      <c r="BA4" s="12">
        <f>CEILING('Evolved Wyvern'!$Z$4/ IF('Evolved Wyvern'!$X$4&lt; 10.8, Table14[[#This Row],[STR]], Table14[[#This Row],[STR]] / ('Evolved Wyvern'!$X$4 / 10.8)), 1)</f>
        <v>482</v>
      </c>
      <c r="BB4" s="12">
        <f>CEILING(Dragon!$Z$4/ IF(Dragon!$X$4&lt; 10.8, Table14[[#This Row],[STR]], Table14[[#This Row],[STR]] / (Dragon!$X$4 / 10.8)), 1)</f>
        <v>813</v>
      </c>
    </row>
    <row r="5" spans="1:54" x14ac:dyDescent="0.3">
      <c r="A5" s="34">
        <v>3</v>
      </c>
      <c r="B5" s="34">
        <f>$B$3 + ((Table14[[#This Row],[Level]] / 10) + $B$3 / 8) * Table14[[#This Row],[Level]]</f>
        <v>11.9</v>
      </c>
      <c r="C5" s="34">
        <f xml:space="preserve"> 2*Table14[[#This Row],[INT]]</f>
        <v>21</v>
      </c>
      <c r="D5" s="34">
        <f>$D$3 + ($D$3 / 4) * Table14[[#This Row],[Level]]</f>
        <v>10.5</v>
      </c>
      <c r="E5" s="34">
        <f>$E$3 + ($E$3 / 4) * Table14[[#This Row],[Level]]</f>
        <v>12.25</v>
      </c>
      <c r="F5" s="34">
        <f>$F$3 + ($F$3 / 4) * Table14[[#This Row],[Level]]</f>
        <v>8.75</v>
      </c>
      <c r="G5" s="34">
        <f>$G$3 + ($G$3 / 4) * Table14[[#This Row],[Level]]</f>
        <v>10.5</v>
      </c>
      <c r="H5" s="34">
        <f>$H$3 + ($H$3 / 4) * Table14[[#This Row],[Level]]</f>
        <v>14</v>
      </c>
      <c r="I5" s="1">
        <f xml:space="preserve"> (4 * (Table14[[#This Row],[Level]] ^ 3))/7 + $I$3</f>
        <v>115.42857142857143</v>
      </c>
      <c r="K5" s="14">
        <f>CEILING('Blue Slime'!$B$5/ IF('Blue Slime'!$D$5&lt; 10.8, Table14[[#This Row],[STR]], Table14[[#This Row],[STR]] / ('Blue Slime'!$D$5 / 10.8)), 1)</f>
        <v>3</v>
      </c>
      <c r="L5" s="14">
        <f>CEILING('Green Slime'!$B$5/ IF('Green Slime'!$D$5&lt; 10.8, Table14[[#This Row],[STR]], Table14[[#This Row],[STR]] / ('Green Slime'!$D$5 / 10.8)), 1)</f>
        <v>4</v>
      </c>
      <c r="M5" s="14">
        <f>CEILING(Wolf!$B$6/ IF(Wolf!$D$6&lt; 10.8, Table14[[#This Row],[STR]], Table14[[#This Row],[STR]] / (Wolf!$D$6 / 10.8)), 1)</f>
        <v>9</v>
      </c>
      <c r="N5" s="14">
        <f>CEILING('Horned Wolf'!$B$5/ IF('Horned Wolf'!$D$5&lt; 10.8, Table14[[#This Row],[STR]], Table14[[#This Row],[STR]] / ('Horned Wolf'!$D$5 / 10.8)), 1)</f>
        <v>23</v>
      </c>
      <c r="O5" s="8">
        <f>CEILING(Spider!$B$7/ IF(Spider!$D$7&lt; 10.8, Table14[[#This Row],[STR]], Table14[[#This Row],[STR]] / (Spider!$D$7 / 10.8)), 1)</f>
        <v>22</v>
      </c>
      <c r="P5" s="8">
        <f>CEILING('Evolved Spider'!$B$8/ IF('Evolved Spider'!$D$8&lt; 10.8, Table14[[#This Row],[STR]], Table14[[#This Row],[STR]] / ('Evolved Spider'!$D$8 / 10.8)), 1)</f>
        <v>43</v>
      </c>
      <c r="Q5" s="8">
        <f>CEILING(Arachne!$B$4/ IF(Arachne!$D$4&lt; 10.8, Table14[[#This Row],[STR]], Table14[[#This Row],[STR]] / (Arachne!$D$4 / 10.8)), 1)</f>
        <v>56</v>
      </c>
      <c r="R5" s="12">
        <f>CEILING('Earth Elemental'!$B$6/ IF('Earth Elemental'!$D$6&lt; 10.8, Table14[[#This Row],[STR]], Table14[[#This Row],[STR]] / ('Earth Elemental'!$D$6 / 10.8)), 1)</f>
        <v>58</v>
      </c>
      <c r="S5" s="12">
        <f>CEILING('Wind Elemental'!$B$6/ IF('Wind Elemental'!$D$6&lt; 10.8, Table14[[#This Row],[STR]], Table14[[#This Row],[STR]] / ('Wind Elemental'!$D$6 / 10.8)), 1)</f>
        <v>52</v>
      </c>
      <c r="T5" s="12">
        <f>CEILING('Water Elemental'!$B$6/ IF('Water Elemental'!$D$6&lt; 10.8, Table14[[#This Row],[STR]], Table14[[#This Row],[STR]] / ('Water Elemental'!$D$6 / 10.8)), 1)</f>
        <v>78</v>
      </c>
      <c r="U5" s="12">
        <f>CEILING('Fire Elemental'!$B$4/ IF('Fire Elemental'!$D$4&lt; 10.8, Table14[[#This Row],[STR]], Table14[[#This Row],[STR]] / ('Fire Elemental'!$D$4 / 10.8)), 1)</f>
        <v>99</v>
      </c>
      <c r="V5" s="12">
        <f>CEILING(Wyvern!$B$4/ IF(Wyvern!$D$4&lt; 10.8, Table14[[#This Row],[STR]], Table14[[#This Row],[STR]] / (Wyvern!$D$4 / 10.8)), 1)</f>
        <v>134</v>
      </c>
      <c r="W5" s="12">
        <f>CEILING('Evolved Wyvern'!$B$4/ IF('Evolved Wyvern'!$D$4&lt; 10.8, Table14[[#This Row],[STR]], Table14[[#This Row],[STR]] / ('Evolved Wyvern'!$D$4 / 10.8)), 1)</f>
        <v>186</v>
      </c>
      <c r="X5" s="12">
        <f>CEILING(Dragon!$B$4/ IF(Dragon!$D$4&lt; 10.8, Table14[[#This Row],[STR]], Table14[[#This Row],[STR]] / (Dragon!$D$4 / 10.8)), 1)</f>
        <v>306</v>
      </c>
      <c r="Z5" s="14">
        <f>CEILING('Blue Slime'!$M$5/ IF('Blue Slime'!$O$5&lt; 10.8, Table14[[#This Row],[STR]], Table14[[#This Row],[STR]] / ('Blue Slime'!$O$5 / 10.8)), 1)</f>
        <v>4</v>
      </c>
      <c r="AA5" s="14">
        <f>CEILING('Green Slime'!$M$5/ IF('Green Slime'!$O$5&lt; 10.8, Table14[[#This Row],[STR]], Table14[[#This Row],[STR]] / ('Green Slime'!$O$5 / 10.8)), 1)</f>
        <v>6</v>
      </c>
      <c r="AB5" s="14">
        <f>CEILING(Wolf!$M$6/ IF(Wolf!$O$6&lt; 10.8, Table14[[#This Row],[STR]], Table14[[#This Row],[STR]] / (Wolf!$O$6 / 10.8)), 1)</f>
        <v>18</v>
      </c>
      <c r="AC5" s="14">
        <f>CEILING('Horned Wolf'!$M$5/ IF('Horned Wolf'!$O$5&lt; 10.8, Table14[[#This Row],[STR]], Table14[[#This Row],[STR]] / ('Horned Wolf'!$O$5 / 10.8)), 1)</f>
        <v>49</v>
      </c>
      <c r="AD5" s="8">
        <f>CEILING(Spider!$M$7/ IF(Spider!$O$7&lt; 10.8, Table14[[#This Row],[STR]], Table14[[#This Row],[STR]] / (Spider!$O$7 / 10.8)), 1)</f>
        <v>44</v>
      </c>
      <c r="AE5" s="8">
        <f>CEILING('Evolved Spider'!$M$8/ IF('Evolved Spider'!$O$8&lt; 10.8, Table14[[#This Row],[STR]], Table14[[#This Row],[STR]] / ('Evolved Spider'!$O$8 / 10.8)), 1)</f>
        <v>82</v>
      </c>
      <c r="AF5" s="8">
        <f>CEILING(Arachne!$M$4/ IF(Arachne!$O$4&lt; 10.8, Table14[[#This Row],[STR]], Table14[[#This Row],[STR]] / (Arachne!$O$4 / 10.8)), 1)</f>
        <v>111</v>
      </c>
      <c r="AG5" s="12">
        <f>CEILING('Earth Elemental'!$M$6/ IF('Earth Elemental'!$O$6&lt; 10.8, Table14[[#This Row],[STR]], Table14[[#This Row],[STR]] / ('Earth Elemental'!$O$6 / 10.8)), 1)</f>
        <v>101</v>
      </c>
      <c r="AH5" s="12">
        <f>CEILING('Wind Elemental'!$M$6/ IF('Wind Elemental'!$O$6&lt; 10.8, Table14[[#This Row],[STR]], Table14[[#This Row],[STR]] / ('Wind Elemental'!$O$6 / 10.8)), 1)</f>
        <v>83</v>
      </c>
      <c r="AI5" s="12">
        <f>CEILING('Water Elemental'!$M$6/ IF('Water Elemental'!$O$6&lt; 10.8, Table14[[#This Row],[STR]], Table14[[#This Row],[STR]] / ('Water Elemental'!$O$6 / 10.8)), 1)</f>
        <v>120</v>
      </c>
      <c r="AJ5" s="12">
        <f>CEILING('Fire Elemental'!$M$4/ IF('Fire Elemental'!$O$4&lt; 10.8, Table14[[#This Row],[STR]], Table14[[#This Row],[STR]] / ('Fire Elemental'!$O$4 / 10.8)), 1)</f>
        <v>175</v>
      </c>
      <c r="AK5" s="12">
        <f>CEILING(Wyvern!$M$4/ IF(Wyvern!$O$4&lt; 10.8, Table14[[#This Row],[STR]], Table14[[#This Row],[STR]] / (Wyvern!$O$4 / 10.8)), 1)</f>
        <v>222</v>
      </c>
      <c r="AL5" s="12">
        <f>CEILING('Evolved Wyvern'!$M$4/ IF('Evolved Wyvern'!$O$4&lt; 10.8, Table14[[#This Row],[STR]], Table14[[#This Row],[STR]] / ('Evolved Wyvern'!$O$4 / 10.8)), 1)</f>
        <v>294</v>
      </c>
      <c r="AM5" s="12">
        <f>CEILING(Dragon!$M$4/ IF(Dragon!$O$4&lt; 10.8, Table14[[#This Row],[STR]], Table14[[#This Row],[STR]] / (Dragon!$O$4 / 10.8)), 1)</f>
        <v>491</v>
      </c>
      <c r="AO5" s="14">
        <f>CEILING('Blue Slime'!$Z$5/ IF('Blue Slime'!$X$5&lt; 10.8, Table14[[#This Row],[STR]], Table14[[#This Row],[STR]] / ('Blue Slime'!$X$5 / 10.8)), 1)</f>
        <v>6</v>
      </c>
      <c r="AP5" s="14">
        <f>CEILING('Green Slime'!$Z$5/ IF('Green Slime'!$X$5&lt; 10.8, Table14[[#This Row],[STR]], Table14[[#This Row],[STR]] / ('Green Slime'!$X$5 / 10.8)), 1)</f>
        <v>11</v>
      </c>
      <c r="AQ5" s="14">
        <f>CEILING(Wolf!$Z$6/ IF(Wolf!$X$6&lt; 10.8, Table14[[#This Row],[STR]], Table14[[#This Row],[STR]] / (Wolf!$X$6 / 10.8)), 1)</f>
        <v>30</v>
      </c>
      <c r="AR5" s="14">
        <f>CEILING('Horned Wolf'!$Z$5/ IF('Horned Wolf'!$X$5&lt; 10.8, Table14[[#This Row],[STR]], Table14[[#This Row],[STR]] / ('Horned Wolf'!$X$5 / 10.8)), 1)</f>
        <v>85</v>
      </c>
      <c r="AS5" s="8">
        <f>CEILING(Spider!$Z$7/ IF(Spider!$X$7&lt; 10.8, Table14[[#This Row],[STR]], Table14[[#This Row],[STR]] / (Spider!$X$7 / 10.8)), 1)</f>
        <v>75</v>
      </c>
      <c r="AT5" s="8">
        <f>CEILING('Evolved Spider'!$Z$8/ IF('Evolved Spider'!$X$8&lt; 10.8, Table14[[#This Row],[STR]], Table14[[#This Row],[STR]] / ('Evolved Spider'!$X$8 / 10.8)), 1)</f>
        <v>134</v>
      </c>
      <c r="AU5" s="8">
        <f>CEILING(Arachne!$Z$4/ IF(Arachne!$X$4&lt; 10.8, Table14[[#This Row],[STR]], Table14[[#This Row],[STR]] / (Arachne!$X$4 / 10.8)), 1)</f>
        <v>183</v>
      </c>
      <c r="AV5" s="12">
        <f>CEILING('Earth Elemental'!$Z$6/ IF('Earth Elemental'!$X$6&lt; 10.8, Table14[[#This Row],[STR]], Table14[[#This Row],[STR]] / ('Earth Elemental'!$X$6 / 10.8)), 1)</f>
        <v>154</v>
      </c>
      <c r="AW5" s="12">
        <f>CEILING('Wind Elemental'!$Z$6/ IF('Wind Elemental'!$X$6&lt; 10.8, Table14[[#This Row],[STR]], Table14[[#This Row],[STR]] / ('Wind Elemental'!$X$6 / 10.8)), 1)</f>
        <v>119</v>
      </c>
      <c r="AX5" s="12">
        <f>CEILING('Water Elemental'!$Z$6/ IF('Water Elemental'!$X$6&lt; 10.8, Table14[[#This Row],[STR]], Table14[[#This Row],[STR]] / ('Water Elemental'!$X$6 / 10.8)), 1)</f>
        <v>163</v>
      </c>
      <c r="AY5" s="12">
        <f>CEILING('Fire Elemental'!$Z$4/ IF('Fire Elemental'!$X$4&lt; 10.8, Table14[[#This Row],[STR]], Table14[[#This Row],[STR]] / ('Fire Elemental'!$X$4 / 10.8)), 1)</f>
        <v>267</v>
      </c>
      <c r="AZ5" s="12">
        <f>CEILING(Wyvern!$Z$4/ IF(Wyvern!$X$4&lt; 10.8, Table14[[#This Row],[STR]], Table14[[#This Row],[STR]] / (Wyvern!$X$4 / 10.8)), 1)</f>
        <v>322</v>
      </c>
      <c r="BA5" s="12">
        <f>CEILING('Evolved Wyvern'!$Z$4/ IF('Evolved Wyvern'!$X$4&lt; 10.8, Table14[[#This Row],[STR]], Table14[[#This Row],[STR]] / ('Evolved Wyvern'!$X$4 / 10.8)), 1)</f>
        <v>413</v>
      </c>
      <c r="BB5" s="12">
        <f>CEILING(Dragon!$Z$4/ IF(Dragon!$X$4&lt; 10.8, Table14[[#This Row],[STR]], Table14[[#This Row],[STR]] / (Dragon!$X$4 / 10.8)), 1)</f>
        <v>697</v>
      </c>
    </row>
    <row r="6" spans="1:54" x14ac:dyDescent="0.3">
      <c r="A6" s="30">
        <v>4</v>
      </c>
      <c r="B6" s="30">
        <f>$B$3 + ((Table14[[#This Row],[Level]] / 10) + $B$3 / 8) * Table14[[#This Row],[Level]]</f>
        <v>13.6</v>
      </c>
      <c r="C6" s="30">
        <f xml:space="preserve"> 2*Table14[[#This Row],[INT]]</f>
        <v>24</v>
      </c>
      <c r="D6" s="30">
        <f>$D$3 + ($D$3 / 4) * Table14[[#This Row],[Level]]</f>
        <v>12</v>
      </c>
      <c r="E6" s="30">
        <f>$E$3 + ($E$3 / 4) * Table14[[#This Row],[Level]]</f>
        <v>14</v>
      </c>
      <c r="F6" s="30">
        <f>$F$3 + ($F$3 / 4) * Table14[[#This Row],[Level]]</f>
        <v>10</v>
      </c>
      <c r="G6" s="30">
        <f>$G$3 + ($G$3 / 4) * Table14[[#This Row],[Level]]</f>
        <v>12</v>
      </c>
      <c r="H6" s="30">
        <f>$H$3 + ($H$3 / 4) * Table14[[#This Row],[Level]]</f>
        <v>16</v>
      </c>
      <c r="I6" s="30">
        <f xml:space="preserve"> (4 * (Table14[[#This Row],[Level]] ^ 3))/7 + $I$3</f>
        <v>136.57142857142856</v>
      </c>
      <c r="K6" s="14">
        <f>CEILING('Blue Slime'!$B$5/ IF('Blue Slime'!$D$5&lt; 10.8, Table14[[#This Row],[STR]], Table14[[#This Row],[STR]] / ('Blue Slime'!$D$5 / 10.8)), 1)</f>
        <v>3</v>
      </c>
      <c r="L6" s="14">
        <f>CEILING('Green Slime'!$B$5/ IF('Green Slime'!$D$5&lt; 10.8, Table14[[#This Row],[STR]], Table14[[#This Row],[STR]] / ('Green Slime'!$D$5 / 10.8)), 1)</f>
        <v>3</v>
      </c>
      <c r="M6" s="14">
        <f>CEILING(Wolf!$B$6/ IF(Wolf!$D$6&lt; 10.8, Table14[[#This Row],[STR]], Table14[[#This Row],[STR]] / (Wolf!$D$6 / 10.8)), 1)</f>
        <v>8</v>
      </c>
      <c r="N6" s="14">
        <f>CEILING('Horned Wolf'!$B$5/ IF('Horned Wolf'!$D$5&lt; 10.8, Table14[[#This Row],[STR]], Table14[[#This Row],[STR]] / ('Horned Wolf'!$D$5 / 10.8)), 1)</f>
        <v>20</v>
      </c>
      <c r="O6" s="8">
        <f>CEILING(Spider!$B$7/ IF(Spider!$D$7&lt; 10.8, Table14[[#This Row],[STR]], Table14[[#This Row],[STR]] / (Spider!$D$7 / 10.8)), 1)</f>
        <v>19</v>
      </c>
      <c r="P6" s="8">
        <f>CEILING('Evolved Spider'!$B$8/ IF('Evolved Spider'!$D$8&lt; 10.8, Table14[[#This Row],[STR]], Table14[[#This Row],[STR]] / ('Evolved Spider'!$D$8 / 10.8)), 1)</f>
        <v>37</v>
      </c>
      <c r="Q6" s="8">
        <f>CEILING(Arachne!$B$4/ IF(Arachne!$D$4&lt; 10.8, Table14[[#This Row],[STR]], Table14[[#This Row],[STR]] / (Arachne!$D$4 / 10.8)), 1)</f>
        <v>49</v>
      </c>
      <c r="R6" s="12">
        <f>CEILING('Earth Elemental'!$B$6/ IF('Earth Elemental'!$D$6&lt; 10.8, Table14[[#This Row],[STR]], Table14[[#This Row],[STR]] / ('Earth Elemental'!$D$6 / 10.8)), 1)</f>
        <v>51</v>
      </c>
      <c r="S6" s="12">
        <f>CEILING('Wind Elemental'!$B$6/ IF('Wind Elemental'!$D$6&lt; 10.8, Table14[[#This Row],[STR]], Table14[[#This Row],[STR]] / ('Wind Elemental'!$D$6 / 10.8)), 1)</f>
        <v>45</v>
      </c>
      <c r="T6" s="12">
        <f>CEILING('Water Elemental'!$B$6/ IF('Water Elemental'!$D$6&lt; 10.8, Table14[[#This Row],[STR]], Table14[[#This Row],[STR]] / ('Water Elemental'!$D$6 / 10.8)), 1)</f>
        <v>68</v>
      </c>
      <c r="U6" s="12">
        <f>CEILING('Fire Elemental'!$B$4/ IF('Fire Elemental'!$D$4&lt; 10.8, Table14[[#This Row],[STR]], Table14[[#This Row],[STR]] / ('Fire Elemental'!$D$4 / 10.8)), 1)</f>
        <v>87</v>
      </c>
      <c r="V6" s="12">
        <f>CEILING(Wyvern!$B$4/ IF(Wyvern!$D$4&lt; 10.8, Table14[[#This Row],[STR]], Table14[[#This Row],[STR]] / (Wyvern!$D$4 / 10.8)), 1)</f>
        <v>118</v>
      </c>
      <c r="W6" s="12">
        <f>CEILING('Evolved Wyvern'!$B$4/ IF('Evolved Wyvern'!$D$4&lt; 10.8, Table14[[#This Row],[STR]], Table14[[#This Row],[STR]] / ('Evolved Wyvern'!$D$4 / 10.8)), 1)</f>
        <v>163</v>
      </c>
      <c r="X6" s="12">
        <f>CEILING(Dragon!$B$4/ IF(Dragon!$D$4&lt; 10.8, Table14[[#This Row],[STR]], Table14[[#This Row],[STR]] / (Dragon!$D$4 / 10.8)), 1)</f>
        <v>268</v>
      </c>
      <c r="Z6" s="14">
        <f>CEILING('Blue Slime'!$M$5/ IF('Blue Slime'!$O$5&lt; 10.8, Table14[[#This Row],[STR]], Table14[[#This Row],[STR]] / ('Blue Slime'!$O$5 / 10.8)), 1)</f>
        <v>3</v>
      </c>
      <c r="AA6" s="14">
        <f>CEILING('Green Slime'!$M$5/ IF('Green Slime'!$O$5&lt; 10.8, Table14[[#This Row],[STR]], Table14[[#This Row],[STR]] / ('Green Slime'!$O$5 / 10.8)), 1)</f>
        <v>6</v>
      </c>
      <c r="AB6" s="14">
        <f>CEILING(Wolf!$M$6/ IF(Wolf!$O$6&lt; 10.8, Table14[[#This Row],[STR]], Table14[[#This Row],[STR]] / (Wolf!$O$6 / 10.8)), 1)</f>
        <v>16</v>
      </c>
      <c r="AC6" s="14">
        <f>CEILING('Horned Wolf'!$M$5/ IF('Horned Wolf'!$O$5&lt; 10.8, Table14[[#This Row],[STR]], Table14[[#This Row],[STR]] / ('Horned Wolf'!$O$5 / 10.8)), 1)</f>
        <v>43</v>
      </c>
      <c r="AD6" s="8">
        <f>CEILING(Spider!$M$7/ IF(Spider!$O$7&lt; 10.8, Table14[[#This Row],[STR]], Table14[[#This Row],[STR]] / (Spider!$O$7 / 10.8)), 1)</f>
        <v>39</v>
      </c>
      <c r="AE6" s="8">
        <f>CEILING('Evolved Spider'!$M$8/ IF('Evolved Spider'!$O$8&lt; 10.8, Table14[[#This Row],[STR]], Table14[[#This Row],[STR]] / ('Evolved Spider'!$O$8 / 10.8)), 1)</f>
        <v>72</v>
      </c>
      <c r="AF6" s="8">
        <f>CEILING(Arachne!$M$4/ IF(Arachne!$O$4&lt; 10.8, Table14[[#This Row],[STR]], Table14[[#This Row],[STR]] / (Arachne!$O$4 / 10.8)), 1)</f>
        <v>97</v>
      </c>
      <c r="AG6" s="12">
        <f>CEILING('Earth Elemental'!$M$6/ IF('Earth Elemental'!$O$6&lt; 10.8, Table14[[#This Row],[STR]], Table14[[#This Row],[STR]] / ('Earth Elemental'!$O$6 / 10.8)), 1)</f>
        <v>88</v>
      </c>
      <c r="AH6" s="12">
        <f>CEILING('Wind Elemental'!$M$6/ IF('Wind Elemental'!$O$6&lt; 10.8, Table14[[#This Row],[STR]], Table14[[#This Row],[STR]] / ('Wind Elemental'!$O$6 / 10.8)), 1)</f>
        <v>73</v>
      </c>
      <c r="AI6" s="12">
        <f>CEILING('Water Elemental'!$M$6/ IF('Water Elemental'!$O$6&lt; 10.8, Table14[[#This Row],[STR]], Table14[[#This Row],[STR]] / ('Water Elemental'!$O$6 / 10.8)), 1)</f>
        <v>105</v>
      </c>
      <c r="AJ6" s="12">
        <f>CEILING('Fire Elemental'!$M$4/ IF('Fire Elemental'!$O$4&lt; 10.8, Table14[[#This Row],[STR]], Table14[[#This Row],[STR]] / ('Fire Elemental'!$O$4 / 10.8)), 1)</f>
        <v>153</v>
      </c>
      <c r="AK6" s="12">
        <f>CEILING(Wyvern!$M$4/ IF(Wyvern!$O$4&lt; 10.8, Table14[[#This Row],[STR]], Table14[[#This Row],[STR]] / (Wyvern!$O$4 / 10.8)), 1)</f>
        <v>194</v>
      </c>
      <c r="AL6" s="12">
        <f>CEILING('Evolved Wyvern'!$M$4/ IF('Evolved Wyvern'!$O$4&lt; 10.8, Table14[[#This Row],[STR]], Table14[[#This Row],[STR]] / ('Evolved Wyvern'!$O$4 / 10.8)), 1)</f>
        <v>258</v>
      </c>
      <c r="AM6" s="12">
        <f>CEILING(Dragon!$M$4/ IF(Dragon!$O$4&lt; 10.8, Table14[[#This Row],[STR]], Table14[[#This Row],[STR]] / (Dragon!$O$4 / 10.8)), 1)</f>
        <v>430</v>
      </c>
      <c r="AO6" s="14">
        <f>CEILING('Blue Slime'!$Z$5/ IF('Blue Slime'!$X$5&lt; 10.8, Table14[[#This Row],[STR]], Table14[[#This Row],[STR]] / ('Blue Slime'!$X$5 / 10.8)), 1)</f>
        <v>6</v>
      </c>
      <c r="AP6" s="14">
        <f>CEILING('Green Slime'!$Z$5/ IF('Green Slime'!$X$5&lt; 10.8, Table14[[#This Row],[STR]], Table14[[#This Row],[STR]] / ('Green Slime'!$X$5 / 10.8)), 1)</f>
        <v>10</v>
      </c>
      <c r="AQ6" s="14">
        <f>CEILING(Wolf!$Z$6/ IF(Wolf!$X$6&lt; 10.8, Table14[[#This Row],[STR]], Table14[[#This Row],[STR]] / (Wolf!$X$6 / 10.8)), 1)</f>
        <v>27</v>
      </c>
      <c r="AR6" s="14">
        <f>CEILING('Horned Wolf'!$Z$5/ IF('Horned Wolf'!$X$5&lt; 10.8, Table14[[#This Row],[STR]], Table14[[#This Row],[STR]] / ('Horned Wolf'!$X$5 / 10.8)), 1)</f>
        <v>74</v>
      </c>
      <c r="AS6" s="8">
        <f>CEILING(Spider!$Z$7/ IF(Spider!$X$7&lt; 10.8, Table14[[#This Row],[STR]], Table14[[#This Row],[STR]] / (Spider!$X$7 / 10.8)), 1)</f>
        <v>65</v>
      </c>
      <c r="AT6" s="8">
        <f>CEILING('Evolved Spider'!$Z$8/ IF('Evolved Spider'!$X$8&lt; 10.8, Table14[[#This Row],[STR]], Table14[[#This Row],[STR]] / ('Evolved Spider'!$X$8 / 10.8)), 1)</f>
        <v>118</v>
      </c>
      <c r="AU6" s="8">
        <f>CEILING(Arachne!$Z$4/ IF(Arachne!$X$4&lt; 10.8, Table14[[#This Row],[STR]], Table14[[#This Row],[STR]] / (Arachne!$X$4 / 10.8)), 1)</f>
        <v>160</v>
      </c>
      <c r="AV6" s="12">
        <f>CEILING('Earth Elemental'!$Z$6/ IF('Earth Elemental'!$X$6&lt; 10.8, Table14[[#This Row],[STR]], Table14[[#This Row],[STR]] / ('Earth Elemental'!$X$6 / 10.8)), 1)</f>
        <v>134</v>
      </c>
      <c r="AW6" s="12">
        <f>CEILING('Wind Elemental'!$Z$6/ IF('Wind Elemental'!$X$6&lt; 10.8, Table14[[#This Row],[STR]], Table14[[#This Row],[STR]] / ('Wind Elemental'!$X$6 / 10.8)), 1)</f>
        <v>104</v>
      </c>
      <c r="AX6" s="12">
        <f>CEILING('Water Elemental'!$Z$6/ IF('Water Elemental'!$X$6&lt; 10.8, Table14[[#This Row],[STR]], Table14[[#This Row],[STR]] / ('Water Elemental'!$X$6 / 10.8)), 1)</f>
        <v>143</v>
      </c>
      <c r="AY6" s="12">
        <f>CEILING('Fire Elemental'!$Z$4/ IF('Fire Elemental'!$X$4&lt; 10.8, Table14[[#This Row],[STR]], Table14[[#This Row],[STR]] / ('Fire Elemental'!$X$4 / 10.8)), 1)</f>
        <v>233</v>
      </c>
      <c r="AZ6" s="12">
        <f>CEILING(Wyvern!$Z$4/ IF(Wyvern!$X$4&lt; 10.8, Table14[[#This Row],[STR]], Table14[[#This Row],[STR]] / (Wyvern!$X$4 / 10.8)), 1)</f>
        <v>282</v>
      </c>
      <c r="BA6" s="12">
        <f>CEILING('Evolved Wyvern'!$Z$4/ IF('Evolved Wyvern'!$X$4&lt; 10.8, Table14[[#This Row],[STR]], Table14[[#This Row],[STR]] / ('Evolved Wyvern'!$X$4 / 10.8)), 1)</f>
        <v>362</v>
      </c>
      <c r="BB6" s="12">
        <f>CEILING(Dragon!$Z$4/ IF(Dragon!$X$4&lt; 10.8, Table14[[#This Row],[STR]], Table14[[#This Row],[STR]] / (Dragon!$X$4 / 10.8)), 1)</f>
        <v>610</v>
      </c>
    </row>
    <row r="7" spans="1:54" x14ac:dyDescent="0.3">
      <c r="A7" s="34">
        <v>5</v>
      </c>
      <c r="B7" s="34">
        <f>$B$3 + ((Table14[[#This Row],[Level]] / 10) + $B$3 / 8) * Table14[[#This Row],[Level]] + Equipment!$O$10</f>
        <v>20.5</v>
      </c>
      <c r="C7" s="34">
        <f xml:space="preserve"> 2*Table14[[#This Row],[INT]]</f>
        <v>33</v>
      </c>
      <c r="D7" s="34">
        <f>$D$3 + ($D$3 / 4) * Table14[[#This Row],[Level]] + Equipment!$P$10</f>
        <v>16.5</v>
      </c>
      <c r="E7" s="34">
        <f>$E$3 + ($E$3 / 4) * Table14[[#This Row],[Level]] + Equipment!$Q$10</f>
        <v>19.75</v>
      </c>
      <c r="F7" s="34">
        <f>$F$3 + ($F$3 / 4) * Table14[[#This Row],[Level]] + Equipment!$R$10</f>
        <v>14.25</v>
      </c>
      <c r="G7" s="34">
        <f>$G$3 + ($G$3 / 4) * Table14[[#This Row],[Level]] + Equipment!$S$10</f>
        <v>16.5</v>
      </c>
      <c r="H7" s="34">
        <f>$H$3 + ($H$3 / 4) * Table14[[#This Row],[Level]] + Equipment!$T$10</f>
        <v>22</v>
      </c>
      <c r="I7" s="1">
        <f xml:space="preserve"> (4 * (Table14[[#This Row],[Level]] ^ 3))/7 + $I$3</f>
        <v>171.42857142857144</v>
      </c>
      <c r="K7" s="14">
        <f>CEILING('Blue Slime'!$B$5/ IF('Blue Slime'!$D$5&lt; 10.8, Table14[[#This Row],[STR]], Table14[[#This Row],[STR]] / ('Blue Slime'!$D$5 / 10.8)), 1)</f>
        <v>2</v>
      </c>
      <c r="L7" s="14">
        <f>CEILING('Green Slime'!$B$5/ IF('Green Slime'!$D$5&lt; 10.8, Table14[[#This Row],[STR]], Table14[[#This Row],[STR]] / ('Green Slime'!$D$5 / 10.8)), 1)</f>
        <v>2</v>
      </c>
      <c r="M7" s="14">
        <f>CEILING(Wolf!$B$6/ IF(Wolf!$D$6&lt; 10.8, Table14[[#This Row],[STR]], Table14[[#This Row],[STR]] / (Wolf!$D$6 / 10.8)), 1)</f>
        <v>5</v>
      </c>
      <c r="N7" s="14">
        <f>CEILING('Horned Wolf'!$B$5/ IF('Horned Wolf'!$D$5&lt; 10.8, Table14[[#This Row],[STR]], Table14[[#This Row],[STR]] / ('Horned Wolf'!$D$5 / 10.8)), 1)</f>
        <v>14</v>
      </c>
      <c r="O7" s="8">
        <f>CEILING(Spider!$B$7/ IF(Spider!$D$7&lt; 10.8, Table14[[#This Row],[STR]], Table14[[#This Row],[STR]] / (Spider!$D$7 / 10.8)), 1)</f>
        <v>14</v>
      </c>
      <c r="P7" s="8">
        <f>CEILING('Evolved Spider'!$B$8/ IF('Evolved Spider'!$D$8&lt; 10.8, Table14[[#This Row],[STR]], Table14[[#This Row],[STR]] / ('Evolved Spider'!$D$8 / 10.8)), 1)</f>
        <v>26</v>
      </c>
      <c r="Q7" s="8">
        <f>CEILING(Arachne!$B$4/ IF(Arachne!$D$4&lt; 10.8, Table14[[#This Row],[STR]], Table14[[#This Row],[STR]] / (Arachne!$D$4 / 10.8)), 1)</f>
        <v>35</v>
      </c>
      <c r="R7" s="12">
        <f>CEILING('Earth Elemental'!$B$6/ IF('Earth Elemental'!$D$6&lt; 10.8, Table14[[#This Row],[STR]], Table14[[#This Row],[STR]] / ('Earth Elemental'!$D$6 / 10.8)), 1)</f>
        <v>36</v>
      </c>
      <c r="S7" s="12">
        <f>CEILING('Wind Elemental'!$B$6/ IF('Wind Elemental'!$D$6&lt; 10.8, Table14[[#This Row],[STR]], Table14[[#This Row],[STR]] / ('Wind Elemental'!$D$6 / 10.8)), 1)</f>
        <v>32</v>
      </c>
      <c r="T7" s="12">
        <f>CEILING('Water Elemental'!$B$6/ IF('Water Elemental'!$D$6&lt; 10.8, Table14[[#This Row],[STR]], Table14[[#This Row],[STR]] / ('Water Elemental'!$D$6 / 10.8)), 1)</f>
        <v>48</v>
      </c>
      <c r="U7" s="12">
        <f>CEILING('Fire Elemental'!$B$4/ IF('Fire Elemental'!$D$4&lt; 10.8, Table14[[#This Row],[STR]], Table14[[#This Row],[STR]] / ('Fire Elemental'!$D$4 / 10.8)), 1)</f>
        <v>61</v>
      </c>
      <c r="V7" s="12">
        <f>CEILING(Wyvern!$B$4/ IF(Wyvern!$D$4&lt; 10.8, Table14[[#This Row],[STR]], Table14[[#This Row],[STR]] / (Wyvern!$D$4 / 10.8)), 1)</f>
        <v>83</v>
      </c>
      <c r="W7" s="12">
        <f>CEILING('Evolved Wyvern'!$B$4/ IF('Evolved Wyvern'!$D$4&lt; 10.8, Table14[[#This Row],[STR]], Table14[[#This Row],[STR]] / ('Evolved Wyvern'!$D$4 / 10.8)), 1)</f>
        <v>114</v>
      </c>
      <c r="X7" s="12">
        <f>CEILING(Dragon!$B$4/ IF(Dragon!$D$4&lt; 10.8, Table14[[#This Row],[STR]], Table14[[#This Row],[STR]] / (Dragon!$D$4 / 10.8)), 1)</f>
        <v>188</v>
      </c>
      <c r="Z7" s="14">
        <f>CEILING('Blue Slime'!$M$5/ IF('Blue Slime'!$O$5&lt; 10.8, Table14[[#This Row],[STR]], Table14[[#This Row],[STR]] / ('Blue Slime'!$O$5 / 10.8)), 1)</f>
        <v>3</v>
      </c>
      <c r="AA7" s="14">
        <f>CEILING('Green Slime'!$M$5/ IF('Green Slime'!$O$5&lt; 10.8, Table14[[#This Row],[STR]], Table14[[#This Row],[STR]] / ('Green Slime'!$O$5 / 10.8)), 1)</f>
        <v>4</v>
      </c>
      <c r="AB7" s="14">
        <f>CEILING(Wolf!$M$6/ IF(Wolf!$O$6&lt; 10.8, Table14[[#This Row],[STR]], Table14[[#This Row],[STR]] / (Wolf!$O$6 / 10.8)), 1)</f>
        <v>11</v>
      </c>
      <c r="AC7" s="14">
        <f>CEILING('Horned Wolf'!$M$5/ IF('Horned Wolf'!$O$5&lt; 10.8, Table14[[#This Row],[STR]], Table14[[#This Row],[STR]] / ('Horned Wolf'!$O$5 / 10.8)), 1)</f>
        <v>30</v>
      </c>
      <c r="AD7" s="8">
        <f>CEILING(Spider!$M$7/ IF(Spider!$O$7&lt; 10.8, Table14[[#This Row],[STR]], Table14[[#This Row],[STR]] / (Spider!$O$7 / 10.8)), 1)</f>
        <v>27</v>
      </c>
      <c r="AE7" s="8">
        <f>CEILING('Evolved Spider'!$M$8/ IF('Evolved Spider'!$O$8&lt; 10.8, Table14[[#This Row],[STR]], Table14[[#This Row],[STR]] / ('Evolved Spider'!$O$8 / 10.8)), 1)</f>
        <v>51</v>
      </c>
      <c r="AF7" s="8">
        <f>CEILING(Arachne!$M$4/ IF(Arachne!$O$4&lt; 10.8, Table14[[#This Row],[STR]], Table14[[#This Row],[STR]] / (Arachne!$O$4 / 10.8)), 1)</f>
        <v>68</v>
      </c>
      <c r="AG7" s="12">
        <f>CEILING('Earth Elemental'!$M$6/ IF('Earth Elemental'!$O$6&lt; 10.8, Table14[[#This Row],[STR]], Table14[[#This Row],[STR]] / ('Earth Elemental'!$O$6 / 10.8)), 1)</f>
        <v>62</v>
      </c>
      <c r="AH7" s="12">
        <f>CEILING('Wind Elemental'!$M$6/ IF('Wind Elemental'!$O$6&lt; 10.8, Table14[[#This Row],[STR]], Table14[[#This Row],[STR]] / ('Wind Elemental'!$O$6 / 10.8)), 1)</f>
        <v>51</v>
      </c>
      <c r="AI7" s="12">
        <f>CEILING('Water Elemental'!$M$6/ IF('Water Elemental'!$O$6&lt; 10.8, Table14[[#This Row],[STR]], Table14[[#This Row],[STR]] / ('Water Elemental'!$O$6 / 10.8)), 1)</f>
        <v>74</v>
      </c>
      <c r="AJ7" s="12">
        <f>CEILING('Fire Elemental'!$M$4/ IF('Fire Elemental'!$O$4&lt; 10.8, Table14[[#This Row],[STR]], Table14[[#This Row],[STR]] / ('Fire Elemental'!$O$4 / 10.8)), 1)</f>
        <v>107</v>
      </c>
      <c r="AK7" s="12">
        <f>CEILING(Wyvern!$M$4/ IF(Wyvern!$O$4&lt; 10.8, Table14[[#This Row],[STR]], Table14[[#This Row],[STR]] / (Wyvern!$O$4 / 10.8)), 1)</f>
        <v>136</v>
      </c>
      <c r="AL7" s="12">
        <f>CEILING('Evolved Wyvern'!$M$4/ IF('Evolved Wyvern'!$O$4&lt; 10.8, Table14[[#This Row],[STR]], Table14[[#This Row],[STR]] / ('Evolved Wyvern'!$O$4 / 10.8)), 1)</f>
        <v>181</v>
      </c>
      <c r="AM7" s="12">
        <f>CEILING(Dragon!$M$4/ IF(Dragon!$O$4&lt; 10.8, Table14[[#This Row],[STR]], Table14[[#This Row],[STR]] / (Dragon!$O$4 / 10.8)), 1)</f>
        <v>302</v>
      </c>
      <c r="AO7" s="14">
        <f>CEILING('Blue Slime'!$Z$5/ IF('Blue Slime'!$X$5&lt; 10.8, Table14[[#This Row],[STR]], Table14[[#This Row],[STR]] / ('Blue Slime'!$X$5 / 10.8)), 1)</f>
        <v>4</v>
      </c>
      <c r="AP7" s="14">
        <f>CEILING('Green Slime'!$Z$5/ IF('Green Slime'!$X$5&lt; 10.8, Table14[[#This Row],[STR]], Table14[[#This Row],[STR]] / ('Green Slime'!$X$5 / 10.8)), 1)</f>
        <v>7</v>
      </c>
      <c r="AQ7" s="14">
        <f>CEILING(Wolf!$Z$6/ IF(Wolf!$X$6&lt; 10.8, Table14[[#This Row],[STR]], Table14[[#This Row],[STR]] / (Wolf!$X$6 / 10.8)), 1)</f>
        <v>19</v>
      </c>
      <c r="AR7" s="14">
        <f>CEILING('Horned Wolf'!$Z$5/ IF('Horned Wolf'!$X$5&lt; 10.8, Table14[[#This Row],[STR]], Table14[[#This Row],[STR]] / ('Horned Wolf'!$X$5 / 10.8)), 1)</f>
        <v>52</v>
      </c>
      <c r="AS7" s="8">
        <f>CEILING(Spider!$Z$7/ IF(Spider!$X$7&lt; 10.8, Table14[[#This Row],[STR]], Table14[[#This Row],[STR]] / (Spider!$X$7 / 10.8)), 1)</f>
        <v>46</v>
      </c>
      <c r="AT7" s="8">
        <f>CEILING('Evolved Spider'!$Z$8/ IF('Evolved Spider'!$X$8&lt; 10.8, Table14[[#This Row],[STR]], Table14[[#This Row],[STR]] / ('Evolved Spider'!$X$8 / 10.8)), 1)</f>
        <v>83</v>
      </c>
      <c r="AU7" s="8">
        <f>CEILING(Arachne!$Z$4/ IF(Arachne!$X$4&lt; 10.8, Table14[[#This Row],[STR]], Table14[[#This Row],[STR]] / (Arachne!$X$4 / 10.8)), 1)</f>
        <v>113</v>
      </c>
      <c r="AV7" s="12">
        <f>CEILING('Earth Elemental'!$Z$6/ IF('Earth Elemental'!$X$6&lt; 10.8, Table14[[#This Row],[STR]], Table14[[#This Row],[STR]] / ('Earth Elemental'!$X$6 / 10.8)), 1)</f>
        <v>94</v>
      </c>
      <c r="AW7" s="12">
        <f>CEILING('Wind Elemental'!$Z$6/ IF('Wind Elemental'!$X$6&lt; 10.8, Table14[[#This Row],[STR]], Table14[[#This Row],[STR]] / ('Wind Elemental'!$X$6 / 10.8)), 1)</f>
        <v>73</v>
      </c>
      <c r="AX7" s="12">
        <f>CEILING('Water Elemental'!$Z$6/ IF('Water Elemental'!$X$6&lt; 10.8, Table14[[#This Row],[STR]], Table14[[#This Row],[STR]] / ('Water Elemental'!$X$6 / 10.8)), 1)</f>
        <v>101</v>
      </c>
      <c r="AY7" s="12">
        <f>CEILING('Fire Elemental'!$Z$4/ IF('Fire Elemental'!$X$4&lt; 10.8, Table14[[#This Row],[STR]], Table14[[#This Row],[STR]] / ('Fire Elemental'!$X$4 / 10.8)), 1)</f>
        <v>164</v>
      </c>
      <c r="AZ7" s="12">
        <f>CEILING(Wyvern!$Z$4/ IF(Wyvern!$X$4&lt; 10.8, Table14[[#This Row],[STR]], Table14[[#This Row],[STR]] / (Wyvern!$X$4 / 10.8)), 1)</f>
        <v>198</v>
      </c>
      <c r="BA7" s="12">
        <f>CEILING('Evolved Wyvern'!$Z$4/ IF('Evolved Wyvern'!$X$4&lt; 10.8, Table14[[#This Row],[STR]], Table14[[#This Row],[STR]] / ('Evolved Wyvern'!$X$4 / 10.8)), 1)</f>
        <v>254</v>
      </c>
      <c r="BB7" s="12">
        <f>CEILING(Dragon!$Z$4/ IF(Dragon!$X$4&lt; 10.8, Table14[[#This Row],[STR]], Table14[[#This Row],[STR]] / (Dragon!$X$4 / 10.8)), 1)</f>
        <v>428</v>
      </c>
    </row>
    <row r="8" spans="1:54" x14ac:dyDescent="0.3">
      <c r="A8" s="34">
        <v>6</v>
      </c>
      <c r="B8" s="34">
        <f>$B$3 + ((Table14[[#This Row],[Level]] / 10) + $B$3 / 8) * Table14[[#This Row],[Level]] + Equipment!$O$10</f>
        <v>22.6</v>
      </c>
      <c r="C8" s="34">
        <f xml:space="preserve"> 2*Table14[[#This Row],[INT]]</f>
        <v>36</v>
      </c>
      <c r="D8" s="34">
        <f>$D$3 + ($D$3 / 4) * Table14[[#This Row],[Level]] + Equipment!$P$10</f>
        <v>18</v>
      </c>
      <c r="E8" s="34">
        <f>$E$3 + ($E$3 / 4) * Table14[[#This Row],[Level]] + Equipment!$Q$10</f>
        <v>21.5</v>
      </c>
      <c r="F8" s="34">
        <f>$F$3 + ($F$3 / 4) * Table14[[#This Row],[Level]] + Equipment!$R$10</f>
        <v>15.5</v>
      </c>
      <c r="G8" s="34">
        <f>$G$3 + ($G$3 / 4) * Table14[[#This Row],[Level]] + Equipment!$S$10</f>
        <v>18</v>
      </c>
      <c r="H8" s="34">
        <f>$H$3 + ($H$3 / 4) * Table14[[#This Row],[Level]] + Equipment!$T$10</f>
        <v>24</v>
      </c>
      <c r="I8" s="1">
        <f xml:space="preserve"> (4 * (Table14[[#This Row],[Level]] ^ 3))/7 + $I$3</f>
        <v>223.42857142857144</v>
      </c>
      <c r="K8" s="14">
        <f>CEILING('Blue Slime'!$B$5/ IF('Blue Slime'!$D$5&lt; 10.8, Table14[[#This Row],[STR]], Table14[[#This Row],[STR]] / ('Blue Slime'!$D$5 / 10.8)), 1)</f>
        <v>2</v>
      </c>
      <c r="L8" s="14">
        <f>CEILING('Green Slime'!$B$5/ IF('Green Slime'!$D$5&lt; 10.8, Table14[[#This Row],[STR]], Table14[[#This Row],[STR]] / ('Green Slime'!$D$5 / 10.8)), 1)</f>
        <v>2</v>
      </c>
      <c r="M8" s="14">
        <f>CEILING(Wolf!$B$6/ IF(Wolf!$D$6&lt; 10.8, Table14[[#This Row],[STR]], Table14[[#This Row],[STR]] / (Wolf!$D$6 / 10.8)), 1)</f>
        <v>5</v>
      </c>
      <c r="N8" s="14">
        <f>CEILING('Horned Wolf'!$B$5/ IF('Horned Wolf'!$D$5&lt; 10.8, Table14[[#This Row],[STR]], Table14[[#This Row],[STR]] / ('Horned Wolf'!$D$5 / 10.8)), 1)</f>
        <v>13</v>
      </c>
      <c r="O8" s="8">
        <f>CEILING(Spider!$B$7/ IF(Spider!$D$7&lt; 10.8, Table14[[#This Row],[STR]], Table14[[#This Row],[STR]] / (Spider!$D$7 / 10.8)), 1)</f>
        <v>13</v>
      </c>
      <c r="P8" s="8">
        <f>CEILING('Evolved Spider'!$B$8/ IF('Evolved Spider'!$D$8&lt; 10.8, Table14[[#This Row],[STR]], Table14[[#This Row],[STR]] / ('Evolved Spider'!$D$8 / 10.8)), 1)</f>
        <v>24</v>
      </c>
      <c r="Q8" s="8">
        <f>CEILING(Arachne!$B$4/ IF(Arachne!$D$4&lt; 10.8, Table14[[#This Row],[STR]], Table14[[#This Row],[STR]] / (Arachne!$D$4 / 10.8)), 1)</f>
        <v>32</v>
      </c>
      <c r="R8" s="12">
        <f>CEILING('Earth Elemental'!$B$6/ IF('Earth Elemental'!$D$6&lt; 10.8, Table14[[#This Row],[STR]], Table14[[#This Row],[STR]] / ('Earth Elemental'!$D$6 / 10.8)), 1)</f>
        <v>33</v>
      </c>
      <c r="S8" s="12">
        <f>CEILING('Wind Elemental'!$B$6/ IF('Wind Elemental'!$D$6&lt; 10.8, Table14[[#This Row],[STR]], Table14[[#This Row],[STR]] / ('Wind Elemental'!$D$6 / 10.8)), 1)</f>
        <v>29</v>
      </c>
      <c r="T8" s="12">
        <f>CEILING('Water Elemental'!$B$6/ IF('Water Elemental'!$D$6&lt; 10.8, Table14[[#This Row],[STR]], Table14[[#This Row],[STR]] / ('Water Elemental'!$D$6 / 10.8)), 1)</f>
        <v>44</v>
      </c>
      <c r="U8" s="12">
        <f>CEILING('Fire Elemental'!$B$4/ IF('Fire Elemental'!$D$4&lt; 10.8, Table14[[#This Row],[STR]], Table14[[#This Row],[STR]] / ('Fire Elemental'!$D$4 / 10.8)), 1)</f>
        <v>56</v>
      </c>
      <c r="V8" s="12">
        <f>CEILING(Wyvern!$B$4/ IF(Wyvern!$D$4&lt; 10.8, Table14[[#This Row],[STR]], Table14[[#This Row],[STR]] / (Wyvern!$D$4 / 10.8)), 1)</f>
        <v>76</v>
      </c>
      <c r="W8" s="12">
        <f>CEILING('Evolved Wyvern'!$B$4/ IF('Evolved Wyvern'!$D$4&lt; 10.8, Table14[[#This Row],[STR]], Table14[[#This Row],[STR]] / ('Evolved Wyvern'!$D$4 / 10.8)), 1)</f>
        <v>105</v>
      </c>
      <c r="X8" s="12">
        <f>CEILING(Dragon!$B$4/ IF(Dragon!$D$4&lt; 10.8, Table14[[#This Row],[STR]], Table14[[#This Row],[STR]] / (Dragon!$D$4 / 10.8)), 1)</f>
        <v>173</v>
      </c>
      <c r="Z8" s="14">
        <f>CEILING('Blue Slime'!$M$5/ IF('Blue Slime'!$O$5&lt; 10.8, Table14[[#This Row],[STR]], Table14[[#This Row],[STR]] / ('Blue Slime'!$O$5 / 10.8)), 1)</f>
        <v>2</v>
      </c>
      <c r="AA8" s="14">
        <f>CEILING('Green Slime'!$M$5/ IF('Green Slime'!$O$5&lt; 10.8, Table14[[#This Row],[STR]], Table14[[#This Row],[STR]] / ('Green Slime'!$O$5 / 10.8)), 1)</f>
        <v>4</v>
      </c>
      <c r="AB8" s="14">
        <f>CEILING(Wolf!$M$6/ IF(Wolf!$O$6&lt; 10.8, Table14[[#This Row],[STR]], Table14[[#This Row],[STR]] / (Wolf!$O$6 / 10.8)), 1)</f>
        <v>10</v>
      </c>
      <c r="AC8" s="14">
        <f>CEILING('Horned Wolf'!$M$5/ IF('Horned Wolf'!$O$5&lt; 10.8, Table14[[#This Row],[STR]], Table14[[#This Row],[STR]] / ('Horned Wolf'!$O$5 / 10.8)), 1)</f>
        <v>28</v>
      </c>
      <c r="AD8" s="8">
        <f>CEILING(Spider!$M$7/ IF(Spider!$O$7&lt; 10.8, Table14[[#This Row],[STR]], Table14[[#This Row],[STR]] / (Spider!$O$7 / 10.8)), 1)</f>
        <v>25</v>
      </c>
      <c r="AE8" s="8">
        <f>CEILING('Evolved Spider'!$M$8/ IF('Evolved Spider'!$O$8&lt; 10.8, Table14[[#This Row],[STR]], Table14[[#This Row],[STR]] / ('Evolved Spider'!$O$8 / 10.8)), 1)</f>
        <v>47</v>
      </c>
      <c r="AF8" s="8">
        <f>CEILING(Arachne!$M$4/ IF(Arachne!$O$4&lt; 10.8, Table14[[#This Row],[STR]], Table14[[#This Row],[STR]] / (Arachne!$O$4 / 10.8)), 1)</f>
        <v>63</v>
      </c>
      <c r="AG8" s="12">
        <f>CEILING('Earth Elemental'!$M$6/ IF('Earth Elemental'!$O$6&lt; 10.8, Table14[[#This Row],[STR]], Table14[[#This Row],[STR]] / ('Earth Elemental'!$O$6 / 10.8)), 1)</f>
        <v>57</v>
      </c>
      <c r="AH8" s="12">
        <f>CEILING('Wind Elemental'!$M$6/ IF('Wind Elemental'!$O$6&lt; 10.8, Table14[[#This Row],[STR]], Table14[[#This Row],[STR]] / ('Wind Elemental'!$O$6 / 10.8)), 1)</f>
        <v>47</v>
      </c>
      <c r="AI8" s="12">
        <f>CEILING('Water Elemental'!$M$6/ IF('Water Elemental'!$O$6&lt; 10.8, Table14[[#This Row],[STR]], Table14[[#This Row],[STR]] / ('Water Elemental'!$O$6 / 10.8)), 1)</f>
        <v>68</v>
      </c>
      <c r="AJ8" s="12">
        <f>CEILING('Fire Elemental'!$M$4/ IF('Fire Elemental'!$O$4&lt; 10.8, Table14[[#This Row],[STR]], Table14[[#This Row],[STR]] / ('Fire Elemental'!$O$4 / 10.8)), 1)</f>
        <v>99</v>
      </c>
      <c r="AK8" s="12">
        <f>CEILING(Wyvern!$M$4/ IF(Wyvern!$O$4&lt; 10.8, Table14[[#This Row],[STR]], Table14[[#This Row],[STR]] / (Wyvern!$O$4 / 10.8)), 1)</f>
        <v>125</v>
      </c>
      <c r="AL8" s="12">
        <f>CEILING('Evolved Wyvern'!$M$4/ IF('Evolved Wyvern'!$O$4&lt; 10.8, Table14[[#This Row],[STR]], Table14[[#This Row],[STR]] / ('Evolved Wyvern'!$O$4 / 10.8)), 1)</f>
        <v>166</v>
      </c>
      <c r="AM8" s="12">
        <f>CEILING(Dragon!$M$4/ IF(Dragon!$O$4&lt; 10.8, Table14[[#This Row],[STR]], Table14[[#This Row],[STR]] / (Dragon!$O$4 / 10.8)), 1)</f>
        <v>277</v>
      </c>
      <c r="AO8" s="14">
        <f>CEILING('Blue Slime'!$Z$5/ IF('Blue Slime'!$X$5&lt; 10.8, Table14[[#This Row],[STR]], Table14[[#This Row],[STR]] / ('Blue Slime'!$X$5 / 10.8)), 1)</f>
        <v>4</v>
      </c>
      <c r="AP8" s="14">
        <f>CEILING('Green Slime'!$Z$5/ IF('Green Slime'!$X$5&lt; 10.8, Table14[[#This Row],[STR]], Table14[[#This Row],[STR]] / ('Green Slime'!$X$5 / 10.8)), 1)</f>
        <v>6</v>
      </c>
      <c r="AQ8" s="14">
        <f>CEILING(Wolf!$Z$6/ IF(Wolf!$X$6&lt; 10.8, Table14[[#This Row],[STR]], Table14[[#This Row],[STR]] / (Wolf!$X$6 / 10.8)), 1)</f>
        <v>17</v>
      </c>
      <c r="AR8" s="14">
        <f>CEILING('Horned Wolf'!$Z$5/ IF('Horned Wolf'!$X$5&lt; 10.8, Table14[[#This Row],[STR]], Table14[[#This Row],[STR]] / ('Horned Wolf'!$X$5 / 10.8)), 1)</f>
        <v>48</v>
      </c>
      <c r="AS8" s="8">
        <f>CEILING(Spider!$Z$7/ IF(Spider!$X$7&lt; 10.8, Table14[[#This Row],[STR]], Table14[[#This Row],[STR]] / (Spider!$X$7 / 10.8)), 1)</f>
        <v>42</v>
      </c>
      <c r="AT8" s="8">
        <f>CEILING('Evolved Spider'!$Z$8/ IF('Evolved Spider'!$X$8&lt; 10.8, Table14[[#This Row],[STR]], Table14[[#This Row],[STR]] / ('Evolved Spider'!$X$8 / 10.8)), 1)</f>
        <v>76</v>
      </c>
      <c r="AU8" s="8">
        <f>CEILING(Arachne!$Z$4/ IF(Arachne!$X$4&lt; 10.8, Table14[[#This Row],[STR]], Table14[[#This Row],[STR]] / (Arachne!$X$4 / 10.8)), 1)</f>
        <v>104</v>
      </c>
      <c r="AV8" s="12">
        <f>CEILING('Earth Elemental'!$Z$6/ IF('Earth Elemental'!$X$6&lt; 10.8, Table14[[#This Row],[STR]], Table14[[#This Row],[STR]] / ('Earth Elemental'!$X$6 / 10.8)), 1)</f>
        <v>87</v>
      </c>
      <c r="AW8" s="12">
        <f>CEILING('Wind Elemental'!$Z$6/ IF('Wind Elemental'!$X$6&lt; 10.8, Table14[[#This Row],[STR]], Table14[[#This Row],[STR]] / ('Wind Elemental'!$X$6 / 10.8)), 1)</f>
        <v>67</v>
      </c>
      <c r="AX8" s="12">
        <f>CEILING('Water Elemental'!$Z$6/ IF('Water Elemental'!$X$6&lt; 10.8, Table14[[#This Row],[STR]], Table14[[#This Row],[STR]] / ('Water Elemental'!$X$6 / 10.8)), 1)</f>
        <v>93</v>
      </c>
      <c r="AY8" s="12">
        <f>CEILING('Fire Elemental'!$Z$4/ IF('Fire Elemental'!$X$4&lt; 10.8, Table14[[#This Row],[STR]], Table14[[#This Row],[STR]] / ('Fire Elemental'!$X$4 / 10.8)), 1)</f>
        <v>151</v>
      </c>
      <c r="AZ8" s="12">
        <f>CEILING(Wyvern!$Z$4/ IF(Wyvern!$X$4&lt; 10.8, Table14[[#This Row],[STR]], Table14[[#This Row],[STR]] / (Wyvern!$X$4 / 10.8)), 1)</f>
        <v>182</v>
      </c>
      <c r="BA8" s="12">
        <f>CEILING('Evolved Wyvern'!$Z$4/ IF('Evolved Wyvern'!$X$4&lt; 10.8, Table14[[#This Row],[STR]], Table14[[#This Row],[STR]] / ('Evolved Wyvern'!$X$4 / 10.8)), 1)</f>
        <v>234</v>
      </c>
      <c r="BB8" s="12">
        <f>CEILING(Dragon!$Z$4/ IF(Dragon!$X$4&lt; 10.8, Table14[[#This Row],[STR]], Table14[[#This Row],[STR]] / (Dragon!$X$4 / 10.8)), 1)</f>
        <v>394</v>
      </c>
    </row>
    <row r="9" spans="1:54" x14ac:dyDescent="0.3">
      <c r="A9" s="34">
        <v>7</v>
      </c>
      <c r="B9" s="34">
        <f>$B$3 + ((Table14[[#This Row],[Level]] / 10) + $B$3 / 8) * Table14[[#This Row],[Level]] + Equipment!$O$10</f>
        <v>24.9</v>
      </c>
      <c r="C9" s="34">
        <f xml:space="preserve"> 2*Table14[[#This Row],[INT]]</f>
        <v>39</v>
      </c>
      <c r="D9" s="34">
        <f>$D$3 + ($D$3 / 4) * Table14[[#This Row],[Level]] + Equipment!$P$10</f>
        <v>19.5</v>
      </c>
      <c r="E9" s="34">
        <f>$E$3 + ($E$3 / 4) * Table14[[#This Row],[Level]] + Equipment!$Q$10</f>
        <v>23.25</v>
      </c>
      <c r="F9" s="34">
        <f>$F$3 + ($F$3 / 4) * Table14[[#This Row],[Level]] + Equipment!$R$10</f>
        <v>16.75</v>
      </c>
      <c r="G9" s="34">
        <f>$G$3 + ($G$3 / 4) * Table14[[#This Row],[Level]] + Equipment!$S$10</f>
        <v>19.5</v>
      </c>
      <c r="H9" s="34">
        <f>$H$3 + ($H$3 / 4) * Table14[[#This Row],[Level]] + Equipment!$T$10</f>
        <v>26</v>
      </c>
      <c r="I9" s="1">
        <f xml:space="preserve"> (4 * (Table14[[#This Row],[Level]] ^ 3))/7 + $I$3</f>
        <v>296</v>
      </c>
      <c r="K9" s="14">
        <f>CEILING('Blue Slime'!$B$5/ IF('Blue Slime'!$D$5&lt; 10.8, Table14[[#This Row],[STR]], Table14[[#This Row],[STR]] / ('Blue Slime'!$D$5 / 10.8)), 1)</f>
        <v>2</v>
      </c>
      <c r="L9" s="14">
        <f>CEILING('Green Slime'!$B$5/ IF('Green Slime'!$D$5&lt; 10.8, Table14[[#This Row],[STR]], Table14[[#This Row],[STR]] / ('Green Slime'!$D$5 / 10.8)), 1)</f>
        <v>2</v>
      </c>
      <c r="M9" s="14">
        <f>CEILING(Wolf!$B$6/ IF(Wolf!$D$6&lt; 10.8, Table14[[#This Row],[STR]], Table14[[#This Row],[STR]] / (Wolf!$D$6 / 10.8)), 1)</f>
        <v>5</v>
      </c>
      <c r="N9" s="14">
        <f>CEILING('Horned Wolf'!$B$5/ IF('Horned Wolf'!$D$5&lt; 10.8, Table14[[#This Row],[STR]], Table14[[#This Row],[STR]] / ('Horned Wolf'!$D$5 / 10.8)), 1)</f>
        <v>12</v>
      </c>
      <c r="O9" s="8">
        <f>CEILING(Spider!$B$7/ IF(Spider!$D$7&lt; 10.8, Table14[[#This Row],[STR]], Table14[[#This Row],[STR]] / (Spider!$D$7 / 10.8)), 1)</f>
        <v>12</v>
      </c>
      <c r="P9" s="8">
        <f>CEILING('Evolved Spider'!$B$8/ IF('Evolved Spider'!$D$8&lt; 10.8, Table14[[#This Row],[STR]], Table14[[#This Row],[STR]] / ('Evolved Spider'!$D$8 / 10.8)), 1)</f>
        <v>23</v>
      </c>
      <c r="Q9" s="8">
        <f>CEILING(Arachne!$B$4/ IF(Arachne!$D$4&lt; 10.8, Table14[[#This Row],[STR]], Table14[[#This Row],[STR]] / (Arachne!$D$4 / 10.8)), 1)</f>
        <v>30</v>
      </c>
      <c r="R9" s="12">
        <f>CEILING('Earth Elemental'!$B$6/ IF('Earth Elemental'!$D$6&lt; 10.8, Table14[[#This Row],[STR]], Table14[[#This Row],[STR]] / ('Earth Elemental'!$D$6 / 10.8)), 1)</f>
        <v>30</v>
      </c>
      <c r="S9" s="12">
        <f>CEILING('Wind Elemental'!$B$6/ IF('Wind Elemental'!$D$6&lt; 10.8, Table14[[#This Row],[STR]], Table14[[#This Row],[STR]] / ('Wind Elemental'!$D$6 / 10.8)), 1)</f>
        <v>27</v>
      </c>
      <c r="T9" s="12">
        <f>CEILING('Water Elemental'!$B$6/ IF('Water Elemental'!$D$6&lt; 10.8, Table14[[#This Row],[STR]], Table14[[#This Row],[STR]] / ('Water Elemental'!$D$6 / 10.8)), 1)</f>
        <v>41</v>
      </c>
      <c r="U9" s="12">
        <f>CEILING('Fire Elemental'!$B$4/ IF('Fire Elemental'!$D$4&lt; 10.8, Table14[[#This Row],[STR]], Table14[[#This Row],[STR]] / ('Fire Elemental'!$D$4 / 10.8)), 1)</f>
        <v>52</v>
      </c>
      <c r="V9" s="12">
        <f>CEILING(Wyvern!$B$4/ IF(Wyvern!$D$4&lt; 10.8, Table14[[#This Row],[STR]], Table14[[#This Row],[STR]] / (Wyvern!$D$4 / 10.8)), 1)</f>
        <v>70</v>
      </c>
      <c r="W9" s="12">
        <f>CEILING('Evolved Wyvern'!$B$4/ IF('Evolved Wyvern'!$D$4&lt; 10.8, Table14[[#This Row],[STR]], Table14[[#This Row],[STR]] / ('Evolved Wyvern'!$D$4 / 10.8)), 1)</f>
        <v>97</v>
      </c>
      <c r="X9" s="12">
        <f>CEILING(Dragon!$B$4/ IF(Dragon!$D$4&lt; 10.8, Table14[[#This Row],[STR]], Table14[[#This Row],[STR]] / (Dragon!$D$4 / 10.8)), 1)</f>
        <v>160</v>
      </c>
      <c r="Z9" s="14">
        <f>CEILING('Blue Slime'!$M$5/ IF('Blue Slime'!$O$5&lt; 10.8, Table14[[#This Row],[STR]], Table14[[#This Row],[STR]] / ('Blue Slime'!$O$5 / 10.8)), 1)</f>
        <v>2</v>
      </c>
      <c r="AA9" s="14">
        <f>CEILING('Green Slime'!$M$5/ IF('Green Slime'!$O$5&lt; 10.8, Table14[[#This Row],[STR]], Table14[[#This Row],[STR]] / ('Green Slime'!$O$5 / 10.8)), 1)</f>
        <v>4</v>
      </c>
      <c r="AB9" s="14">
        <f>CEILING(Wolf!$M$6/ IF(Wolf!$O$6&lt; 10.8, Table14[[#This Row],[STR]], Table14[[#This Row],[STR]] / (Wolf!$O$6 / 10.8)), 1)</f>
        <v>10</v>
      </c>
      <c r="AC9" s="14">
        <f>CEILING('Horned Wolf'!$M$5/ IF('Horned Wolf'!$O$5&lt; 10.8, Table14[[#This Row],[STR]], Table14[[#This Row],[STR]] / ('Horned Wolf'!$O$5 / 10.8)), 1)</f>
        <v>26</v>
      </c>
      <c r="AD9" s="8">
        <f>CEILING(Spider!$M$7/ IF(Spider!$O$7&lt; 10.8, Table14[[#This Row],[STR]], Table14[[#This Row],[STR]] / (Spider!$O$7 / 10.8)), 1)</f>
        <v>23</v>
      </c>
      <c r="AE9" s="8">
        <f>CEILING('Evolved Spider'!$M$8/ IF('Evolved Spider'!$O$8&lt; 10.8, Table14[[#This Row],[STR]], Table14[[#This Row],[STR]] / ('Evolved Spider'!$O$8 / 10.8)), 1)</f>
        <v>43</v>
      </c>
      <c r="AF9" s="8">
        <f>CEILING(Arachne!$M$4/ IF(Arachne!$O$4&lt; 10.8, Table14[[#This Row],[STR]], Table14[[#This Row],[STR]] / (Arachne!$O$4 / 10.8)), 1)</f>
        <v>58</v>
      </c>
      <c r="AG9" s="12">
        <f>CEILING('Earth Elemental'!$M$6/ IF('Earth Elemental'!$O$6&lt; 10.8, Table14[[#This Row],[STR]], Table14[[#This Row],[STR]] / ('Earth Elemental'!$O$6 / 10.8)), 1)</f>
        <v>53</v>
      </c>
      <c r="AH9" s="12">
        <f>CEILING('Wind Elemental'!$M$6/ IF('Wind Elemental'!$O$6&lt; 10.8, Table14[[#This Row],[STR]], Table14[[#This Row],[STR]] / ('Wind Elemental'!$O$6 / 10.8)), 1)</f>
        <v>44</v>
      </c>
      <c r="AI9" s="12">
        <f>CEILING('Water Elemental'!$M$6/ IF('Water Elemental'!$O$6&lt; 10.8, Table14[[#This Row],[STR]], Table14[[#This Row],[STR]] / ('Water Elemental'!$O$6 / 10.8)), 1)</f>
        <v>63</v>
      </c>
      <c r="AJ9" s="12">
        <f>CEILING('Fire Elemental'!$M$4/ IF('Fire Elemental'!$O$4&lt; 10.8, Table14[[#This Row],[STR]], Table14[[#This Row],[STR]] / ('Fire Elemental'!$O$4 / 10.8)), 1)</f>
        <v>91</v>
      </c>
      <c r="AK9" s="12">
        <f>CEILING(Wyvern!$M$4/ IF(Wyvern!$O$4&lt; 10.8, Table14[[#This Row],[STR]], Table14[[#This Row],[STR]] / (Wyvern!$O$4 / 10.8)), 1)</f>
        <v>116</v>
      </c>
      <c r="AL9" s="12">
        <f>CEILING('Evolved Wyvern'!$M$4/ IF('Evolved Wyvern'!$O$4&lt; 10.8, Table14[[#This Row],[STR]], Table14[[#This Row],[STR]] / ('Evolved Wyvern'!$O$4 / 10.8)), 1)</f>
        <v>154</v>
      </c>
      <c r="AM9" s="12">
        <f>CEILING(Dragon!$M$4/ IF(Dragon!$O$4&lt; 10.8, Table14[[#This Row],[STR]], Table14[[#This Row],[STR]] / (Dragon!$O$4 / 10.8)), 1)</f>
        <v>257</v>
      </c>
      <c r="AO9" s="14">
        <f>CEILING('Blue Slime'!$Z$5/ IF('Blue Slime'!$X$5&lt; 10.8, Table14[[#This Row],[STR]], Table14[[#This Row],[STR]] / ('Blue Slime'!$X$5 / 10.8)), 1)</f>
        <v>4</v>
      </c>
      <c r="AP9" s="14">
        <f>CEILING('Green Slime'!$Z$5/ IF('Green Slime'!$X$5&lt; 10.8, Table14[[#This Row],[STR]], Table14[[#This Row],[STR]] / ('Green Slime'!$X$5 / 10.8)), 1)</f>
        <v>6</v>
      </c>
      <c r="AQ9" s="14">
        <f>CEILING(Wolf!$Z$6/ IF(Wolf!$X$6&lt; 10.8, Table14[[#This Row],[STR]], Table14[[#This Row],[STR]] / (Wolf!$X$6 / 10.8)), 1)</f>
        <v>16</v>
      </c>
      <c r="AR9" s="14">
        <f>CEILING('Horned Wolf'!$Z$5/ IF('Horned Wolf'!$X$5&lt; 10.8, Table14[[#This Row],[STR]], Table14[[#This Row],[STR]] / ('Horned Wolf'!$X$5 / 10.8)), 1)</f>
        <v>45</v>
      </c>
      <c r="AS9" s="8">
        <f>CEILING(Spider!$Z$7/ IF(Spider!$X$7&lt; 10.8, Table14[[#This Row],[STR]], Table14[[#This Row],[STR]] / (Spider!$X$7 / 10.8)), 1)</f>
        <v>39</v>
      </c>
      <c r="AT9" s="8">
        <f>CEILING('Evolved Spider'!$Z$8/ IF('Evolved Spider'!$X$8&lt; 10.8, Table14[[#This Row],[STR]], Table14[[#This Row],[STR]] / ('Evolved Spider'!$X$8 / 10.8)), 1)</f>
        <v>70</v>
      </c>
      <c r="AU9" s="8">
        <f>CEILING(Arachne!$Z$4/ IF(Arachne!$X$4&lt; 10.8, Table14[[#This Row],[STR]], Table14[[#This Row],[STR]] / (Arachne!$X$4 / 10.8)), 1)</f>
        <v>96</v>
      </c>
      <c r="AV9" s="12">
        <f>CEILING('Earth Elemental'!$Z$6/ IF('Earth Elemental'!$X$6&lt; 10.8, Table14[[#This Row],[STR]], Table14[[#This Row],[STR]] / ('Earth Elemental'!$X$6 / 10.8)), 1)</f>
        <v>80</v>
      </c>
      <c r="AW9" s="12">
        <f>CEILING('Wind Elemental'!$Z$6/ IF('Wind Elemental'!$X$6&lt; 10.8, Table14[[#This Row],[STR]], Table14[[#This Row],[STR]] / ('Wind Elemental'!$X$6 / 10.8)), 1)</f>
        <v>62</v>
      </c>
      <c r="AX9" s="12">
        <f>CEILING('Water Elemental'!$Z$6/ IF('Water Elemental'!$X$6&lt; 10.8, Table14[[#This Row],[STR]], Table14[[#This Row],[STR]] / ('Water Elemental'!$X$6 / 10.8)), 1)</f>
        <v>86</v>
      </c>
      <c r="AY9" s="12">
        <f>CEILING('Fire Elemental'!$Z$4/ IF('Fire Elemental'!$X$4&lt; 10.8, Table14[[#This Row],[STR]], Table14[[#This Row],[STR]] / ('Fire Elemental'!$X$4 / 10.8)), 1)</f>
        <v>140</v>
      </c>
      <c r="AZ9" s="12">
        <f>CEILING(Wyvern!$Z$4/ IF(Wyvern!$X$4&lt; 10.8, Table14[[#This Row],[STR]], Table14[[#This Row],[STR]] / (Wyvern!$X$4 / 10.8)), 1)</f>
        <v>169</v>
      </c>
      <c r="BA9" s="12">
        <f>CEILING('Evolved Wyvern'!$Z$4/ IF('Evolved Wyvern'!$X$4&lt; 10.8, Table14[[#This Row],[STR]], Table14[[#This Row],[STR]] / ('Evolved Wyvern'!$X$4 / 10.8)), 1)</f>
        <v>216</v>
      </c>
      <c r="BB9" s="12">
        <f>CEILING(Dragon!$Z$4/ IF(Dragon!$X$4&lt; 10.8, Table14[[#This Row],[STR]], Table14[[#This Row],[STR]] / (Dragon!$X$4 / 10.8)), 1)</f>
        <v>364</v>
      </c>
    </row>
    <row r="10" spans="1:54" x14ac:dyDescent="0.3">
      <c r="A10" s="34">
        <v>8</v>
      </c>
      <c r="B10" s="34">
        <f>$B$3 + ((Table14[[#This Row],[Level]] / 10) + $B$3 / 8) * Table14[[#This Row],[Level]] + Equipment!$O$10</f>
        <v>27.4</v>
      </c>
      <c r="C10" s="34">
        <f xml:space="preserve"> 2*Table14[[#This Row],[INT]]</f>
        <v>42</v>
      </c>
      <c r="D10" s="34">
        <f>$D$3 + ($D$3 / 4) * Table14[[#This Row],[Level]] + Equipment!$P$10</f>
        <v>21</v>
      </c>
      <c r="E10" s="34">
        <f>$E$3 + ($E$3 / 4) * Table14[[#This Row],[Level]] + Equipment!$Q$10</f>
        <v>25</v>
      </c>
      <c r="F10" s="34">
        <f>$F$3 + ($F$3 / 4) * Table14[[#This Row],[Level]] + Equipment!$R$10</f>
        <v>18</v>
      </c>
      <c r="G10" s="34">
        <f>$G$3 + ($G$3 / 4) * Table14[[#This Row],[Level]] + Equipment!$S$10</f>
        <v>21</v>
      </c>
      <c r="H10" s="34">
        <f>$H$3 + ($H$3 / 4) * Table14[[#This Row],[Level]] + Equipment!$T$10</f>
        <v>28</v>
      </c>
      <c r="I10" s="1">
        <f xml:space="preserve"> (4 * (Table14[[#This Row],[Level]] ^ 3))/7 + $I$3</f>
        <v>392.57142857142856</v>
      </c>
      <c r="K10" s="14">
        <f>CEILING('Blue Slime'!$B$5/ IF('Blue Slime'!$D$5&lt; 10.8, Table14[[#This Row],[STR]], Table14[[#This Row],[STR]] / ('Blue Slime'!$D$5 / 10.8)), 1)</f>
        <v>2</v>
      </c>
      <c r="L10" s="14">
        <f>CEILING('Green Slime'!$B$5/ IF('Green Slime'!$D$5&lt; 10.8, Table14[[#This Row],[STR]], Table14[[#This Row],[STR]] / ('Green Slime'!$D$5 / 10.8)), 1)</f>
        <v>2</v>
      </c>
      <c r="M10" s="14">
        <f>CEILING(Wolf!$B$6/ IF(Wolf!$D$6&lt; 10.8, Table14[[#This Row],[STR]], Table14[[#This Row],[STR]] / (Wolf!$D$6 / 10.8)), 1)</f>
        <v>4</v>
      </c>
      <c r="N10" s="14">
        <f>CEILING('Horned Wolf'!$B$5/ IF('Horned Wolf'!$D$5&lt; 10.8, Table14[[#This Row],[STR]], Table14[[#This Row],[STR]] / ('Horned Wolf'!$D$5 / 10.8)), 1)</f>
        <v>11</v>
      </c>
      <c r="O10" s="8">
        <f>CEILING(Spider!$B$7/ IF(Spider!$D$7&lt; 10.8, Table14[[#This Row],[STR]], Table14[[#This Row],[STR]] / (Spider!$D$7 / 10.8)), 1)</f>
        <v>11</v>
      </c>
      <c r="P10" s="8">
        <f>CEILING('Evolved Spider'!$B$8/ IF('Evolved Spider'!$D$8&lt; 10.8, Table14[[#This Row],[STR]], Table14[[#This Row],[STR]] / ('Evolved Spider'!$D$8 / 10.8)), 1)</f>
        <v>21</v>
      </c>
      <c r="Q10" s="8">
        <f>CEILING(Arachne!$B$4/ IF(Arachne!$D$4&lt; 10.8, Table14[[#This Row],[STR]], Table14[[#This Row],[STR]] / (Arachne!$D$4 / 10.8)), 1)</f>
        <v>28</v>
      </c>
      <c r="R10" s="12">
        <f>CEILING('Earth Elemental'!$B$6/ IF('Earth Elemental'!$D$6&lt; 10.8, Table14[[#This Row],[STR]], Table14[[#This Row],[STR]] / ('Earth Elemental'!$D$6 / 10.8)), 1)</f>
        <v>28</v>
      </c>
      <c r="S10" s="12">
        <f>CEILING('Wind Elemental'!$B$6/ IF('Wind Elemental'!$D$6&lt; 10.8, Table14[[#This Row],[STR]], Table14[[#This Row],[STR]] / ('Wind Elemental'!$D$6 / 10.8)), 1)</f>
        <v>25</v>
      </c>
      <c r="T10" s="12">
        <f>CEILING('Water Elemental'!$B$6/ IF('Water Elemental'!$D$6&lt; 10.8, Table14[[#This Row],[STR]], Table14[[#This Row],[STR]] / ('Water Elemental'!$D$6 / 10.8)), 1)</f>
        <v>38</v>
      </c>
      <c r="U10" s="12">
        <f>CEILING('Fire Elemental'!$B$4/ IF('Fire Elemental'!$D$4&lt; 10.8, Table14[[#This Row],[STR]], Table14[[#This Row],[STR]] / ('Fire Elemental'!$D$4 / 10.8)), 1)</f>
        <v>49</v>
      </c>
      <c r="V10" s="12">
        <f>CEILING(Wyvern!$B$4/ IF(Wyvern!$D$4&lt; 10.8, Table14[[#This Row],[STR]], Table14[[#This Row],[STR]] / (Wyvern!$D$4 / 10.8)), 1)</f>
        <v>66</v>
      </c>
      <c r="W10" s="12">
        <f>CEILING('Evolved Wyvern'!$B$4/ IF('Evolved Wyvern'!$D$4&lt; 10.8, Table14[[#This Row],[STR]], Table14[[#This Row],[STR]] / ('Evolved Wyvern'!$D$4 / 10.8)), 1)</f>
        <v>91</v>
      </c>
      <c r="X10" s="12">
        <f>CEILING(Dragon!$B$4/ IF(Dragon!$D$4&lt; 10.8, Table14[[#This Row],[STR]], Table14[[#This Row],[STR]] / (Dragon!$D$4 / 10.8)), 1)</f>
        <v>149</v>
      </c>
      <c r="Z10" s="14">
        <f>CEILING('Blue Slime'!$M$5/ IF('Blue Slime'!$O$5&lt; 10.8, Table14[[#This Row],[STR]], Table14[[#This Row],[STR]] / ('Blue Slime'!$O$5 / 10.8)), 1)</f>
        <v>2</v>
      </c>
      <c r="AA10" s="14">
        <f>CEILING('Green Slime'!$M$5/ IF('Green Slime'!$O$5&lt; 10.8, Table14[[#This Row],[STR]], Table14[[#This Row],[STR]] / ('Green Slime'!$O$5 / 10.8)), 1)</f>
        <v>3</v>
      </c>
      <c r="AB10" s="14">
        <f>CEILING(Wolf!$M$6/ IF(Wolf!$O$6&lt; 10.8, Table14[[#This Row],[STR]], Table14[[#This Row],[STR]] / (Wolf!$O$6 / 10.8)), 1)</f>
        <v>9</v>
      </c>
      <c r="AC10" s="14">
        <f>CEILING('Horned Wolf'!$M$5/ IF('Horned Wolf'!$O$5&lt; 10.8, Table14[[#This Row],[STR]], Table14[[#This Row],[STR]] / ('Horned Wolf'!$O$5 / 10.8)), 1)</f>
        <v>24</v>
      </c>
      <c r="AD10" s="8">
        <f>CEILING(Spider!$M$7/ IF(Spider!$O$7&lt; 10.8, Table14[[#This Row],[STR]], Table14[[#This Row],[STR]] / (Spider!$O$7 / 10.8)), 1)</f>
        <v>22</v>
      </c>
      <c r="AE10" s="8">
        <f>CEILING('Evolved Spider'!$M$8/ IF('Evolved Spider'!$O$8&lt; 10.8, Table14[[#This Row],[STR]], Table14[[#This Row],[STR]] / ('Evolved Spider'!$O$8 / 10.8)), 1)</f>
        <v>40</v>
      </c>
      <c r="AF10" s="8">
        <f>CEILING(Arachne!$M$4/ IF(Arachne!$O$4&lt; 10.8, Table14[[#This Row],[STR]], Table14[[#This Row],[STR]] / (Arachne!$O$4 / 10.8)), 1)</f>
        <v>54</v>
      </c>
      <c r="AG10" s="12">
        <f>CEILING('Earth Elemental'!$M$6/ IF('Earth Elemental'!$O$6&lt; 10.8, Table14[[#This Row],[STR]], Table14[[#This Row],[STR]] / ('Earth Elemental'!$O$6 / 10.8)), 1)</f>
        <v>49</v>
      </c>
      <c r="AH10" s="12">
        <f>CEILING('Wind Elemental'!$M$6/ IF('Wind Elemental'!$O$6&lt; 10.8, Table14[[#This Row],[STR]], Table14[[#This Row],[STR]] / ('Wind Elemental'!$O$6 / 10.8)), 1)</f>
        <v>41</v>
      </c>
      <c r="AI10" s="12">
        <f>CEILING('Water Elemental'!$M$6/ IF('Water Elemental'!$O$6&lt; 10.8, Table14[[#This Row],[STR]], Table14[[#This Row],[STR]] / ('Water Elemental'!$O$6 / 10.8)), 1)</f>
        <v>58</v>
      </c>
      <c r="AJ10" s="12">
        <f>CEILING('Fire Elemental'!$M$4/ IF('Fire Elemental'!$O$4&lt; 10.8, Table14[[#This Row],[STR]], Table14[[#This Row],[STR]] / ('Fire Elemental'!$O$4 / 10.8)), 1)</f>
        <v>85</v>
      </c>
      <c r="AK10" s="12">
        <f>CEILING(Wyvern!$M$4/ IF(Wyvern!$O$4&lt; 10.8, Table14[[#This Row],[STR]], Table14[[#This Row],[STR]] / (Wyvern!$O$4 / 10.8)), 1)</f>
        <v>108</v>
      </c>
      <c r="AL10" s="12">
        <f>CEILING('Evolved Wyvern'!$M$4/ IF('Evolved Wyvern'!$O$4&lt; 10.8, Table14[[#This Row],[STR]], Table14[[#This Row],[STR]] / ('Evolved Wyvern'!$O$4 / 10.8)), 1)</f>
        <v>143</v>
      </c>
      <c r="AM10" s="12">
        <f>CEILING(Dragon!$M$4/ IF(Dragon!$O$4&lt; 10.8, Table14[[#This Row],[STR]], Table14[[#This Row],[STR]] / (Dragon!$O$4 / 10.8)), 1)</f>
        <v>239</v>
      </c>
      <c r="AO10" s="14">
        <f>CEILING('Blue Slime'!$Z$5/ IF('Blue Slime'!$X$5&lt; 10.8, Table14[[#This Row],[STR]], Table14[[#This Row],[STR]] / ('Blue Slime'!$X$5 / 10.8)), 1)</f>
        <v>3</v>
      </c>
      <c r="AP10" s="14">
        <f>CEILING('Green Slime'!$Z$5/ IF('Green Slime'!$X$5&lt; 10.8, Table14[[#This Row],[STR]], Table14[[#This Row],[STR]] / ('Green Slime'!$X$5 / 10.8)), 1)</f>
        <v>6</v>
      </c>
      <c r="AQ10" s="14">
        <f>CEILING(Wolf!$Z$6/ IF(Wolf!$X$6&lt; 10.8, Table14[[#This Row],[STR]], Table14[[#This Row],[STR]] / (Wolf!$X$6 / 10.8)), 1)</f>
        <v>15</v>
      </c>
      <c r="AR10" s="14">
        <f>CEILING('Horned Wolf'!$Z$5/ IF('Horned Wolf'!$X$5&lt; 10.8, Table14[[#This Row],[STR]], Table14[[#This Row],[STR]] / ('Horned Wolf'!$X$5 / 10.8)), 1)</f>
        <v>42</v>
      </c>
      <c r="AS10" s="8">
        <f>CEILING(Spider!$Z$7/ IF(Spider!$X$7&lt; 10.8, Table14[[#This Row],[STR]], Table14[[#This Row],[STR]] / (Spider!$X$7 / 10.8)), 1)</f>
        <v>36</v>
      </c>
      <c r="AT10" s="8">
        <f>CEILING('Evolved Spider'!$Z$8/ IF('Evolved Spider'!$X$8&lt; 10.8, Table14[[#This Row],[STR]], Table14[[#This Row],[STR]] / ('Evolved Spider'!$X$8 / 10.8)), 1)</f>
        <v>66</v>
      </c>
      <c r="AU10" s="8">
        <f>CEILING(Arachne!$Z$4/ IF(Arachne!$X$4&lt; 10.8, Table14[[#This Row],[STR]], Table14[[#This Row],[STR]] / (Arachne!$X$4 / 10.8)), 1)</f>
        <v>89</v>
      </c>
      <c r="AV10" s="12">
        <f>CEILING('Earth Elemental'!$Z$6/ IF('Earth Elemental'!$X$6&lt; 10.8, Table14[[#This Row],[STR]], Table14[[#This Row],[STR]] / ('Earth Elemental'!$X$6 / 10.8)), 1)</f>
        <v>75</v>
      </c>
      <c r="AW10" s="12">
        <f>CEILING('Wind Elemental'!$Z$6/ IF('Wind Elemental'!$X$6&lt; 10.8, Table14[[#This Row],[STR]], Table14[[#This Row],[STR]] / ('Wind Elemental'!$X$6 / 10.8)), 1)</f>
        <v>58</v>
      </c>
      <c r="AX10" s="12">
        <f>CEILING('Water Elemental'!$Z$6/ IF('Water Elemental'!$X$6&lt; 10.8, Table14[[#This Row],[STR]], Table14[[#This Row],[STR]] / ('Water Elemental'!$X$6 / 10.8)), 1)</f>
        <v>80</v>
      </c>
      <c r="AY10" s="12">
        <f>CEILING('Fire Elemental'!$Z$4/ IF('Fire Elemental'!$X$4&lt; 10.8, Table14[[#This Row],[STR]], Table14[[#This Row],[STR]] / ('Fire Elemental'!$X$4 / 10.8)), 1)</f>
        <v>130</v>
      </c>
      <c r="AZ10" s="12">
        <f>CEILING(Wyvern!$Z$4/ IF(Wyvern!$X$4&lt; 10.8, Table14[[#This Row],[STR]], Table14[[#This Row],[STR]] / (Wyvern!$X$4 / 10.8)), 1)</f>
        <v>157</v>
      </c>
      <c r="BA10" s="12">
        <f>CEILING('Evolved Wyvern'!$Z$4/ IF('Evolved Wyvern'!$X$4&lt; 10.8, Table14[[#This Row],[STR]], Table14[[#This Row],[STR]] / ('Evolved Wyvern'!$X$4 / 10.8)), 1)</f>
        <v>201</v>
      </c>
      <c r="BB10" s="12">
        <f>CEILING(Dragon!$Z$4/ IF(Dragon!$X$4&lt; 10.8, Table14[[#This Row],[STR]], Table14[[#This Row],[STR]] / (Dragon!$X$4 / 10.8)), 1)</f>
        <v>339</v>
      </c>
    </row>
    <row r="11" spans="1:54" x14ac:dyDescent="0.3">
      <c r="A11" s="34">
        <v>9</v>
      </c>
      <c r="B11" s="34">
        <f>$B$3 + ((Table14[[#This Row],[Level]] / 10) + $B$3 / 8) * Table14[[#This Row],[Level]] + Equipment!$O$10</f>
        <v>30.099999999999998</v>
      </c>
      <c r="C11" s="34">
        <f xml:space="preserve"> 2*Table14[[#This Row],[INT]]</f>
        <v>45</v>
      </c>
      <c r="D11" s="34">
        <f>$D$3 + ($D$3 / 4) * Table14[[#This Row],[Level]] + Equipment!$P$10</f>
        <v>22.5</v>
      </c>
      <c r="E11" s="34">
        <f>$E$3 + ($E$3 / 4) * Table14[[#This Row],[Level]] + Equipment!$Q$10</f>
        <v>26.75</v>
      </c>
      <c r="F11" s="34">
        <f>$F$3 + ($F$3 / 4) * Table14[[#This Row],[Level]] + Equipment!$R$10</f>
        <v>19.25</v>
      </c>
      <c r="G11" s="34">
        <f>$G$3 + ($G$3 / 4) * Table14[[#This Row],[Level]] + Equipment!$S$10</f>
        <v>22.5</v>
      </c>
      <c r="H11" s="34">
        <f>$H$3 + ($H$3 / 4) * Table14[[#This Row],[Level]] + Equipment!$T$10</f>
        <v>30</v>
      </c>
      <c r="I11" s="1">
        <f xml:space="preserve"> (4 * (Table14[[#This Row],[Level]] ^ 3))/7 + $I$3</f>
        <v>516.57142857142856</v>
      </c>
      <c r="K11" s="8">
        <f>CEILING('Blue Slime'!$B$5/ IF('Blue Slime'!$D$5&lt; 10.8, Table14[[#This Row],[STR]], Table14[[#This Row],[STR]] / ('Blue Slime'!$D$5 / 10.8)), 1)</f>
        <v>2</v>
      </c>
      <c r="L11" s="8">
        <f>CEILING('Green Slime'!$B$5/ IF('Green Slime'!$D$5&lt; 10.8, Table14[[#This Row],[STR]], Table14[[#This Row],[STR]] / ('Green Slime'!$D$5 / 10.8)), 1)</f>
        <v>2</v>
      </c>
      <c r="M11" s="8">
        <f>CEILING(Wolf!$B$6/ IF(Wolf!$D$6&lt; 10.8, Table14[[#This Row],[STR]], Table14[[#This Row],[STR]] / (Wolf!$D$6 / 10.8)), 1)</f>
        <v>4</v>
      </c>
      <c r="N11" s="8">
        <f>CEILING('Horned Wolf'!$B$5/ IF('Horned Wolf'!$D$5&lt; 10.8, Table14[[#This Row],[STR]], Table14[[#This Row],[STR]] / ('Horned Wolf'!$D$5 / 10.8)), 1)</f>
        <v>11</v>
      </c>
      <c r="O11" s="14">
        <f>CEILING(Spider!$B$7/ IF(Spider!$D$7&lt; 10.8, Table14[[#This Row],[STR]], Table14[[#This Row],[STR]] / (Spider!$D$7 / 10.8)), 1)</f>
        <v>10</v>
      </c>
      <c r="P11" s="14">
        <f>CEILING('Evolved Spider'!$B$8/ IF('Evolved Spider'!$D$8&lt; 10.8, Table14[[#This Row],[STR]], Table14[[#This Row],[STR]] / ('Evolved Spider'!$D$8 / 10.8)), 1)</f>
        <v>20</v>
      </c>
      <c r="Q11" s="14">
        <f>CEILING(Arachne!$B$4/ IF(Arachne!$D$4&lt; 10.8, Table14[[#This Row],[STR]], Table14[[#This Row],[STR]] / (Arachne!$D$4 / 10.8)), 1)</f>
        <v>26</v>
      </c>
      <c r="R11" s="12">
        <f>CEILING('Earth Elemental'!$B$6/ IF('Earth Elemental'!$D$6&lt; 10.8, Table14[[#This Row],[STR]], Table14[[#This Row],[STR]] / ('Earth Elemental'!$D$6 / 10.8)), 1)</f>
        <v>26</v>
      </c>
      <c r="S11" s="12">
        <f>CEILING('Wind Elemental'!$B$6/ IF('Wind Elemental'!$D$6&lt; 10.8, Table14[[#This Row],[STR]], Table14[[#This Row],[STR]] / ('Wind Elemental'!$D$6 / 10.8)), 1)</f>
        <v>24</v>
      </c>
      <c r="T11" s="12">
        <f>CEILING('Water Elemental'!$B$6/ IF('Water Elemental'!$D$6&lt; 10.8, Table14[[#This Row],[STR]], Table14[[#This Row],[STR]] / ('Water Elemental'!$D$6 / 10.8)), 1)</f>
        <v>36</v>
      </c>
      <c r="U11" s="12">
        <f>CEILING('Fire Elemental'!$B$4/ IF('Fire Elemental'!$D$4&lt; 10.8, Table14[[#This Row],[STR]], Table14[[#This Row],[STR]] / ('Fire Elemental'!$D$4 / 10.8)), 1)</f>
        <v>45</v>
      </c>
      <c r="V11" s="12">
        <f>CEILING(Wyvern!$B$4/ IF(Wyvern!$D$4&lt; 10.8, Table14[[#This Row],[STR]], Table14[[#This Row],[STR]] / (Wyvern!$D$4 / 10.8)), 1)</f>
        <v>61</v>
      </c>
      <c r="W11" s="12">
        <f>CEILING('Evolved Wyvern'!$B$4/ IF('Evolved Wyvern'!$D$4&lt; 10.8, Table14[[#This Row],[STR]], Table14[[#This Row],[STR]] / ('Evolved Wyvern'!$D$4 / 10.8)), 1)</f>
        <v>85</v>
      </c>
      <c r="X11" s="12">
        <f>CEILING(Dragon!$B$4/ IF(Dragon!$D$4&lt; 10.8, Table14[[#This Row],[STR]], Table14[[#This Row],[STR]] / (Dragon!$D$4 / 10.8)), 1)</f>
        <v>139</v>
      </c>
      <c r="Z11" s="14">
        <f>CEILING('Blue Slime'!$M$5/ IF('Blue Slime'!$O$5&lt; 10.8, Table14[[#This Row],[STR]], Table14[[#This Row],[STR]] / ('Blue Slime'!$O$5 / 10.8)), 1)</f>
        <v>2</v>
      </c>
      <c r="AA11" s="14">
        <f>CEILING('Green Slime'!$M$5/ IF('Green Slime'!$O$5&lt; 10.8, Table14[[#This Row],[STR]], Table14[[#This Row],[STR]] / ('Green Slime'!$O$5 / 10.8)), 1)</f>
        <v>3</v>
      </c>
      <c r="AB11" s="14">
        <f>CEILING(Wolf!$M$6/ IF(Wolf!$O$6&lt; 10.8, Table14[[#This Row],[STR]], Table14[[#This Row],[STR]] / (Wolf!$O$6 / 10.8)), 1)</f>
        <v>8</v>
      </c>
      <c r="AC11" s="14">
        <f>CEILING('Horned Wolf'!$M$5/ IF('Horned Wolf'!$O$5&lt; 10.8, Table14[[#This Row],[STR]], Table14[[#This Row],[STR]] / ('Horned Wolf'!$O$5 / 10.8)), 1)</f>
        <v>22</v>
      </c>
      <c r="AD11" s="8">
        <f>CEILING(Spider!$M$7/ IF(Spider!$O$7&lt; 10.8, Table14[[#This Row],[STR]], Table14[[#This Row],[STR]] / (Spider!$O$7 / 10.8)), 1)</f>
        <v>20</v>
      </c>
      <c r="AE11" s="8">
        <f>CEILING('Evolved Spider'!$M$8/ IF('Evolved Spider'!$O$8&lt; 10.8, Table14[[#This Row],[STR]], Table14[[#This Row],[STR]] / ('Evolved Spider'!$O$8 / 10.8)), 1)</f>
        <v>38</v>
      </c>
      <c r="AF11" s="8">
        <f>CEILING(Arachne!$M$4/ IF(Arachne!$O$4&lt; 10.8, Table14[[#This Row],[STR]], Table14[[#This Row],[STR]] / (Arachne!$O$4 / 10.8)), 1)</f>
        <v>51</v>
      </c>
      <c r="AG11" s="12">
        <f>CEILING('Earth Elemental'!$M$6/ IF('Earth Elemental'!$O$6&lt; 10.8, Table14[[#This Row],[STR]], Table14[[#This Row],[STR]] / ('Earth Elemental'!$O$6 / 10.8)), 1)</f>
        <v>46</v>
      </c>
      <c r="AH11" s="12">
        <f>CEILING('Wind Elemental'!$M$6/ IF('Wind Elemental'!$O$6&lt; 10.8, Table14[[#This Row],[STR]], Table14[[#This Row],[STR]] / ('Wind Elemental'!$O$6 / 10.8)), 1)</f>
        <v>38</v>
      </c>
      <c r="AI11" s="12">
        <f>CEILING('Water Elemental'!$M$6/ IF('Water Elemental'!$O$6&lt; 10.8, Table14[[#This Row],[STR]], Table14[[#This Row],[STR]] / ('Water Elemental'!$O$6 / 10.8)), 1)</f>
        <v>55</v>
      </c>
      <c r="AJ11" s="12">
        <f>CEILING('Fire Elemental'!$M$4/ IF('Fire Elemental'!$O$4&lt; 10.8, Table14[[#This Row],[STR]], Table14[[#This Row],[STR]] / ('Fire Elemental'!$O$4 / 10.8)), 1)</f>
        <v>80</v>
      </c>
      <c r="AK11" s="12">
        <f>CEILING(Wyvern!$M$4/ IF(Wyvern!$O$4&lt; 10.8, Table14[[#This Row],[STR]], Table14[[#This Row],[STR]] / (Wyvern!$O$4 / 10.8)), 1)</f>
        <v>101</v>
      </c>
      <c r="AL11" s="12">
        <f>CEILING('Evolved Wyvern'!$M$4/ IF('Evolved Wyvern'!$O$4&lt; 10.8, Table14[[#This Row],[STR]], Table14[[#This Row],[STR]] / ('Evolved Wyvern'!$O$4 / 10.8)), 1)</f>
        <v>134</v>
      </c>
      <c r="AM11" s="12">
        <f>CEILING(Dragon!$M$4/ IF(Dragon!$O$4&lt; 10.8, Table14[[#This Row],[STR]], Table14[[#This Row],[STR]] / (Dragon!$O$4 / 10.8)), 1)</f>
        <v>223</v>
      </c>
      <c r="AO11" s="14">
        <f>CEILING('Blue Slime'!$Z$5/ IF('Blue Slime'!$X$5&lt; 10.8, Table14[[#This Row],[STR]], Table14[[#This Row],[STR]] / ('Blue Slime'!$X$5 / 10.8)), 1)</f>
        <v>3</v>
      </c>
      <c r="AP11" s="14">
        <f>CEILING('Green Slime'!$Z$5/ IF('Green Slime'!$X$5&lt; 10.8, Table14[[#This Row],[STR]], Table14[[#This Row],[STR]] / ('Green Slime'!$X$5 / 10.8)), 1)</f>
        <v>5</v>
      </c>
      <c r="AQ11" s="14">
        <f>CEILING(Wolf!$Z$6/ IF(Wolf!$X$6&lt; 10.8, Table14[[#This Row],[STR]], Table14[[#This Row],[STR]] / (Wolf!$X$6 / 10.8)), 1)</f>
        <v>14</v>
      </c>
      <c r="AR11" s="14">
        <f>CEILING('Horned Wolf'!$Z$5/ IF('Horned Wolf'!$X$5&lt; 10.8, Table14[[#This Row],[STR]], Table14[[#This Row],[STR]] / ('Horned Wolf'!$X$5 / 10.8)), 1)</f>
        <v>39</v>
      </c>
      <c r="AS11" s="8">
        <f>CEILING(Spider!$Z$7/ IF(Spider!$X$7&lt; 10.8, Table14[[#This Row],[STR]], Table14[[#This Row],[STR]] / (Spider!$X$7 / 10.8)), 1)</f>
        <v>34</v>
      </c>
      <c r="AT11" s="8">
        <f>CEILING('Evolved Spider'!$Z$8/ IF('Evolved Spider'!$X$8&lt; 10.8, Table14[[#This Row],[STR]], Table14[[#This Row],[STR]] / ('Evolved Spider'!$X$8 / 10.8)), 1)</f>
        <v>61</v>
      </c>
      <c r="AU11" s="8">
        <f>CEILING(Arachne!$Z$4/ IF(Arachne!$X$4&lt; 10.8, Table14[[#This Row],[STR]], Table14[[#This Row],[STR]] / (Arachne!$X$4 / 10.8)), 1)</f>
        <v>84</v>
      </c>
      <c r="AV11" s="12">
        <f>CEILING('Earth Elemental'!$Z$6/ IF('Earth Elemental'!$X$6&lt; 10.8, Table14[[#This Row],[STR]], Table14[[#This Row],[STR]] / ('Earth Elemental'!$X$6 / 10.8)), 1)</f>
        <v>70</v>
      </c>
      <c r="AW11" s="12">
        <f>CEILING('Wind Elemental'!$Z$6/ IF('Wind Elemental'!$X$6&lt; 10.8, Table14[[#This Row],[STR]], Table14[[#This Row],[STR]] / ('Wind Elemental'!$X$6 / 10.8)), 1)</f>
        <v>54</v>
      </c>
      <c r="AX11" s="12">
        <f>CEILING('Water Elemental'!$Z$6/ IF('Water Elemental'!$X$6&lt; 10.8, Table14[[#This Row],[STR]], Table14[[#This Row],[STR]] / ('Water Elemental'!$X$6 / 10.8)), 1)</f>
        <v>75</v>
      </c>
      <c r="AY11" s="12">
        <f>CEILING('Fire Elemental'!$Z$4/ IF('Fire Elemental'!$X$4&lt; 10.8, Table14[[#This Row],[STR]], Table14[[#This Row],[STR]] / ('Fire Elemental'!$X$4 / 10.8)), 1)</f>
        <v>122</v>
      </c>
      <c r="AZ11" s="12">
        <f>CEILING(Wyvern!$Z$4/ IF(Wyvern!$X$4&lt; 10.8, Table14[[#This Row],[STR]], Table14[[#This Row],[STR]] / (Wyvern!$X$4 / 10.8)), 1)</f>
        <v>147</v>
      </c>
      <c r="BA11" s="12">
        <f>CEILING('Evolved Wyvern'!$Z$4/ IF('Evolved Wyvern'!$X$4&lt; 10.8, Table14[[#This Row],[STR]], Table14[[#This Row],[STR]] / ('Evolved Wyvern'!$X$4 / 10.8)), 1)</f>
        <v>188</v>
      </c>
      <c r="BB11" s="12">
        <f>CEILING(Dragon!$Z$4/ IF(Dragon!$X$4&lt; 10.8, Table14[[#This Row],[STR]], Table14[[#This Row],[STR]] / (Dragon!$X$4 / 10.8)), 1)</f>
        <v>317</v>
      </c>
    </row>
    <row r="12" spans="1:54" x14ac:dyDescent="0.3">
      <c r="A12" s="34">
        <v>10</v>
      </c>
      <c r="B12" s="34">
        <f>$B$3 + ((Table14[[#This Row],[Level]] / 10) + $B$3 / 8) * Table14[[#This Row],[Level]] + Equipment!$O$10</f>
        <v>33</v>
      </c>
      <c r="C12" s="34">
        <f xml:space="preserve"> 2*Table14[[#This Row],[INT]]</f>
        <v>48</v>
      </c>
      <c r="D12" s="34">
        <f>$D$3 + ($D$3 / 4) * Table14[[#This Row],[Level]] + Equipment!$P$10</f>
        <v>24</v>
      </c>
      <c r="E12" s="34">
        <f>$E$3 + ($E$3 / 4) * Table14[[#This Row],[Level]] + Equipment!$Q$10</f>
        <v>28.5</v>
      </c>
      <c r="F12" s="34">
        <f>$F$3 + ($F$3 / 4) * Table14[[#This Row],[Level]] + Equipment!$R$10</f>
        <v>20.5</v>
      </c>
      <c r="G12" s="34">
        <f>$G$3 + ($G$3 / 4) * Table14[[#This Row],[Level]] + Equipment!$S$10</f>
        <v>24</v>
      </c>
      <c r="H12" s="34">
        <f>$H$3 + ($H$3 / 4) * Table14[[#This Row],[Level]] + Equipment!$T$10</f>
        <v>32</v>
      </c>
      <c r="I12" s="1">
        <f xml:space="preserve"> (4 * (Table14[[#This Row],[Level]] ^ 3))/7 + $I$3</f>
        <v>671.42857142857144</v>
      </c>
      <c r="K12" s="8">
        <f>CEILING('Blue Slime'!$B$5/ IF('Blue Slime'!$D$5&lt; 10.8, Table14[[#This Row],[STR]], Table14[[#This Row],[STR]] / ('Blue Slime'!$D$5 / 10.8)), 1)</f>
        <v>1</v>
      </c>
      <c r="L12" s="8">
        <f>CEILING('Green Slime'!$B$5/ IF('Green Slime'!$D$5&lt; 10.8, Table14[[#This Row],[STR]], Table14[[#This Row],[STR]] / ('Green Slime'!$D$5 / 10.8)), 1)</f>
        <v>2</v>
      </c>
      <c r="M12" s="8">
        <f>CEILING(Wolf!$B$6/ IF(Wolf!$D$6&lt; 10.8, Table14[[#This Row],[STR]], Table14[[#This Row],[STR]] / (Wolf!$D$6 / 10.8)), 1)</f>
        <v>4</v>
      </c>
      <c r="N12" s="8">
        <f>CEILING('Horned Wolf'!$B$5/ IF('Horned Wolf'!$D$5&lt; 10.8, Table14[[#This Row],[STR]], Table14[[#This Row],[STR]] / ('Horned Wolf'!$D$5 / 10.8)), 1)</f>
        <v>10</v>
      </c>
      <c r="O12" s="14">
        <f>CEILING(Spider!$B$7/ IF(Spider!$D$7&lt; 10.8, Table14[[#This Row],[STR]], Table14[[#This Row],[STR]] / (Spider!$D$7 / 10.8)), 1)</f>
        <v>10</v>
      </c>
      <c r="P12" s="14">
        <f>CEILING('Evolved Spider'!$B$8/ IF('Evolved Spider'!$D$8&lt; 10.8, Table14[[#This Row],[STR]], Table14[[#This Row],[STR]] / ('Evolved Spider'!$D$8 / 10.8)), 1)</f>
        <v>19</v>
      </c>
      <c r="Q12" s="14">
        <f>CEILING(Arachne!$B$4/ IF(Arachne!$D$4&lt; 10.8, Table14[[#This Row],[STR]], Table14[[#This Row],[STR]] / (Arachne!$D$4 / 10.8)), 1)</f>
        <v>24</v>
      </c>
      <c r="R12" s="12">
        <f>CEILING('Earth Elemental'!$B$6/ IF('Earth Elemental'!$D$6&lt; 10.8, Table14[[#This Row],[STR]], Table14[[#This Row],[STR]] / ('Earth Elemental'!$D$6 / 10.8)), 1)</f>
        <v>25</v>
      </c>
      <c r="S12" s="12">
        <f>CEILING('Wind Elemental'!$B$6/ IF('Wind Elemental'!$D$6&lt; 10.8, Table14[[#This Row],[STR]], Table14[[#This Row],[STR]] / ('Wind Elemental'!$D$6 / 10.8)), 1)</f>
        <v>22</v>
      </c>
      <c r="T12" s="12">
        <f>CEILING('Water Elemental'!$B$6/ IF('Water Elemental'!$D$6&lt; 10.8, Table14[[#This Row],[STR]], Table14[[#This Row],[STR]] / ('Water Elemental'!$D$6 / 10.8)), 1)</f>
        <v>34</v>
      </c>
      <c r="U12" s="12">
        <f>CEILING('Fire Elemental'!$B$4/ IF('Fire Elemental'!$D$4&lt; 10.8, Table14[[#This Row],[STR]], Table14[[#This Row],[STR]] / ('Fire Elemental'!$D$4 / 10.8)), 1)</f>
        <v>43</v>
      </c>
      <c r="V12" s="12">
        <f>CEILING(Wyvern!$B$4/ IF(Wyvern!$D$4&lt; 10.8, Table14[[#This Row],[STR]], Table14[[#This Row],[STR]] / (Wyvern!$D$4 / 10.8)), 1)</f>
        <v>58</v>
      </c>
      <c r="W12" s="12">
        <f>CEILING('Evolved Wyvern'!$B$4/ IF('Evolved Wyvern'!$D$4&lt; 10.8, Table14[[#This Row],[STR]], Table14[[#This Row],[STR]] / ('Evolved Wyvern'!$D$4 / 10.8)), 1)</f>
        <v>80</v>
      </c>
      <c r="X12" s="12">
        <f>CEILING(Dragon!$B$4/ IF(Dragon!$D$4&lt; 10.8, Table14[[#This Row],[STR]], Table14[[#This Row],[STR]] / (Dragon!$D$4 / 10.8)), 1)</f>
        <v>131</v>
      </c>
      <c r="Z12" s="14">
        <f>CEILING('Blue Slime'!$M$5/ IF('Blue Slime'!$O$5&lt; 10.8, Table14[[#This Row],[STR]], Table14[[#This Row],[STR]] / ('Blue Slime'!$O$5 / 10.8)), 1)</f>
        <v>2</v>
      </c>
      <c r="AA12" s="14">
        <f>CEILING('Green Slime'!$M$5/ IF('Green Slime'!$O$5&lt; 10.8, Table14[[#This Row],[STR]], Table14[[#This Row],[STR]] / ('Green Slime'!$O$5 / 10.8)), 1)</f>
        <v>3</v>
      </c>
      <c r="AB12" s="14">
        <f>CEILING(Wolf!$M$6/ IF(Wolf!$O$6&lt; 10.8, Table14[[#This Row],[STR]], Table14[[#This Row],[STR]] / (Wolf!$O$6 / 10.8)), 1)</f>
        <v>8</v>
      </c>
      <c r="AC12" s="14">
        <f>CEILING('Horned Wolf'!$M$5/ IF('Horned Wolf'!$O$5&lt; 10.8, Table14[[#This Row],[STR]], Table14[[#This Row],[STR]] / ('Horned Wolf'!$O$5 / 10.8)), 1)</f>
        <v>21</v>
      </c>
      <c r="AD12" s="8">
        <f>CEILING(Spider!$M$7/ IF(Spider!$O$7&lt; 10.8, Table14[[#This Row],[STR]], Table14[[#This Row],[STR]] / (Spider!$O$7 / 10.8)), 1)</f>
        <v>19</v>
      </c>
      <c r="AE12" s="8">
        <f>CEILING('Evolved Spider'!$M$8/ IF('Evolved Spider'!$O$8&lt; 10.8, Table14[[#This Row],[STR]], Table14[[#This Row],[STR]] / ('Evolved Spider'!$O$8 / 10.8)), 1)</f>
        <v>35</v>
      </c>
      <c r="AF12" s="8">
        <f>CEILING(Arachne!$M$4/ IF(Arachne!$O$4&lt; 10.8, Table14[[#This Row],[STR]], Table14[[#This Row],[STR]] / (Arachne!$O$4 / 10.8)), 1)</f>
        <v>48</v>
      </c>
      <c r="AG12" s="12">
        <f>CEILING('Earth Elemental'!$M$6/ IF('Earth Elemental'!$O$6&lt; 10.8, Table14[[#This Row],[STR]], Table14[[#This Row],[STR]] / ('Earth Elemental'!$O$6 / 10.8)), 1)</f>
        <v>43</v>
      </c>
      <c r="AH12" s="12">
        <f>CEILING('Wind Elemental'!$M$6/ IF('Wind Elemental'!$O$6&lt; 10.8, Table14[[#This Row],[STR]], Table14[[#This Row],[STR]] / ('Wind Elemental'!$O$6 / 10.8)), 1)</f>
        <v>36</v>
      </c>
      <c r="AI12" s="12">
        <f>CEILING('Water Elemental'!$M$6/ IF('Water Elemental'!$O$6&lt; 10.8, Table14[[#This Row],[STR]], Table14[[#This Row],[STR]] / ('Water Elemental'!$O$6 / 10.8)), 1)</f>
        <v>51</v>
      </c>
      <c r="AJ12" s="12">
        <f>CEILING('Fire Elemental'!$M$4/ IF('Fire Elemental'!$O$4&lt; 10.8, Table14[[#This Row],[STR]], Table14[[#This Row],[STR]] / ('Fire Elemental'!$O$4 / 10.8)), 1)</f>
        <v>75</v>
      </c>
      <c r="AK12" s="12">
        <f>CEILING(Wyvern!$M$4/ IF(Wyvern!$O$4&lt; 10.8, Table14[[#This Row],[STR]], Table14[[#This Row],[STR]] / (Wyvern!$O$4 / 10.8)), 1)</f>
        <v>95</v>
      </c>
      <c r="AL12" s="12">
        <f>CEILING('Evolved Wyvern'!$M$4/ IF('Evolved Wyvern'!$O$4&lt; 10.8, Table14[[#This Row],[STR]], Table14[[#This Row],[STR]] / ('Evolved Wyvern'!$O$4 / 10.8)), 1)</f>
        <v>126</v>
      </c>
      <c r="AM12" s="12">
        <f>CEILING(Dragon!$M$4/ IF(Dragon!$O$4&lt; 10.8, Table14[[#This Row],[STR]], Table14[[#This Row],[STR]] / (Dragon!$O$4 / 10.8)), 1)</f>
        <v>210</v>
      </c>
      <c r="AO12" s="14">
        <f>CEILING('Blue Slime'!$Z$5/ IF('Blue Slime'!$X$5&lt; 10.8, Table14[[#This Row],[STR]], Table14[[#This Row],[STR]] / ('Blue Slime'!$X$5 / 10.8)), 1)</f>
        <v>3</v>
      </c>
      <c r="AP12" s="14">
        <f>CEILING('Green Slime'!$Z$5/ IF('Green Slime'!$X$5&lt; 10.8, Table14[[#This Row],[STR]], Table14[[#This Row],[STR]] / ('Green Slime'!$X$5 / 10.8)), 1)</f>
        <v>5</v>
      </c>
      <c r="AQ12" s="14">
        <f>CEILING(Wolf!$Z$6/ IF(Wolf!$X$6&lt; 10.8, Table14[[#This Row],[STR]], Table14[[#This Row],[STR]] / (Wolf!$X$6 / 10.8)), 1)</f>
        <v>13</v>
      </c>
      <c r="AR12" s="14">
        <f>CEILING('Horned Wolf'!$Z$5/ IF('Horned Wolf'!$X$5&lt; 10.8, Table14[[#This Row],[STR]], Table14[[#This Row],[STR]] / ('Horned Wolf'!$X$5 / 10.8)), 1)</f>
        <v>37</v>
      </c>
      <c r="AS12" s="8">
        <f>CEILING(Spider!$Z$7/ IF(Spider!$X$7&lt; 10.8, Table14[[#This Row],[STR]], Table14[[#This Row],[STR]] / (Spider!$X$7 / 10.8)), 1)</f>
        <v>32</v>
      </c>
      <c r="AT12" s="8">
        <f>CEILING('Evolved Spider'!$Z$8/ IF('Evolved Spider'!$X$8&lt; 10.8, Table14[[#This Row],[STR]], Table14[[#This Row],[STR]] / ('Evolved Spider'!$X$8 / 10.8)), 1)</f>
        <v>58</v>
      </c>
      <c r="AU12" s="8">
        <f>CEILING(Arachne!$Z$4/ IF(Arachne!$X$4&lt; 10.8, Table14[[#This Row],[STR]], Table14[[#This Row],[STR]] / (Arachne!$X$4 / 10.8)), 1)</f>
        <v>79</v>
      </c>
      <c r="AV12" s="12">
        <f>CEILING('Earth Elemental'!$Z$6/ IF('Earth Elemental'!$X$6&lt; 10.8, Table14[[#This Row],[STR]], Table14[[#This Row],[STR]] / ('Earth Elemental'!$X$6 / 10.8)), 1)</f>
        <v>66</v>
      </c>
      <c r="AW12" s="12">
        <f>CEILING('Wind Elemental'!$Z$6/ IF('Wind Elemental'!$X$6&lt; 10.8, Table14[[#This Row],[STR]], Table14[[#This Row],[STR]] / ('Wind Elemental'!$X$6 / 10.8)), 1)</f>
        <v>51</v>
      </c>
      <c r="AX12" s="12">
        <f>CEILING('Water Elemental'!$Z$6/ IF('Water Elemental'!$X$6&lt; 10.8, Table14[[#This Row],[STR]], Table14[[#This Row],[STR]] / ('Water Elemental'!$X$6 / 10.8)), 1)</f>
        <v>70</v>
      </c>
      <c r="AY12" s="12">
        <f>CEILING('Fire Elemental'!$Z$4/ IF('Fire Elemental'!$X$4&lt; 10.8, Table14[[#This Row],[STR]], Table14[[#This Row],[STR]] / ('Fire Elemental'!$X$4 / 10.8)), 1)</f>
        <v>114</v>
      </c>
      <c r="AZ12" s="12">
        <f>CEILING(Wyvern!$Z$4/ IF(Wyvern!$X$4&lt; 10.8, Table14[[#This Row],[STR]], Table14[[#This Row],[STR]] / (Wyvern!$X$4 / 10.8)), 1)</f>
        <v>138</v>
      </c>
      <c r="BA12" s="12">
        <f>CEILING('Evolved Wyvern'!$Z$4/ IF('Evolved Wyvern'!$X$4&lt; 10.8, Table14[[#This Row],[STR]], Table14[[#This Row],[STR]] / ('Evolved Wyvern'!$X$4 / 10.8)), 1)</f>
        <v>177</v>
      </c>
      <c r="BB12" s="12">
        <f>CEILING(Dragon!$Z$4/ IF(Dragon!$X$4&lt; 10.8, Table14[[#This Row],[STR]], Table14[[#This Row],[STR]] / (Dragon!$X$4 / 10.8)), 1)</f>
        <v>298</v>
      </c>
    </row>
    <row r="13" spans="1:54" x14ac:dyDescent="0.3">
      <c r="A13" s="34">
        <v>11</v>
      </c>
      <c r="B13" s="34">
        <f>$B$3 + ((Table14[[#This Row],[Level]] / 10) + $B$3 / 8) * Table14[[#This Row],[Level]] + Equipment!$O$10</f>
        <v>36.1</v>
      </c>
      <c r="C13" s="34">
        <f xml:space="preserve"> 2*Table14[[#This Row],[INT]]</f>
        <v>51</v>
      </c>
      <c r="D13" s="34">
        <f>$D$3 + ($D$3 / 4) * Table14[[#This Row],[Level]] + Equipment!$P$10</f>
        <v>25.5</v>
      </c>
      <c r="E13" s="34">
        <f>$E$3 + ($E$3 / 4) * Table14[[#This Row],[Level]] + Equipment!$Q$10</f>
        <v>30.25</v>
      </c>
      <c r="F13" s="34">
        <f>$F$3 + ($F$3 / 4) * Table14[[#This Row],[Level]] + Equipment!$R$10</f>
        <v>21.75</v>
      </c>
      <c r="G13" s="34">
        <f>$G$3 + ($G$3 / 4) * Table14[[#This Row],[Level]] + Equipment!$S$10</f>
        <v>25.5</v>
      </c>
      <c r="H13" s="34">
        <f>$H$3 + ($H$3 / 4) * Table14[[#This Row],[Level]] + Equipment!$T$10</f>
        <v>34</v>
      </c>
      <c r="I13" s="1">
        <f xml:space="preserve"> (4 * (Table14[[#This Row],[Level]] ^ 3))/7 + $I$3</f>
        <v>860.57142857142856</v>
      </c>
      <c r="K13" s="8">
        <f>CEILING('Blue Slime'!$B$5/ IF('Blue Slime'!$D$5&lt; 10.8, Table14[[#This Row],[STR]], Table14[[#This Row],[STR]] / ('Blue Slime'!$D$5 / 10.8)), 1)</f>
        <v>1</v>
      </c>
      <c r="L13" s="8">
        <f>CEILING('Green Slime'!$B$5/ IF('Green Slime'!$D$5&lt; 10.8, Table14[[#This Row],[STR]], Table14[[#This Row],[STR]] / ('Green Slime'!$D$5 / 10.8)), 1)</f>
        <v>2</v>
      </c>
      <c r="M13" s="8">
        <f>CEILING(Wolf!$B$6/ IF(Wolf!$D$6&lt; 10.8, Table14[[#This Row],[STR]], Table14[[#This Row],[STR]] / (Wolf!$D$6 / 10.8)), 1)</f>
        <v>4</v>
      </c>
      <c r="N13" s="8">
        <f>CEILING('Horned Wolf'!$B$5/ IF('Horned Wolf'!$D$5&lt; 10.8, Table14[[#This Row],[STR]], Table14[[#This Row],[STR]] / ('Horned Wolf'!$D$5 / 10.8)), 1)</f>
        <v>9</v>
      </c>
      <c r="O13" s="14">
        <f>CEILING(Spider!$B$7/ IF(Spider!$D$7&lt; 10.8, Table14[[#This Row],[STR]], Table14[[#This Row],[STR]] / (Spider!$D$7 / 10.8)), 1)</f>
        <v>9</v>
      </c>
      <c r="P13" s="14">
        <f>CEILING('Evolved Spider'!$B$8/ IF('Evolved Spider'!$D$8&lt; 10.8, Table14[[#This Row],[STR]], Table14[[#This Row],[STR]] / ('Evolved Spider'!$D$8 / 10.8)), 1)</f>
        <v>17</v>
      </c>
      <c r="Q13" s="14">
        <f>CEILING(Arachne!$B$4/ IF(Arachne!$D$4&lt; 10.8, Table14[[#This Row],[STR]], Table14[[#This Row],[STR]] / (Arachne!$D$4 / 10.8)), 1)</f>
        <v>23</v>
      </c>
      <c r="R13" s="12">
        <f>CEILING('Earth Elemental'!$B$6/ IF('Earth Elemental'!$D$6&lt; 10.8, Table14[[#This Row],[STR]], Table14[[#This Row],[STR]] / ('Earth Elemental'!$D$6 / 10.8)), 1)</f>
        <v>23</v>
      </c>
      <c r="S13" s="12">
        <f>CEILING('Wind Elemental'!$B$6/ IF('Wind Elemental'!$D$6&lt; 10.8, Table14[[#This Row],[STR]], Table14[[#This Row],[STR]] / ('Wind Elemental'!$D$6 / 10.8)), 1)</f>
        <v>21</v>
      </c>
      <c r="T13" s="12">
        <f>CEILING('Water Elemental'!$B$6/ IF('Water Elemental'!$D$6&lt; 10.8, Table14[[#This Row],[STR]], Table14[[#This Row],[STR]] / ('Water Elemental'!$D$6 / 10.8)), 1)</f>
        <v>32</v>
      </c>
      <c r="U13" s="12">
        <f>CEILING('Fire Elemental'!$B$4/ IF('Fire Elemental'!$D$4&lt; 10.8, Table14[[#This Row],[STR]], Table14[[#This Row],[STR]] / ('Fire Elemental'!$D$4 / 10.8)), 1)</f>
        <v>40</v>
      </c>
      <c r="V13" s="12">
        <f>CEILING(Wyvern!$B$4/ IF(Wyvern!$D$4&lt; 10.8, Table14[[#This Row],[STR]], Table14[[#This Row],[STR]] / (Wyvern!$D$4 / 10.8)), 1)</f>
        <v>54</v>
      </c>
      <c r="W13" s="12">
        <f>CEILING('Evolved Wyvern'!$B$4/ IF('Evolved Wyvern'!$D$4&lt; 10.8, Table14[[#This Row],[STR]], Table14[[#This Row],[STR]] / ('Evolved Wyvern'!$D$4 / 10.8)), 1)</f>
        <v>75</v>
      </c>
      <c r="X13" s="12">
        <f>CEILING(Dragon!$B$4/ IF(Dragon!$D$4&lt; 10.8, Table14[[#This Row],[STR]], Table14[[#This Row],[STR]] / (Dragon!$D$4 / 10.8)), 1)</f>
        <v>123</v>
      </c>
      <c r="Z13" s="8">
        <f>CEILING('Blue Slime'!$M$5/ IF('Blue Slime'!$O$5&lt; 10.8, Table14[[#This Row],[STR]], Table14[[#This Row],[STR]] / ('Blue Slime'!$O$5 / 10.8)), 1)</f>
        <v>2</v>
      </c>
      <c r="AA13" s="8">
        <f>CEILING('Green Slime'!$M$5/ IF('Green Slime'!$O$5&lt; 10.8, Table14[[#This Row],[STR]], Table14[[#This Row],[STR]] / ('Green Slime'!$O$5 / 10.8)), 1)</f>
        <v>3</v>
      </c>
      <c r="AB13" s="8">
        <f>CEILING(Wolf!$M$6/ IF(Wolf!$O$6&lt; 10.8, Table14[[#This Row],[STR]], Table14[[#This Row],[STR]] / (Wolf!$O$6 / 10.8)), 1)</f>
        <v>7</v>
      </c>
      <c r="AC13" s="8">
        <f>CEILING('Horned Wolf'!$M$5/ IF('Horned Wolf'!$O$5&lt; 10.8, Table14[[#This Row],[STR]], Table14[[#This Row],[STR]] / ('Horned Wolf'!$O$5 / 10.8)), 1)</f>
        <v>20</v>
      </c>
      <c r="AD13" s="14">
        <f>CEILING(Spider!$M$7/ IF(Spider!$O$7&lt; 10.8, Table14[[#This Row],[STR]], Table14[[#This Row],[STR]] / (Spider!$O$7 / 10.8)), 1)</f>
        <v>18</v>
      </c>
      <c r="AE13" s="14">
        <f>CEILING('Evolved Spider'!$M$8/ IF('Evolved Spider'!$O$8&lt; 10.8, Table14[[#This Row],[STR]], Table14[[#This Row],[STR]] / ('Evolved Spider'!$O$8 / 10.8)), 1)</f>
        <v>33</v>
      </c>
      <c r="AF13" s="14">
        <f>CEILING(Arachne!$M$4/ IF(Arachne!$O$4&lt; 10.8, Table14[[#This Row],[STR]], Table14[[#This Row],[STR]] / (Arachne!$O$4 / 10.8)), 1)</f>
        <v>45</v>
      </c>
      <c r="AG13" s="12">
        <f>CEILING('Earth Elemental'!$M$6/ IF('Earth Elemental'!$O$6&lt; 10.8, Table14[[#This Row],[STR]], Table14[[#This Row],[STR]] / ('Earth Elemental'!$O$6 / 10.8)), 1)</f>
        <v>41</v>
      </c>
      <c r="AH13" s="12">
        <f>CEILING('Wind Elemental'!$M$6/ IF('Wind Elemental'!$O$6&lt; 10.8, Table14[[#This Row],[STR]], Table14[[#This Row],[STR]] / ('Wind Elemental'!$O$6 / 10.8)), 1)</f>
        <v>34</v>
      </c>
      <c r="AI13" s="12">
        <f>CEILING('Water Elemental'!$M$6/ IF('Water Elemental'!$O$6&lt; 10.8, Table14[[#This Row],[STR]], Table14[[#This Row],[STR]] / ('Water Elemental'!$O$6 / 10.8)), 1)</f>
        <v>48</v>
      </c>
      <c r="AJ13" s="12">
        <f>CEILING('Fire Elemental'!$M$4/ IF('Fire Elemental'!$O$4&lt; 10.8, Table14[[#This Row],[STR]], Table14[[#This Row],[STR]] / ('Fire Elemental'!$O$4 / 10.8)), 1)</f>
        <v>71</v>
      </c>
      <c r="AK13" s="12">
        <f>CEILING(Wyvern!$M$4/ IF(Wyvern!$O$4&lt; 10.8, Table14[[#This Row],[STR]], Table14[[#This Row],[STR]] / (Wyvern!$O$4 / 10.8)), 1)</f>
        <v>89</v>
      </c>
      <c r="AL13" s="12">
        <f>CEILING('Evolved Wyvern'!$M$4/ IF('Evolved Wyvern'!$O$4&lt; 10.8, Table14[[#This Row],[STR]], Table14[[#This Row],[STR]] / ('Evolved Wyvern'!$O$4 / 10.8)), 1)</f>
        <v>119</v>
      </c>
      <c r="AM13" s="12">
        <f>CEILING(Dragon!$M$4/ IF(Dragon!$O$4&lt; 10.8, Table14[[#This Row],[STR]], Table14[[#This Row],[STR]] / (Dragon!$O$4 / 10.8)), 1)</f>
        <v>198</v>
      </c>
      <c r="AO13" s="8">
        <f>CEILING('Blue Slime'!$Z$5/ IF('Blue Slime'!$X$5&lt; 10.8, Table14[[#This Row],[STR]], Table14[[#This Row],[STR]] / ('Blue Slime'!$X$5 / 10.8)), 1)</f>
        <v>3</v>
      </c>
      <c r="AP13" s="8">
        <f>CEILING('Green Slime'!$Z$5/ IF('Green Slime'!$X$5&lt; 10.8, Table14[[#This Row],[STR]], Table14[[#This Row],[STR]] / ('Green Slime'!$X$5 / 10.8)), 1)</f>
        <v>5</v>
      </c>
      <c r="AQ13" s="8">
        <f>CEILING(Wolf!$Z$6/ IF(Wolf!$X$6&lt; 10.8, Table14[[#This Row],[STR]], Table14[[#This Row],[STR]] / (Wolf!$X$6 / 10.8)), 1)</f>
        <v>13</v>
      </c>
      <c r="AR13" s="8">
        <f>CEILING('Horned Wolf'!$Z$5/ IF('Horned Wolf'!$X$5&lt; 10.8, Table14[[#This Row],[STR]], Table14[[#This Row],[STR]] / ('Horned Wolf'!$X$5 / 10.8)), 1)</f>
        <v>34</v>
      </c>
      <c r="AS13" s="13">
        <f>CEILING(Spider!$Z$7/ IF(Spider!$X$7&lt; 10.8, Table14[[#This Row],[STR]], Table14[[#This Row],[STR]] / (Spider!$X$7 / 10.8)), 1)</f>
        <v>30</v>
      </c>
      <c r="AT13" s="13">
        <f>CEILING('Evolved Spider'!$Z$8/ IF('Evolved Spider'!$X$8&lt; 10.8, Table14[[#This Row],[STR]], Table14[[#This Row],[STR]] / ('Evolved Spider'!$X$8 / 10.8)), 1)</f>
        <v>54</v>
      </c>
      <c r="AU13" s="13">
        <f>CEILING(Arachne!$Z$4/ IF(Arachne!$X$4&lt; 10.8, Table14[[#This Row],[STR]], Table14[[#This Row],[STR]] / (Arachne!$X$4 / 10.8)), 1)</f>
        <v>74</v>
      </c>
      <c r="AV13" s="12">
        <f>CEILING('Earth Elemental'!$Z$6/ IF('Earth Elemental'!$X$6&lt; 10.8, Table14[[#This Row],[STR]], Table14[[#This Row],[STR]] / ('Earth Elemental'!$X$6 / 10.8)), 1)</f>
        <v>62</v>
      </c>
      <c r="AW13" s="12">
        <f>CEILING('Wind Elemental'!$Z$6/ IF('Wind Elemental'!$X$6&lt; 10.8, Table14[[#This Row],[STR]], Table14[[#This Row],[STR]] / ('Wind Elemental'!$X$6 / 10.8)), 1)</f>
        <v>48</v>
      </c>
      <c r="AX13" s="12">
        <f>CEILING('Water Elemental'!$Z$6/ IF('Water Elemental'!$X$6&lt; 10.8, Table14[[#This Row],[STR]], Table14[[#This Row],[STR]] / ('Water Elemental'!$X$6 / 10.8)), 1)</f>
        <v>66</v>
      </c>
      <c r="AY13" s="12">
        <f>CEILING('Fire Elemental'!$Z$4/ IF('Fire Elemental'!$X$4&lt; 10.8, Table14[[#This Row],[STR]], Table14[[#This Row],[STR]] / ('Fire Elemental'!$X$4 / 10.8)), 1)</f>
        <v>108</v>
      </c>
      <c r="AZ13" s="12">
        <f>CEILING(Wyvern!$Z$4/ IF(Wyvern!$X$4&lt; 10.8, Table14[[#This Row],[STR]], Table14[[#This Row],[STR]] / (Wyvern!$X$4 / 10.8)), 1)</f>
        <v>130</v>
      </c>
      <c r="BA13" s="12">
        <f>CEILING('Evolved Wyvern'!$Z$4/ IF('Evolved Wyvern'!$X$4&lt; 10.8, Table14[[#This Row],[STR]], Table14[[#This Row],[STR]] / ('Evolved Wyvern'!$X$4 / 10.8)), 1)</f>
        <v>167</v>
      </c>
      <c r="BB13" s="12">
        <f>CEILING(Dragon!$Z$4/ IF(Dragon!$X$4&lt; 10.8, Table14[[#This Row],[STR]], Table14[[#This Row],[STR]] / (Dragon!$X$4 / 10.8)), 1)</f>
        <v>281</v>
      </c>
    </row>
    <row r="14" spans="1:54" x14ac:dyDescent="0.3">
      <c r="A14" s="34">
        <v>12</v>
      </c>
      <c r="B14" s="34">
        <f>$B$3 + ((Table14[[#This Row],[Level]] / 10) + $B$3 / 8) * Table14[[#This Row],[Level]] + Equipment!$O$10</f>
        <v>39.400000000000006</v>
      </c>
      <c r="C14" s="34">
        <f xml:space="preserve"> 2*Table14[[#This Row],[INT]]</f>
        <v>54</v>
      </c>
      <c r="D14" s="34">
        <f>$D$3 + ($D$3 / 4) * Table14[[#This Row],[Level]] + Equipment!$P$10</f>
        <v>27</v>
      </c>
      <c r="E14" s="34">
        <f>$E$3 + ($E$3 / 4) * Table14[[#This Row],[Level]] + Equipment!$Q$10</f>
        <v>32</v>
      </c>
      <c r="F14" s="34">
        <f>$F$3 + ($F$3 / 4) * Table14[[#This Row],[Level]] + Equipment!$R$10</f>
        <v>23</v>
      </c>
      <c r="G14" s="34">
        <f>$G$3 + ($G$3 / 4) * Table14[[#This Row],[Level]] + Equipment!$S$10</f>
        <v>27</v>
      </c>
      <c r="H14" s="34">
        <f>$H$3 + ($H$3 / 4) * Table14[[#This Row],[Level]] + Equipment!$T$10</f>
        <v>36</v>
      </c>
      <c r="I14" s="1">
        <f xml:space="preserve"> (4 * (Table14[[#This Row],[Level]] ^ 3))/7 + $I$3</f>
        <v>1087.4285714285716</v>
      </c>
      <c r="K14" s="8">
        <f>CEILING('Blue Slime'!$B$5/ IF('Blue Slime'!$D$5&lt; 10.8, Table14[[#This Row],[STR]], Table14[[#This Row],[STR]] / ('Blue Slime'!$D$5 / 10.8)), 1)</f>
        <v>1</v>
      </c>
      <c r="L14" s="8">
        <f>CEILING('Green Slime'!$B$5/ IF('Green Slime'!$D$5&lt; 10.8, Table14[[#This Row],[STR]], Table14[[#This Row],[STR]] / ('Green Slime'!$D$5 / 10.8)), 1)</f>
        <v>2</v>
      </c>
      <c r="M14" s="8">
        <f>CEILING(Wolf!$B$6/ IF(Wolf!$D$6&lt; 10.8, Table14[[#This Row],[STR]], Table14[[#This Row],[STR]] / (Wolf!$D$6 / 10.8)), 1)</f>
        <v>4</v>
      </c>
      <c r="N14" s="8">
        <f>CEILING('Horned Wolf'!$B$5/ IF('Horned Wolf'!$D$5&lt; 10.8, Table14[[#This Row],[STR]], Table14[[#This Row],[STR]] / ('Horned Wolf'!$D$5 / 10.8)), 1)</f>
        <v>9</v>
      </c>
      <c r="O14" s="14">
        <f>CEILING(Spider!$B$7/ IF(Spider!$D$7&lt; 10.8, Table14[[#This Row],[STR]], Table14[[#This Row],[STR]] / (Spider!$D$7 / 10.8)), 1)</f>
        <v>9</v>
      </c>
      <c r="P14" s="14">
        <f>CEILING('Evolved Spider'!$B$8/ IF('Evolved Spider'!$D$8&lt; 10.8, Table14[[#This Row],[STR]], Table14[[#This Row],[STR]] / ('Evolved Spider'!$D$8 / 10.8)), 1)</f>
        <v>17</v>
      </c>
      <c r="Q14" s="14">
        <f>CEILING(Arachne!$B$4/ IF(Arachne!$D$4&lt; 10.8, Table14[[#This Row],[STR]], Table14[[#This Row],[STR]] / (Arachne!$D$4 / 10.8)), 1)</f>
        <v>22</v>
      </c>
      <c r="R14" s="12">
        <f>CEILING('Earth Elemental'!$B$6/ IF('Earth Elemental'!$D$6&lt; 10.8, Table14[[#This Row],[STR]], Table14[[#This Row],[STR]] / ('Earth Elemental'!$D$6 / 10.8)), 1)</f>
        <v>22</v>
      </c>
      <c r="S14" s="12">
        <f>CEILING('Wind Elemental'!$B$6/ IF('Wind Elemental'!$D$6&lt; 10.8, Table14[[#This Row],[STR]], Table14[[#This Row],[STR]] / ('Wind Elemental'!$D$6 / 10.8)), 1)</f>
        <v>20</v>
      </c>
      <c r="T14" s="12">
        <f>CEILING('Water Elemental'!$B$6/ IF('Water Elemental'!$D$6&lt; 10.8, Table14[[#This Row],[STR]], Table14[[#This Row],[STR]] / ('Water Elemental'!$D$6 / 10.8)), 1)</f>
        <v>30</v>
      </c>
      <c r="U14" s="12">
        <f>CEILING('Fire Elemental'!$B$4/ IF('Fire Elemental'!$D$4&lt; 10.8, Table14[[#This Row],[STR]], Table14[[#This Row],[STR]] / ('Fire Elemental'!$D$4 / 10.8)), 1)</f>
        <v>38</v>
      </c>
      <c r="V14" s="12">
        <f>CEILING(Wyvern!$B$4/ IF(Wyvern!$D$4&lt; 10.8, Table14[[#This Row],[STR]], Table14[[#This Row],[STR]] / (Wyvern!$D$4 / 10.8)), 1)</f>
        <v>51</v>
      </c>
      <c r="W14" s="12">
        <f>CEILING('Evolved Wyvern'!$B$4/ IF('Evolved Wyvern'!$D$4&lt; 10.8, Table14[[#This Row],[STR]], Table14[[#This Row],[STR]] / ('Evolved Wyvern'!$D$4 / 10.8)), 1)</f>
        <v>71</v>
      </c>
      <c r="X14" s="12">
        <f>CEILING(Dragon!$B$4/ IF(Dragon!$D$4&lt; 10.8, Table14[[#This Row],[STR]], Table14[[#This Row],[STR]] / (Dragon!$D$4 / 10.8)), 1)</f>
        <v>117</v>
      </c>
      <c r="Z14" s="8">
        <f>CEILING('Blue Slime'!$M$5/ IF('Blue Slime'!$O$5&lt; 10.8, Table14[[#This Row],[STR]], Table14[[#This Row],[STR]] / ('Blue Slime'!$O$5 / 10.8)), 1)</f>
        <v>2</v>
      </c>
      <c r="AA14" s="8">
        <f>CEILING('Green Slime'!$M$5/ IF('Green Slime'!$O$5&lt; 10.8, Table14[[#This Row],[STR]], Table14[[#This Row],[STR]] / ('Green Slime'!$O$5 / 10.8)), 1)</f>
        <v>3</v>
      </c>
      <c r="AB14" s="8">
        <f>CEILING(Wolf!$M$6/ IF(Wolf!$O$6&lt; 10.8, Table14[[#This Row],[STR]], Table14[[#This Row],[STR]] / (Wolf!$O$6 / 10.8)), 1)</f>
        <v>7</v>
      </c>
      <c r="AC14" s="8">
        <f>CEILING('Horned Wolf'!$M$5/ IF('Horned Wolf'!$O$5&lt; 10.8, Table14[[#This Row],[STR]], Table14[[#This Row],[STR]] / ('Horned Wolf'!$O$5 / 10.8)), 1)</f>
        <v>19</v>
      </c>
      <c r="AD14" s="14">
        <f>CEILING(Spider!$M$7/ IF(Spider!$O$7&lt; 10.8, Table14[[#This Row],[STR]], Table14[[#This Row],[STR]] / (Spider!$O$7 / 10.8)), 1)</f>
        <v>17</v>
      </c>
      <c r="AE14" s="14">
        <f>CEILING('Evolved Spider'!$M$8/ IF('Evolved Spider'!$O$8&lt; 10.8, Table14[[#This Row],[STR]], Table14[[#This Row],[STR]] / ('Evolved Spider'!$O$8 / 10.8)), 1)</f>
        <v>32</v>
      </c>
      <c r="AF14" s="14">
        <f>CEILING(Arachne!$M$4/ IF(Arachne!$O$4&lt; 10.8, Table14[[#This Row],[STR]], Table14[[#This Row],[STR]] / (Arachne!$O$4 / 10.8)), 1)</f>
        <v>43</v>
      </c>
      <c r="AG14" s="12">
        <f>CEILING('Earth Elemental'!$M$6/ IF('Earth Elemental'!$O$6&lt; 10.8, Table14[[#This Row],[STR]], Table14[[#This Row],[STR]] / ('Earth Elemental'!$O$6 / 10.8)), 1)</f>
        <v>39</v>
      </c>
      <c r="AH14" s="12">
        <f>CEILING('Wind Elemental'!$M$6/ IF('Wind Elemental'!$O$6&lt; 10.8, Table14[[#This Row],[STR]], Table14[[#This Row],[STR]] / ('Wind Elemental'!$O$6 / 10.8)), 1)</f>
        <v>32</v>
      </c>
      <c r="AI14" s="12">
        <f>CEILING('Water Elemental'!$M$6/ IF('Water Elemental'!$O$6&lt; 10.8, Table14[[#This Row],[STR]], Table14[[#This Row],[STR]] / ('Water Elemental'!$O$6 / 10.8)), 1)</f>
        <v>46</v>
      </c>
      <c r="AJ14" s="12">
        <f>CEILING('Fire Elemental'!$M$4/ IF('Fire Elemental'!$O$4&lt; 10.8, Table14[[#This Row],[STR]], Table14[[#This Row],[STR]] / ('Fire Elemental'!$O$4 / 10.8)), 1)</f>
        <v>67</v>
      </c>
      <c r="AK14" s="12">
        <f>CEILING(Wyvern!$M$4/ IF(Wyvern!$O$4&lt; 10.8, Table14[[#This Row],[STR]], Table14[[#This Row],[STR]] / (Wyvern!$O$4 / 10.8)), 1)</f>
        <v>85</v>
      </c>
      <c r="AL14" s="12">
        <f>CEILING('Evolved Wyvern'!$M$4/ IF('Evolved Wyvern'!$O$4&lt; 10.8, Table14[[#This Row],[STR]], Table14[[#This Row],[STR]] / ('Evolved Wyvern'!$O$4 / 10.8)), 1)</f>
        <v>112</v>
      </c>
      <c r="AM14" s="12">
        <f>CEILING(Dragon!$M$4/ IF(Dragon!$O$4&lt; 10.8, Table14[[#This Row],[STR]], Table14[[#This Row],[STR]] / (Dragon!$O$4 / 10.8)), 1)</f>
        <v>187</v>
      </c>
      <c r="AO14" s="8">
        <f>CEILING('Blue Slime'!$Z$5/ IF('Blue Slime'!$X$5&lt; 10.8, Table14[[#This Row],[STR]], Table14[[#This Row],[STR]] / ('Blue Slime'!$X$5 / 10.8)), 1)</f>
        <v>3</v>
      </c>
      <c r="AP14" s="8">
        <f>CEILING('Green Slime'!$Z$5/ IF('Green Slime'!$X$5&lt; 10.8, Table14[[#This Row],[STR]], Table14[[#This Row],[STR]] / ('Green Slime'!$X$5 / 10.8)), 1)</f>
        <v>4</v>
      </c>
      <c r="AQ14" s="8">
        <f>CEILING(Wolf!$Z$6/ IF(Wolf!$X$6&lt; 10.8, Table14[[#This Row],[STR]], Table14[[#This Row],[STR]] / (Wolf!$X$6 / 10.8)), 1)</f>
        <v>12</v>
      </c>
      <c r="AR14" s="8">
        <f>CEILING('Horned Wolf'!$Z$5/ IF('Horned Wolf'!$X$5&lt; 10.8, Table14[[#This Row],[STR]], Table14[[#This Row],[STR]] / ('Horned Wolf'!$X$5 / 10.8)), 1)</f>
        <v>33</v>
      </c>
      <c r="AS14" s="13">
        <f>CEILING(Spider!$Z$7/ IF(Spider!$X$7&lt; 10.8, Table14[[#This Row],[STR]], Table14[[#This Row],[STR]] / (Spider!$X$7 / 10.8)), 1)</f>
        <v>29</v>
      </c>
      <c r="AT14" s="13">
        <f>CEILING('Evolved Spider'!$Z$8/ IF('Evolved Spider'!$X$8&lt; 10.8, Table14[[#This Row],[STR]], Table14[[#This Row],[STR]] / ('Evolved Spider'!$X$8 / 10.8)), 1)</f>
        <v>51</v>
      </c>
      <c r="AU14" s="13">
        <f>CEILING(Arachne!$Z$4/ IF(Arachne!$X$4&lt; 10.8, Table14[[#This Row],[STR]], Table14[[#This Row],[STR]] / (Arachne!$X$4 / 10.8)), 1)</f>
        <v>70</v>
      </c>
      <c r="AV14" s="12">
        <f>CEILING('Earth Elemental'!$Z$6/ IF('Earth Elemental'!$X$6&lt; 10.8, Table14[[#This Row],[STR]], Table14[[#This Row],[STR]] / ('Earth Elemental'!$X$6 / 10.8)), 1)</f>
        <v>59</v>
      </c>
      <c r="AW14" s="12">
        <f>CEILING('Wind Elemental'!$Z$6/ IF('Wind Elemental'!$X$6&lt; 10.8, Table14[[#This Row],[STR]], Table14[[#This Row],[STR]] / ('Wind Elemental'!$X$6 / 10.8)), 1)</f>
        <v>45</v>
      </c>
      <c r="AX14" s="12">
        <f>CEILING('Water Elemental'!$Z$6/ IF('Water Elemental'!$X$6&lt; 10.8, Table14[[#This Row],[STR]], Table14[[#This Row],[STR]] / ('Water Elemental'!$X$6 / 10.8)), 1)</f>
        <v>63</v>
      </c>
      <c r="AY14" s="12">
        <f>CEILING('Fire Elemental'!$Z$4/ IF('Fire Elemental'!$X$4&lt; 10.8, Table14[[#This Row],[STR]], Table14[[#This Row],[STR]] / ('Fire Elemental'!$X$4 / 10.8)), 1)</f>
        <v>102</v>
      </c>
      <c r="AZ14" s="12">
        <f>CEILING(Wyvern!$Z$4/ IF(Wyvern!$X$4&lt; 10.8, Table14[[#This Row],[STR]], Table14[[#This Row],[STR]] / (Wyvern!$X$4 / 10.8)), 1)</f>
        <v>123</v>
      </c>
      <c r="BA14" s="12">
        <f>CEILING('Evolved Wyvern'!$Z$4/ IF('Evolved Wyvern'!$X$4&lt; 10.8, Table14[[#This Row],[STR]], Table14[[#This Row],[STR]] / ('Evolved Wyvern'!$X$4 / 10.8)), 1)</f>
        <v>158</v>
      </c>
      <c r="BB14" s="12">
        <f>CEILING(Dragon!$Z$4/ IF(Dragon!$X$4&lt; 10.8, Table14[[#This Row],[STR]], Table14[[#This Row],[STR]] / (Dragon!$X$4 / 10.8)), 1)</f>
        <v>266</v>
      </c>
    </row>
    <row r="15" spans="1:54" x14ac:dyDescent="0.3">
      <c r="A15" s="34">
        <v>13</v>
      </c>
      <c r="B15" s="34">
        <f>$B$3 + ((Table14[[#This Row],[Level]] / 10) + $B$3 / 8) * Table14[[#This Row],[Level]] + Equipment!$O$10</f>
        <v>42.9</v>
      </c>
      <c r="C15" s="34">
        <f xml:space="preserve"> 2*Table14[[#This Row],[INT]]</f>
        <v>57</v>
      </c>
      <c r="D15" s="34">
        <f>$D$3 + ($D$3 / 4) * Table14[[#This Row],[Level]] + Equipment!$P$10</f>
        <v>28.5</v>
      </c>
      <c r="E15" s="34">
        <f>$E$3 + ($E$3 / 4) * Table14[[#This Row],[Level]] + Equipment!$Q$10</f>
        <v>33.75</v>
      </c>
      <c r="F15" s="34">
        <f>$F$3 + ($F$3 / 4) * Table14[[#This Row],[Level]] + Equipment!$R$10</f>
        <v>24.25</v>
      </c>
      <c r="G15" s="34">
        <f>$G$3 + ($G$3 / 4) * Table14[[#This Row],[Level]] + Equipment!$S$10</f>
        <v>28.5</v>
      </c>
      <c r="H15" s="34">
        <f>$H$3 + ($H$3 / 4) * Table14[[#This Row],[Level]] + Equipment!$T$10</f>
        <v>38</v>
      </c>
      <c r="I15" s="1">
        <f xml:space="preserve"> (4 * (Table14[[#This Row],[Level]] ^ 3))/7 + $I$3</f>
        <v>1355.4285714285713</v>
      </c>
      <c r="K15" s="8">
        <f>CEILING('Blue Slime'!$B$5/ IF('Blue Slime'!$D$5&lt; 10.8, Table14[[#This Row],[STR]], Table14[[#This Row],[STR]] / ('Blue Slime'!$D$5 / 10.8)), 1)</f>
        <v>1</v>
      </c>
      <c r="L15" s="8">
        <f>CEILING('Green Slime'!$B$5/ IF('Green Slime'!$D$5&lt; 10.8, Table14[[#This Row],[STR]], Table14[[#This Row],[STR]] / ('Green Slime'!$D$5 / 10.8)), 1)</f>
        <v>2</v>
      </c>
      <c r="M15" s="8">
        <f>CEILING(Wolf!$B$6/ IF(Wolf!$D$6&lt; 10.8, Table14[[#This Row],[STR]], Table14[[#This Row],[STR]] / (Wolf!$D$6 / 10.8)), 1)</f>
        <v>3</v>
      </c>
      <c r="N15" s="8">
        <f>CEILING('Horned Wolf'!$B$5/ IF('Horned Wolf'!$D$5&lt; 10.8, Table14[[#This Row],[STR]], Table14[[#This Row],[STR]] / ('Horned Wolf'!$D$5 / 10.8)), 1)</f>
        <v>9</v>
      </c>
      <c r="O15" s="14">
        <f>CEILING(Spider!$B$7/ IF(Spider!$D$7&lt; 10.8, Table14[[#This Row],[STR]], Table14[[#This Row],[STR]] / (Spider!$D$7 / 10.8)), 1)</f>
        <v>8</v>
      </c>
      <c r="P15" s="14">
        <f>CEILING('Evolved Spider'!$B$8/ IF('Evolved Spider'!$D$8&lt; 10.8, Table14[[#This Row],[STR]], Table14[[#This Row],[STR]] / ('Evolved Spider'!$D$8 / 10.8)), 1)</f>
        <v>16</v>
      </c>
      <c r="Q15" s="14">
        <f>CEILING(Arachne!$B$4/ IF(Arachne!$D$4&lt; 10.8, Table14[[#This Row],[STR]], Table14[[#This Row],[STR]] / (Arachne!$D$4 / 10.8)), 1)</f>
        <v>21</v>
      </c>
      <c r="R15" s="12">
        <f>CEILING('Earth Elemental'!$B$6/ IF('Earth Elemental'!$D$6&lt; 10.8, Table14[[#This Row],[STR]], Table14[[#This Row],[STR]] / ('Earth Elemental'!$D$6 / 10.8)), 1)</f>
        <v>21</v>
      </c>
      <c r="S15" s="12">
        <f>CEILING('Wind Elemental'!$B$6/ IF('Wind Elemental'!$D$6&lt; 10.8, Table14[[#This Row],[STR]], Table14[[#This Row],[STR]] / ('Wind Elemental'!$D$6 / 10.8)), 1)</f>
        <v>19</v>
      </c>
      <c r="T15" s="12">
        <f>CEILING('Water Elemental'!$B$6/ IF('Water Elemental'!$D$6&lt; 10.8, Table14[[#This Row],[STR]], Table14[[#This Row],[STR]] / ('Water Elemental'!$D$6 / 10.8)), 1)</f>
        <v>28</v>
      </c>
      <c r="U15" s="12">
        <f>CEILING('Fire Elemental'!$B$4/ IF('Fire Elemental'!$D$4&lt; 10.8, Table14[[#This Row],[STR]], Table14[[#This Row],[STR]] / ('Fire Elemental'!$D$4 / 10.8)), 1)</f>
        <v>36</v>
      </c>
      <c r="V15" s="12">
        <f>CEILING(Wyvern!$B$4/ IF(Wyvern!$D$4&lt; 10.8, Table14[[#This Row],[STR]], Table14[[#This Row],[STR]] / (Wyvern!$D$4 / 10.8)), 1)</f>
        <v>49</v>
      </c>
      <c r="W15" s="12">
        <f>CEILING('Evolved Wyvern'!$B$4/ IF('Evolved Wyvern'!$D$4&lt; 10.8, Table14[[#This Row],[STR]], Table14[[#This Row],[STR]] / ('Evolved Wyvern'!$D$4 / 10.8)), 1)</f>
        <v>67</v>
      </c>
      <c r="X15" s="12">
        <f>CEILING(Dragon!$B$4/ IF(Dragon!$D$4&lt; 10.8, Table14[[#This Row],[STR]], Table14[[#This Row],[STR]] / (Dragon!$D$4 / 10.8)), 1)</f>
        <v>111</v>
      </c>
      <c r="Z15" s="8">
        <f>CEILING('Blue Slime'!$M$5/ IF('Blue Slime'!$O$5&lt; 10.8, Table14[[#This Row],[STR]], Table14[[#This Row],[STR]] / ('Blue Slime'!$O$5 / 10.8)), 1)</f>
        <v>2</v>
      </c>
      <c r="AA15" s="8">
        <f>CEILING('Green Slime'!$M$5/ IF('Green Slime'!$O$5&lt; 10.8, Table14[[#This Row],[STR]], Table14[[#This Row],[STR]] / ('Green Slime'!$O$5 / 10.8)), 1)</f>
        <v>3</v>
      </c>
      <c r="AB15" s="8">
        <f>CEILING(Wolf!$M$6/ IF(Wolf!$O$6&lt; 10.8, Table14[[#This Row],[STR]], Table14[[#This Row],[STR]] / (Wolf!$O$6 / 10.8)), 1)</f>
        <v>7</v>
      </c>
      <c r="AC15" s="8">
        <f>CEILING('Horned Wolf'!$M$5/ IF('Horned Wolf'!$O$5&lt; 10.8, Table14[[#This Row],[STR]], Table14[[#This Row],[STR]] / ('Horned Wolf'!$O$5 / 10.8)), 1)</f>
        <v>18</v>
      </c>
      <c r="AD15" s="14">
        <f>CEILING(Spider!$M$7/ IF(Spider!$O$7&lt; 10.8, Table14[[#This Row],[STR]], Table14[[#This Row],[STR]] / (Spider!$O$7 / 10.8)), 1)</f>
        <v>16</v>
      </c>
      <c r="AE15" s="14">
        <f>CEILING('Evolved Spider'!$M$8/ IF('Evolved Spider'!$O$8&lt; 10.8, Table14[[#This Row],[STR]], Table14[[#This Row],[STR]] / ('Evolved Spider'!$O$8 / 10.8)), 1)</f>
        <v>30</v>
      </c>
      <c r="AF15" s="14">
        <f>CEILING(Arachne!$M$4/ IF(Arachne!$O$4&lt; 10.8, Table14[[#This Row],[STR]], Table14[[#This Row],[STR]] / (Arachne!$O$4 / 10.8)), 1)</f>
        <v>40</v>
      </c>
      <c r="AG15" s="12">
        <f>CEILING('Earth Elemental'!$M$6/ IF('Earth Elemental'!$O$6&lt; 10.8, Table14[[#This Row],[STR]], Table14[[#This Row],[STR]] / ('Earth Elemental'!$O$6 / 10.8)), 1)</f>
        <v>37</v>
      </c>
      <c r="AH15" s="12">
        <f>CEILING('Wind Elemental'!$M$6/ IF('Wind Elemental'!$O$6&lt; 10.8, Table14[[#This Row],[STR]], Table14[[#This Row],[STR]] / ('Wind Elemental'!$O$6 / 10.8)), 1)</f>
        <v>30</v>
      </c>
      <c r="AI15" s="12">
        <f>CEILING('Water Elemental'!$M$6/ IF('Water Elemental'!$O$6&lt; 10.8, Table14[[#This Row],[STR]], Table14[[#This Row],[STR]] / ('Water Elemental'!$O$6 / 10.8)), 1)</f>
        <v>44</v>
      </c>
      <c r="AJ15" s="12">
        <f>CEILING('Fire Elemental'!$M$4/ IF('Fire Elemental'!$O$4&lt; 10.8, Table14[[#This Row],[STR]], Table14[[#This Row],[STR]] / ('Fire Elemental'!$O$4 / 10.8)), 1)</f>
        <v>63</v>
      </c>
      <c r="AK15" s="12">
        <f>CEILING(Wyvern!$M$4/ IF(Wyvern!$O$4&lt; 10.8, Table14[[#This Row],[STR]], Table14[[#This Row],[STR]] / (Wyvern!$O$4 / 10.8)), 1)</f>
        <v>80</v>
      </c>
      <c r="AL15" s="12">
        <f>CEILING('Evolved Wyvern'!$M$4/ IF('Evolved Wyvern'!$O$4&lt; 10.8, Table14[[#This Row],[STR]], Table14[[#This Row],[STR]] / ('Evolved Wyvern'!$O$4 / 10.8)), 1)</f>
        <v>107</v>
      </c>
      <c r="AM15" s="12">
        <f>CEILING(Dragon!$M$4/ IF(Dragon!$O$4&lt; 10.8, Table14[[#This Row],[STR]], Table14[[#This Row],[STR]] / (Dragon!$O$4 / 10.8)), 1)</f>
        <v>177</v>
      </c>
      <c r="AO15" s="8">
        <f>CEILING('Blue Slime'!$Z$5/ IF('Blue Slime'!$X$5&lt; 10.8, Table14[[#This Row],[STR]], Table14[[#This Row],[STR]] / ('Blue Slime'!$X$5 / 10.8)), 1)</f>
        <v>3</v>
      </c>
      <c r="AP15" s="8">
        <f>CEILING('Green Slime'!$Z$5/ IF('Green Slime'!$X$5&lt; 10.8, Table14[[#This Row],[STR]], Table14[[#This Row],[STR]] / ('Green Slime'!$X$5 / 10.8)), 1)</f>
        <v>4</v>
      </c>
      <c r="AQ15" s="8">
        <f>CEILING(Wolf!$Z$6/ IF(Wolf!$X$6&lt; 10.8, Table14[[#This Row],[STR]], Table14[[#This Row],[STR]] / (Wolf!$X$6 / 10.8)), 1)</f>
        <v>11</v>
      </c>
      <c r="AR15" s="8">
        <f>CEILING('Horned Wolf'!$Z$5/ IF('Horned Wolf'!$X$5&lt; 10.8, Table14[[#This Row],[STR]], Table14[[#This Row],[STR]] / ('Horned Wolf'!$X$5 / 10.8)), 1)</f>
        <v>31</v>
      </c>
      <c r="AS15" s="13">
        <f>CEILING(Spider!$Z$7/ IF(Spider!$X$7&lt; 10.8, Table14[[#This Row],[STR]], Table14[[#This Row],[STR]] / (Spider!$X$7 / 10.8)), 1)</f>
        <v>27</v>
      </c>
      <c r="AT15" s="13">
        <f>CEILING('Evolved Spider'!$Z$8/ IF('Evolved Spider'!$X$8&lt; 10.8, Table14[[#This Row],[STR]], Table14[[#This Row],[STR]] / ('Evolved Spider'!$X$8 / 10.8)), 1)</f>
        <v>49</v>
      </c>
      <c r="AU15" s="13">
        <f>CEILING(Arachne!$Z$4/ IF(Arachne!$X$4&lt; 10.8, Table14[[#This Row],[STR]], Table14[[#This Row],[STR]] / (Arachne!$X$4 / 10.8)), 1)</f>
        <v>66</v>
      </c>
      <c r="AV15" s="12">
        <f>CEILING('Earth Elemental'!$Z$6/ IF('Earth Elemental'!$X$6&lt; 10.8, Table14[[#This Row],[STR]], Table14[[#This Row],[STR]] / ('Earth Elemental'!$X$6 / 10.8)), 1)</f>
        <v>56</v>
      </c>
      <c r="AW15" s="12">
        <f>CEILING('Wind Elemental'!$Z$6/ IF('Wind Elemental'!$X$6&lt; 10.8, Table14[[#This Row],[STR]], Table14[[#This Row],[STR]] / ('Wind Elemental'!$X$6 / 10.8)), 1)</f>
        <v>43</v>
      </c>
      <c r="AX15" s="12">
        <f>CEILING('Water Elemental'!$Z$6/ IF('Water Elemental'!$X$6&lt; 10.8, Table14[[#This Row],[STR]], Table14[[#This Row],[STR]] / ('Water Elemental'!$X$6 / 10.8)), 1)</f>
        <v>59</v>
      </c>
      <c r="AY15" s="12">
        <f>CEILING('Fire Elemental'!$Z$4/ IF('Fire Elemental'!$X$4&lt; 10.8, Table14[[#This Row],[STR]], Table14[[#This Row],[STR]] / ('Fire Elemental'!$X$4 / 10.8)), 1)</f>
        <v>97</v>
      </c>
      <c r="AZ15" s="12">
        <f>CEILING(Wyvern!$Z$4/ IF(Wyvern!$X$4&lt; 10.8, Table14[[#This Row],[STR]], Table14[[#This Row],[STR]] / (Wyvern!$X$4 / 10.8)), 1)</f>
        <v>117</v>
      </c>
      <c r="BA15" s="12">
        <f>CEILING('Evolved Wyvern'!$Z$4/ IF('Evolved Wyvern'!$X$4&lt; 10.8, Table14[[#This Row],[STR]], Table14[[#This Row],[STR]] / ('Evolved Wyvern'!$X$4 / 10.8)), 1)</f>
        <v>150</v>
      </c>
      <c r="BB15" s="12">
        <f>CEILING(Dragon!$Z$4/ IF(Dragon!$X$4&lt; 10.8, Table14[[#This Row],[STR]], Table14[[#This Row],[STR]] / (Dragon!$X$4 / 10.8)), 1)</f>
        <v>252</v>
      </c>
    </row>
    <row r="16" spans="1:54" x14ac:dyDescent="0.3">
      <c r="A16" s="30">
        <v>14</v>
      </c>
      <c r="B16" s="30">
        <f>$B$3 + ((Table14[[#This Row],[Level]] / 10) + $B$3 / 8) * Table14[[#This Row],[Level]] + Equipment!$O$10</f>
        <v>46.6</v>
      </c>
      <c r="C16" s="30">
        <f xml:space="preserve"> 2*Table14[[#This Row],[INT]]</f>
        <v>60</v>
      </c>
      <c r="D16" s="30">
        <f>$D$3 + ($D$3 / 4) * Table14[[#This Row],[Level]] + Equipment!$P$10</f>
        <v>30</v>
      </c>
      <c r="E16" s="30">
        <f>$E$3 + ($E$3 / 4) * Table14[[#This Row],[Level]] + Equipment!$Q$10</f>
        <v>35.5</v>
      </c>
      <c r="F16" s="30">
        <f>$F$3 + ($F$3 / 4) * Table14[[#This Row],[Level]] + Equipment!$R$10</f>
        <v>25.5</v>
      </c>
      <c r="G16" s="30">
        <f>$G$3 + ($G$3 / 4) * Table14[[#This Row],[Level]] + Equipment!$S$10</f>
        <v>30</v>
      </c>
      <c r="H16" s="30">
        <f>$H$3 + ($H$3 / 4) * Table14[[#This Row],[Level]] + Equipment!$T$10</f>
        <v>40</v>
      </c>
      <c r="I16" s="30">
        <f xml:space="preserve"> (4 * (Table14[[#This Row],[Level]] ^ 3))/7 + $I$3</f>
        <v>1668</v>
      </c>
      <c r="K16" s="8">
        <f>CEILING('Blue Slime'!$B$5/ IF('Blue Slime'!$D$5&lt; 10.8, Table14[[#This Row],[STR]], Table14[[#This Row],[STR]] / ('Blue Slime'!$D$5 / 10.8)), 1)</f>
        <v>1</v>
      </c>
      <c r="L16" s="8">
        <f>CEILING('Green Slime'!$B$5/ IF('Green Slime'!$D$5&lt; 10.8, Table14[[#This Row],[STR]], Table14[[#This Row],[STR]] / ('Green Slime'!$D$5 / 10.8)), 1)</f>
        <v>2</v>
      </c>
      <c r="M16" s="8">
        <f>CEILING(Wolf!$B$6/ IF(Wolf!$D$6&lt; 10.8, Table14[[#This Row],[STR]], Table14[[#This Row],[STR]] / (Wolf!$D$6 / 10.8)), 1)</f>
        <v>3</v>
      </c>
      <c r="N16" s="8">
        <f>CEILING('Horned Wolf'!$B$5/ IF('Horned Wolf'!$D$5&lt; 10.8, Table14[[#This Row],[STR]], Table14[[#This Row],[STR]] / ('Horned Wolf'!$D$5 / 10.8)), 1)</f>
        <v>8</v>
      </c>
      <c r="O16" s="14">
        <f>CEILING(Spider!$B$7/ IF(Spider!$D$7&lt; 10.8, Table14[[#This Row],[STR]], Table14[[#This Row],[STR]] / (Spider!$D$7 / 10.8)), 1)</f>
        <v>8</v>
      </c>
      <c r="P16" s="14">
        <f>CEILING('Evolved Spider'!$B$8/ IF('Evolved Spider'!$D$8&lt; 10.8, Table14[[#This Row],[STR]], Table14[[#This Row],[STR]] / ('Evolved Spider'!$D$8 / 10.8)), 1)</f>
        <v>15</v>
      </c>
      <c r="Q16" s="14">
        <f>CEILING(Arachne!$B$4/ IF(Arachne!$D$4&lt; 10.8, Table14[[#This Row],[STR]], Table14[[#This Row],[STR]] / (Arachne!$D$4 / 10.8)), 1)</f>
        <v>20</v>
      </c>
      <c r="R16" s="12">
        <f>CEILING('Earth Elemental'!$B$6/ IF('Earth Elemental'!$D$6&lt; 10.8, Table14[[#This Row],[STR]], Table14[[#This Row],[STR]] / ('Earth Elemental'!$D$6 / 10.8)), 1)</f>
        <v>20</v>
      </c>
      <c r="S16" s="12">
        <f>CEILING('Wind Elemental'!$B$6/ IF('Wind Elemental'!$D$6&lt; 10.8, Table14[[#This Row],[STR]], Table14[[#This Row],[STR]] / ('Wind Elemental'!$D$6 / 10.8)), 1)</f>
        <v>18</v>
      </c>
      <c r="T16" s="12">
        <f>CEILING('Water Elemental'!$B$6/ IF('Water Elemental'!$D$6&lt; 10.8, Table14[[#This Row],[STR]], Table14[[#This Row],[STR]] / ('Water Elemental'!$D$6 / 10.8)), 1)</f>
        <v>27</v>
      </c>
      <c r="U16" s="12">
        <f>CEILING('Fire Elemental'!$B$4/ IF('Fire Elemental'!$D$4&lt; 10.8, Table14[[#This Row],[STR]], Table14[[#This Row],[STR]] / ('Fire Elemental'!$D$4 / 10.8)), 1)</f>
        <v>34</v>
      </c>
      <c r="V16" s="12">
        <f>CEILING(Wyvern!$B$4/ IF(Wyvern!$D$4&lt; 10.8, Table14[[#This Row],[STR]], Table14[[#This Row],[STR]] / (Wyvern!$D$4 / 10.8)), 1)</f>
        <v>46</v>
      </c>
      <c r="W16" s="12">
        <f>CEILING('Evolved Wyvern'!$B$4/ IF('Evolved Wyvern'!$D$4&lt; 10.8, Table14[[#This Row],[STR]], Table14[[#This Row],[STR]] / ('Evolved Wyvern'!$D$4 / 10.8)), 1)</f>
        <v>64</v>
      </c>
      <c r="X16" s="12">
        <f>CEILING(Dragon!$B$4/ IF(Dragon!$D$4&lt; 10.8, Table14[[#This Row],[STR]], Table14[[#This Row],[STR]] / (Dragon!$D$4 / 10.8)), 1)</f>
        <v>105</v>
      </c>
      <c r="Z16" s="8">
        <f>CEILING('Blue Slime'!$M$5/ IF('Blue Slime'!$O$5&lt; 10.8, Table14[[#This Row],[STR]], Table14[[#This Row],[STR]] / ('Blue Slime'!$O$5 / 10.8)), 1)</f>
        <v>2</v>
      </c>
      <c r="AA16" s="8">
        <f>CEILING('Green Slime'!$M$5/ IF('Green Slime'!$O$5&lt; 10.8, Table14[[#This Row],[STR]], Table14[[#This Row],[STR]] / ('Green Slime'!$O$5 / 10.8)), 1)</f>
        <v>3</v>
      </c>
      <c r="AB16" s="8">
        <f>CEILING(Wolf!$M$6/ IF(Wolf!$O$6&lt; 10.8, Table14[[#This Row],[STR]], Table14[[#This Row],[STR]] / (Wolf!$O$6 / 10.8)), 1)</f>
        <v>6</v>
      </c>
      <c r="AC16" s="8">
        <f>CEILING('Horned Wolf'!$M$5/ IF('Horned Wolf'!$O$5&lt; 10.8, Table14[[#This Row],[STR]], Table14[[#This Row],[STR]] / ('Horned Wolf'!$O$5 / 10.8)), 1)</f>
        <v>17</v>
      </c>
      <c r="AD16" s="14">
        <f>CEILING(Spider!$M$7/ IF(Spider!$O$7&lt; 10.8, Table14[[#This Row],[STR]], Table14[[#This Row],[STR]] / (Spider!$O$7 / 10.8)), 1)</f>
        <v>16</v>
      </c>
      <c r="AE16" s="14">
        <f>CEILING('Evolved Spider'!$M$8/ IF('Evolved Spider'!$O$8&lt; 10.8, Table14[[#This Row],[STR]], Table14[[#This Row],[STR]] / ('Evolved Spider'!$O$8 / 10.8)), 1)</f>
        <v>29</v>
      </c>
      <c r="AF16" s="14">
        <f>CEILING(Arachne!$M$4/ IF(Arachne!$O$4&lt; 10.8, Table14[[#This Row],[STR]], Table14[[#This Row],[STR]] / (Arachne!$O$4 / 10.8)), 1)</f>
        <v>38</v>
      </c>
      <c r="AG16" s="12">
        <f>CEILING('Earth Elemental'!$M$6/ IF('Earth Elemental'!$O$6&lt; 10.8, Table14[[#This Row],[STR]], Table14[[#This Row],[STR]] / ('Earth Elemental'!$O$6 / 10.8)), 1)</f>
        <v>35</v>
      </c>
      <c r="AH16" s="12">
        <f>CEILING('Wind Elemental'!$M$6/ IF('Wind Elemental'!$O$6&lt; 10.8, Table14[[#This Row],[STR]], Table14[[#This Row],[STR]] / ('Wind Elemental'!$O$6 / 10.8)), 1)</f>
        <v>29</v>
      </c>
      <c r="AI16" s="12">
        <f>CEILING('Water Elemental'!$M$6/ IF('Water Elemental'!$O$6&lt; 10.8, Table14[[#This Row],[STR]], Table14[[#This Row],[STR]] / ('Water Elemental'!$O$6 / 10.8)), 1)</f>
        <v>41</v>
      </c>
      <c r="AJ16" s="12">
        <f>CEILING('Fire Elemental'!$M$4/ IF('Fire Elemental'!$O$4&lt; 10.8, Table14[[#This Row],[STR]], Table14[[#This Row],[STR]] / ('Fire Elemental'!$O$4 / 10.8)), 1)</f>
        <v>60</v>
      </c>
      <c r="AK16" s="12">
        <f>CEILING(Wyvern!$M$4/ IF(Wyvern!$O$4&lt; 10.8, Table14[[#This Row],[STR]], Table14[[#This Row],[STR]] / (Wyvern!$O$4 / 10.8)), 1)</f>
        <v>76</v>
      </c>
      <c r="AL16" s="12">
        <f>CEILING('Evolved Wyvern'!$M$4/ IF('Evolved Wyvern'!$O$4&lt; 10.8, Table14[[#This Row],[STR]], Table14[[#This Row],[STR]] / ('Evolved Wyvern'!$O$4 / 10.8)), 1)</f>
        <v>101</v>
      </c>
      <c r="AM16" s="12">
        <f>CEILING(Dragon!$M$4/ IF(Dragon!$O$4&lt; 10.8, Table14[[#This Row],[STR]], Table14[[#This Row],[STR]] / (Dragon!$O$4 / 10.8)), 1)</f>
        <v>169</v>
      </c>
      <c r="AO16" s="8">
        <f>CEILING('Blue Slime'!$Z$5/ IF('Blue Slime'!$X$5&lt; 10.8, Table14[[#This Row],[STR]], Table14[[#This Row],[STR]] / ('Blue Slime'!$X$5 / 10.8)), 1)</f>
        <v>3</v>
      </c>
      <c r="AP16" s="8">
        <f>CEILING('Green Slime'!$Z$5/ IF('Green Slime'!$X$5&lt; 10.8, Table14[[#This Row],[STR]], Table14[[#This Row],[STR]] / ('Green Slime'!$X$5 / 10.8)), 1)</f>
        <v>4</v>
      </c>
      <c r="AQ16" s="8">
        <f>CEILING(Wolf!$Z$6/ IF(Wolf!$X$6&lt; 10.8, Table14[[#This Row],[STR]], Table14[[#This Row],[STR]] / (Wolf!$X$6 / 10.8)), 1)</f>
        <v>11</v>
      </c>
      <c r="AR16" s="8">
        <f>CEILING('Horned Wolf'!$Z$5/ IF('Horned Wolf'!$X$5&lt; 10.8, Table14[[#This Row],[STR]], Table14[[#This Row],[STR]] / ('Horned Wolf'!$X$5 / 10.8)), 1)</f>
        <v>29</v>
      </c>
      <c r="AS16" s="13">
        <f>CEILING(Spider!$Z$7/ IF(Spider!$X$7&lt; 10.8, Table14[[#This Row],[STR]], Table14[[#This Row],[STR]] / (Spider!$X$7 / 10.8)), 1)</f>
        <v>26</v>
      </c>
      <c r="AT16" s="13">
        <f>CEILING('Evolved Spider'!$Z$8/ IF('Evolved Spider'!$X$8&lt; 10.8, Table14[[#This Row],[STR]], Table14[[#This Row],[STR]] / ('Evolved Spider'!$X$8 / 10.8)), 1)</f>
        <v>46</v>
      </c>
      <c r="AU16" s="13">
        <f>CEILING(Arachne!$Z$4/ IF(Arachne!$X$4&lt; 10.8, Table14[[#This Row],[STR]], Table14[[#This Row],[STR]] / (Arachne!$X$4 / 10.8)), 1)</f>
        <v>63</v>
      </c>
      <c r="AV16" s="12">
        <f>CEILING('Earth Elemental'!$Z$6/ IF('Earth Elemental'!$X$6&lt; 10.8, Table14[[#This Row],[STR]], Table14[[#This Row],[STR]] / ('Earth Elemental'!$X$6 / 10.8)), 1)</f>
        <v>53</v>
      </c>
      <c r="AW16" s="12">
        <f>CEILING('Wind Elemental'!$Z$6/ IF('Wind Elemental'!$X$6&lt; 10.8, Table14[[#This Row],[STR]], Table14[[#This Row],[STR]] / ('Wind Elemental'!$X$6 / 10.8)), 1)</f>
        <v>41</v>
      </c>
      <c r="AX16" s="12">
        <f>CEILING('Water Elemental'!$Z$6/ IF('Water Elemental'!$X$6&lt; 10.8, Table14[[#This Row],[STR]], Table14[[#This Row],[STR]] / ('Water Elemental'!$X$6 / 10.8)), 1)</f>
        <v>56</v>
      </c>
      <c r="AY16" s="12">
        <f>CEILING('Fire Elemental'!$Z$4/ IF('Fire Elemental'!$X$4&lt; 10.8, Table14[[#This Row],[STR]], Table14[[#This Row],[STR]] / ('Fire Elemental'!$X$4 / 10.8)), 1)</f>
        <v>92</v>
      </c>
      <c r="AZ16" s="12">
        <f>CEILING(Wyvern!$Z$4/ IF(Wyvern!$X$4&lt; 10.8, Table14[[#This Row],[STR]], Table14[[#This Row],[STR]] / (Wyvern!$X$4 / 10.8)), 1)</f>
        <v>111</v>
      </c>
      <c r="BA16" s="12">
        <f>CEILING('Evolved Wyvern'!$Z$4/ IF('Evolved Wyvern'!$X$4&lt; 10.8, Table14[[#This Row],[STR]], Table14[[#This Row],[STR]] / ('Evolved Wyvern'!$X$4 / 10.8)), 1)</f>
        <v>142</v>
      </c>
      <c r="BB16" s="12">
        <f>CEILING(Dragon!$Z$4/ IF(Dragon!$X$4&lt; 10.8, Table14[[#This Row],[STR]], Table14[[#This Row],[STR]] / (Dragon!$X$4 / 10.8)), 1)</f>
        <v>240</v>
      </c>
    </row>
    <row r="17" spans="1:54" x14ac:dyDescent="0.3">
      <c r="A17" s="1">
        <v>15</v>
      </c>
      <c r="B17" s="1">
        <f>$B$3 + ((Table14[[#This Row],[Level]] / 10) + $B$3 / 8) * Table14[[#This Row],[Level]] + Equipment!$O$18</f>
        <v>59.5</v>
      </c>
      <c r="C17" s="1">
        <f xml:space="preserve"> 2*Table14[[#This Row],[INT]]</f>
        <v>79</v>
      </c>
      <c r="D17" s="1">
        <f>$D$3 + ($D$3 / 4) * Table14[[#This Row],[Level]] + Equipment!$P$18</f>
        <v>39.5</v>
      </c>
      <c r="E17" s="1">
        <f>$E$3 + ($E$3 / 4) * Table14[[#This Row],[Level]] + Equipment!$Q$18</f>
        <v>45.25</v>
      </c>
      <c r="F17" s="1">
        <f>$F$3 + ($F$3 / 4) * Table14[[#This Row],[Level]] + Equipment!$R$18</f>
        <v>32.75</v>
      </c>
      <c r="G17" s="1">
        <f>$G$3 + ($G$3 / 4) * Table14[[#This Row],[Level]] + Equipment!$S$18</f>
        <v>39.5</v>
      </c>
      <c r="H17" s="1">
        <f>$H$3 + ($H$3 / 4) * Table14[[#This Row],[Level]] + Equipment!$T$18</f>
        <v>52</v>
      </c>
      <c r="I17" s="1">
        <f xml:space="preserve"> (4 * (Table14[[#This Row],[Level]] ^ 3))/7 + $I$3</f>
        <v>2028.5714285714287</v>
      </c>
      <c r="K17" s="8">
        <f>CEILING('Blue Slime'!$B$5/ IF('Blue Slime'!$D$5&lt; 10.8, Table14[[#This Row],[STR]], Table14[[#This Row],[STR]] / ('Blue Slime'!$D$5 / 10.8)), 1)</f>
        <v>1</v>
      </c>
      <c r="L17" s="8">
        <f>CEILING('Green Slime'!$B$5/ IF('Green Slime'!$D$5&lt; 10.8, Table14[[#This Row],[STR]], Table14[[#This Row],[STR]] / ('Green Slime'!$D$5 / 10.8)), 1)</f>
        <v>1</v>
      </c>
      <c r="M17" s="8">
        <f>CEILING(Wolf!$B$6/ IF(Wolf!$D$6&lt; 10.8, Table14[[#This Row],[STR]], Table14[[#This Row],[STR]] / (Wolf!$D$6 / 10.8)), 1)</f>
        <v>3</v>
      </c>
      <c r="N17" s="8">
        <f>CEILING('Horned Wolf'!$B$5/ IF('Horned Wolf'!$D$5&lt; 10.8, Table14[[#This Row],[STR]], Table14[[#This Row],[STR]] / ('Horned Wolf'!$D$5 / 10.8)), 1)</f>
        <v>6</v>
      </c>
      <c r="O17" s="14">
        <f>CEILING(Spider!$B$7/ IF(Spider!$D$7&lt; 10.8, Table14[[#This Row],[STR]], Table14[[#This Row],[STR]] / (Spider!$D$7 / 10.8)), 1)</f>
        <v>6</v>
      </c>
      <c r="P17" s="14">
        <f>CEILING('Evolved Spider'!$B$8/ IF('Evolved Spider'!$D$8&lt; 10.8, Table14[[#This Row],[STR]], Table14[[#This Row],[STR]] / ('Evolved Spider'!$D$8 / 10.8)), 1)</f>
        <v>12</v>
      </c>
      <c r="Q17" s="14">
        <f>CEILING(Arachne!$B$4/ IF(Arachne!$D$4&lt; 10.8, Table14[[#This Row],[STR]], Table14[[#This Row],[STR]] / (Arachne!$D$4 / 10.8)), 1)</f>
        <v>15</v>
      </c>
      <c r="R17" s="12">
        <f>CEILING('Earth Elemental'!$B$6/ IF('Earth Elemental'!$D$6&lt; 10.8, Table14[[#This Row],[STR]], Table14[[#This Row],[STR]] / ('Earth Elemental'!$D$6 / 10.8)), 1)</f>
        <v>16</v>
      </c>
      <c r="S17" s="12">
        <f>CEILING('Wind Elemental'!$B$6/ IF('Wind Elemental'!$D$6&lt; 10.8, Table14[[#This Row],[STR]], Table14[[#This Row],[STR]] / ('Wind Elemental'!$D$6 / 10.8)), 1)</f>
        <v>14</v>
      </c>
      <c r="T17" s="12">
        <f>CEILING('Water Elemental'!$B$6/ IF('Water Elemental'!$D$6&lt; 10.8, Table14[[#This Row],[STR]], Table14[[#This Row],[STR]] / ('Water Elemental'!$D$6 / 10.8)), 1)</f>
        <v>21</v>
      </c>
      <c r="U17" s="12">
        <f>CEILING('Fire Elemental'!$B$4/ IF('Fire Elemental'!$D$4&lt; 10.8, Table14[[#This Row],[STR]], Table14[[#This Row],[STR]] / ('Fire Elemental'!$D$4 / 10.8)), 1)</f>
        <v>27</v>
      </c>
      <c r="V17" s="12">
        <f>CEILING(Wyvern!$B$4/ IF(Wyvern!$D$4&lt; 10.8, Table14[[#This Row],[STR]], Table14[[#This Row],[STR]] / (Wyvern!$D$4 / 10.8)), 1)</f>
        <v>36</v>
      </c>
      <c r="W17" s="12">
        <f>CEILING('Evolved Wyvern'!$B$4/ IF('Evolved Wyvern'!$D$4&lt; 10.8, Table14[[#This Row],[STR]], Table14[[#This Row],[STR]] / ('Evolved Wyvern'!$D$4 / 10.8)), 1)</f>
        <v>50</v>
      </c>
      <c r="X17" s="12">
        <f>CEILING(Dragon!$B$4/ IF(Dragon!$D$4&lt; 10.8, Table14[[#This Row],[STR]], Table14[[#This Row],[STR]] / (Dragon!$D$4 / 10.8)), 1)</f>
        <v>82</v>
      </c>
      <c r="Z17" s="8">
        <f>CEILING('Blue Slime'!$M$5/ IF('Blue Slime'!$O$5&lt; 10.8, Table14[[#This Row],[STR]], Table14[[#This Row],[STR]] / ('Blue Slime'!$O$5 / 10.8)), 1)</f>
        <v>1</v>
      </c>
      <c r="AA17" s="8">
        <f>CEILING('Green Slime'!$M$5/ IF('Green Slime'!$O$5&lt; 10.8, Table14[[#This Row],[STR]], Table14[[#This Row],[STR]] / ('Green Slime'!$O$5 / 10.8)), 1)</f>
        <v>2</v>
      </c>
      <c r="AB17" s="8">
        <f>CEILING(Wolf!$M$6/ IF(Wolf!$O$6&lt; 10.8, Table14[[#This Row],[STR]], Table14[[#This Row],[STR]] / (Wolf!$O$6 / 10.8)), 1)</f>
        <v>5</v>
      </c>
      <c r="AC17" s="8">
        <f>CEILING('Horned Wolf'!$M$5/ IF('Horned Wolf'!$O$5&lt; 10.8, Table14[[#This Row],[STR]], Table14[[#This Row],[STR]] / ('Horned Wolf'!$O$5 / 10.8)), 1)</f>
        <v>13</v>
      </c>
      <c r="AD17" s="14">
        <f>CEILING(Spider!$M$7/ IF(Spider!$O$7&lt; 10.8, Table14[[#This Row],[STR]], Table14[[#This Row],[STR]] / (Spider!$O$7 / 10.8)), 1)</f>
        <v>12</v>
      </c>
      <c r="AE17" s="14">
        <f>CEILING('Evolved Spider'!$M$8/ IF('Evolved Spider'!$O$8&lt; 10.8, Table14[[#This Row],[STR]], Table14[[#This Row],[STR]] / ('Evolved Spider'!$O$8 / 10.8)), 1)</f>
        <v>22</v>
      </c>
      <c r="AF17" s="14">
        <f>CEILING(Arachne!$M$4/ IF(Arachne!$O$4&lt; 10.8, Table14[[#This Row],[STR]], Table14[[#This Row],[STR]] / (Arachne!$O$4 / 10.8)), 1)</f>
        <v>30</v>
      </c>
      <c r="AG17" s="12">
        <f>CEILING('Earth Elemental'!$M$6/ IF('Earth Elemental'!$O$6&lt; 10.8, Table14[[#This Row],[STR]], Table14[[#This Row],[STR]] / ('Earth Elemental'!$O$6 / 10.8)), 1)</f>
        <v>27</v>
      </c>
      <c r="AH17" s="12">
        <f>CEILING('Wind Elemental'!$M$6/ IF('Wind Elemental'!$O$6&lt; 10.8, Table14[[#This Row],[STR]], Table14[[#This Row],[STR]] / ('Wind Elemental'!$O$6 / 10.8)), 1)</f>
        <v>23</v>
      </c>
      <c r="AI17" s="12">
        <f>CEILING('Water Elemental'!$M$6/ IF('Water Elemental'!$O$6&lt; 10.8, Table14[[#This Row],[STR]], Table14[[#This Row],[STR]] / ('Water Elemental'!$O$6 / 10.8)), 1)</f>
        <v>32</v>
      </c>
      <c r="AJ17" s="12">
        <f>CEILING('Fire Elemental'!$M$4/ IF('Fire Elemental'!$O$4&lt; 10.8, Table14[[#This Row],[STR]], Table14[[#This Row],[STR]] / ('Fire Elemental'!$O$4 / 10.8)), 1)</f>
        <v>47</v>
      </c>
      <c r="AK17" s="12">
        <f>CEILING(Wyvern!$M$4/ IF(Wyvern!$O$4&lt; 10.8, Table14[[#This Row],[STR]], Table14[[#This Row],[STR]] / (Wyvern!$O$4 / 10.8)), 1)</f>
        <v>60</v>
      </c>
      <c r="AL17" s="12">
        <f>CEILING('Evolved Wyvern'!$M$4/ IF('Evolved Wyvern'!$O$4&lt; 10.8, Table14[[#This Row],[STR]], Table14[[#This Row],[STR]] / ('Evolved Wyvern'!$O$4 / 10.8)), 1)</f>
        <v>79</v>
      </c>
      <c r="AM17" s="12">
        <f>CEILING(Dragon!$M$4/ IF(Dragon!$O$4&lt; 10.8, Table14[[#This Row],[STR]], Table14[[#This Row],[STR]] / (Dragon!$O$4 / 10.8)), 1)</f>
        <v>132</v>
      </c>
      <c r="AO17" s="8">
        <f>CEILING('Blue Slime'!$Z$5/ IF('Blue Slime'!$X$5&lt; 10.8, Table14[[#This Row],[STR]], Table14[[#This Row],[STR]] / ('Blue Slime'!$X$5 / 10.8)), 1)</f>
        <v>2</v>
      </c>
      <c r="AP17" s="8">
        <f>CEILING('Green Slime'!$Z$5/ IF('Green Slime'!$X$5&lt; 10.8, Table14[[#This Row],[STR]], Table14[[#This Row],[STR]] / ('Green Slime'!$X$5 / 10.8)), 1)</f>
        <v>3</v>
      </c>
      <c r="AQ17" s="8">
        <f>CEILING(Wolf!$Z$6/ IF(Wolf!$X$6&lt; 10.8, Table14[[#This Row],[STR]], Table14[[#This Row],[STR]] / (Wolf!$X$6 / 10.8)), 1)</f>
        <v>8</v>
      </c>
      <c r="AR17" s="8">
        <f>CEILING('Horned Wolf'!$Z$5/ IF('Horned Wolf'!$X$5&lt; 10.8, Table14[[#This Row],[STR]], Table14[[#This Row],[STR]] / ('Horned Wolf'!$X$5 / 10.8)), 1)</f>
        <v>23</v>
      </c>
      <c r="AS17" s="13">
        <f>CEILING(Spider!$Z$7/ IF(Spider!$X$7&lt; 10.8, Table14[[#This Row],[STR]], Table14[[#This Row],[STR]] / (Spider!$X$7 / 10.8)), 1)</f>
        <v>20</v>
      </c>
      <c r="AT17" s="13">
        <f>CEILING('Evolved Spider'!$Z$8/ IF('Evolved Spider'!$X$8&lt; 10.8, Table14[[#This Row],[STR]], Table14[[#This Row],[STR]] / ('Evolved Spider'!$X$8 / 10.8)), 1)</f>
        <v>36</v>
      </c>
      <c r="AU17" s="13">
        <f>CEILING(Arachne!$Z$4/ IF(Arachne!$X$4&lt; 10.8, Table14[[#This Row],[STR]], Table14[[#This Row],[STR]] / (Arachne!$X$4 / 10.8)), 1)</f>
        <v>49</v>
      </c>
      <c r="AV17" s="12">
        <f>CEILING('Earth Elemental'!$Z$6/ IF('Earth Elemental'!$X$6&lt; 10.8, Table14[[#This Row],[STR]], Table14[[#This Row],[STR]] / ('Earth Elemental'!$X$6 / 10.8)), 1)</f>
        <v>41</v>
      </c>
      <c r="AW17" s="12">
        <f>CEILING('Wind Elemental'!$Z$6/ IF('Wind Elemental'!$X$6&lt; 10.8, Table14[[#This Row],[STR]], Table14[[#This Row],[STR]] / ('Wind Elemental'!$X$6 / 10.8)), 1)</f>
        <v>32</v>
      </c>
      <c r="AX17" s="12">
        <f>CEILING('Water Elemental'!$Z$6/ IF('Water Elemental'!$X$6&lt; 10.8, Table14[[#This Row],[STR]], Table14[[#This Row],[STR]] / ('Water Elemental'!$X$6 / 10.8)), 1)</f>
        <v>44</v>
      </c>
      <c r="AY17" s="12">
        <f>CEILING('Fire Elemental'!$Z$4/ IF('Fire Elemental'!$X$4&lt; 10.8, Table14[[#This Row],[STR]], Table14[[#This Row],[STR]] / ('Fire Elemental'!$X$4 / 10.8)), 1)</f>
        <v>72</v>
      </c>
      <c r="AZ17" s="12">
        <f>CEILING(Wyvern!$Z$4/ IF(Wyvern!$X$4&lt; 10.8, Table14[[#This Row],[STR]], Table14[[#This Row],[STR]] / (Wyvern!$X$4 / 10.8)), 1)</f>
        <v>87</v>
      </c>
      <c r="BA17" s="12">
        <f>CEILING('Evolved Wyvern'!$Z$4/ IF('Evolved Wyvern'!$X$4&lt; 10.8, Table14[[#This Row],[STR]], Table14[[#This Row],[STR]] / ('Evolved Wyvern'!$X$4 / 10.8)), 1)</f>
        <v>111</v>
      </c>
      <c r="BB17" s="12">
        <f>CEILING(Dragon!$Z$4/ IF(Dragon!$X$4&lt; 10.8, Table14[[#This Row],[STR]], Table14[[#This Row],[STR]] / (Dragon!$X$4 / 10.8)), 1)</f>
        <v>187</v>
      </c>
    </row>
    <row r="18" spans="1:54" x14ac:dyDescent="0.3">
      <c r="A18" s="1">
        <v>16</v>
      </c>
      <c r="B18" s="1">
        <f>$B$3 + ((Table14[[#This Row],[Level]] / 10) + $B$3 / 8) * Table14[[#This Row],[Level]] + Equipment!$O$18</f>
        <v>63.6</v>
      </c>
      <c r="C18" s="1">
        <f xml:space="preserve"> 2*Table14[[#This Row],[INT]]</f>
        <v>82</v>
      </c>
      <c r="D18" s="1">
        <f>$D$3 + ($D$3 / 4) * Table14[[#This Row],[Level]] + Equipment!$P$18</f>
        <v>41</v>
      </c>
      <c r="E18" s="1">
        <f>$E$3 + ($E$3 / 4) * Table14[[#This Row],[Level]] + Equipment!$Q$18</f>
        <v>47</v>
      </c>
      <c r="F18" s="1">
        <f>$F$3 + ($F$3 / 4) * Table14[[#This Row],[Level]] + Equipment!$R$18</f>
        <v>34</v>
      </c>
      <c r="G18" s="1">
        <f>$G$3 + ($G$3 / 4) * Table14[[#This Row],[Level]] + Equipment!$S$18</f>
        <v>41</v>
      </c>
      <c r="H18" s="1">
        <f>$H$3 + ($H$3 / 4) * Table14[[#This Row],[Level]] + Equipment!$T$18</f>
        <v>54</v>
      </c>
      <c r="I18" s="1">
        <f xml:space="preserve"> (4 * (Table14[[#This Row],[Level]] ^ 3))/7 + $I$3</f>
        <v>2440.5714285714284</v>
      </c>
      <c r="K18" s="8">
        <f>CEILING('Blue Slime'!$B$5/ IF('Blue Slime'!$D$5&lt; 10.8, Table14[[#This Row],[STR]], Table14[[#This Row],[STR]] / ('Blue Slime'!$D$5 / 10.8)), 1)</f>
        <v>1</v>
      </c>
      <c r="L18" s="8">
        <f>CEILING('Green Slime'!$B$5/ IF('Green Slime'!$D$5&lt; 10.8, Table14[[#This Row],[STR]], Table14[[#This Row],[STR]] / ('Green Slime'!$D$5 / 10.8)), 1)</f>
        <v>1</v>
      </c>
      <c r="M18" s="8">
        <f>CEILING(Wolf!$B$6/ IF(Wolf!$D$6&lt; 10.8, Table14[[#This Row],[STR]], Table14[[#This Row],[STR]] / (Wolf!$D$6 / 10.8)), 1)</f>
        <v>3</v>
      </c>
      <c r="N18" s="8">
        <f>CEILING('Horned Wolf'!$B$5/ IF('Horned Wolf'!$D$5&lt; 10.8, Table14[[#This Row],[STR]], Table14[[#This Row],[STR]] / ('Horned Wolf'!$D$5 / 10.8)), 1)</f>
        <v>6</v>
      </c>
      <c r="O18" s="14">
        <f>CEILING(Spider!$B$7/ IF(Spider!$D$7&lt; 10.8, Table14[[#This Row],[STR]], Table14[[#This Row],[STR]] / (Spider!$D$7 / 10.8)), 1)</f>
        <v>6</v>
      </c>
      <c r="P18" s="14">
        <f>CEILING('Evolved Spider'!$B$8/ IF('Evolved Spider'!$D$8&lt; 10.8, Table14[[#This Row],[STR]], Table14[[#This Row],[STR]] / ('Evolved Spider'!$D$8 / 10.8)), 1)</f>
        <v>11</v>
      </c>
      <c r="Q18" s="14">
        <f>CEILING(Arachne!$B$4/ IF(Arachne!$D$4&lt; 10.8, Table14[[#This Row],[STR]], Table14[[#This Row],[STR]] / (Arachne!$D$4 / 10.8)), 1)</f>
        <v>15</v>
      </c>
      <c r="R18" s="12">
        <f>CEILING('Earth Elemental'!$B$6/ IF('Earth Elemental'!$D$6&lt; 10.8, Table14[[#This Row],[STR]], Table14[[#This Row],[STR]] / ('Earth Elemental'!$D$6 / 10.8)), 1)</f>
        <v>15</v>
      </c>
      <c r="S18" s="12">
        <f>CEILING('Wind Elemental'!$B$6/ IF('Wind Elemental'!$D$6&lt; 10.8, Table14[[#This Row],[STR]], Table14[[#This Row],[STR]] / ('Wind Elemental'!$D$6 / 10.8)), 1)</f>
        <v>14</v>
      </c>
      <c r="T18" s="12">
        <f>CEILING('Water Elemental'!$B$6/ IF('Water Elemental'!$D$6&lt; 10.8, Table14[[#This Row],[STR]], Table14[[#This Row],[STR]] / ('Water Elemental'!$D$6 / 10.8)), 1)</f>
        <v>20</v>
      </c>
      <c r="U18" s="12">
        <f>CEILING('Fire Elemental'!$B$4/ IF('Fire Elemental'!$D$4&lt; 10.8, Table14[[#This Row],[STR]], Table14[[#This Row],[STR]] / ('Fire Elemental'!$D$4 / 10.8)), 1)</f>
        <v>26</v>
      </c>
      <c r="V18" s="12">
        <f>CEILING(Wyvern!$B$4/ IF(Wyvern!$D$4&lt; 10.8, Table14[[#This Row],[STR]], Table14[[#This Row],[STR]] / (Wyvern!$D$4 / 10.8)), 1)</f>
        <v>35</v>
      </c>
      <c r="W18" s="12">
        <f>CEILING('Evolved Wyvern'!$B$4/ IF('Evolved Wyvern'!$D$4&lt; 10.8, Table14[[#This Row],[STR]], Table14[[#This Row],[STR]] / ('Evolved Wyvern'!$D$4 / 10.8)), 1)</f>
        <v>48</v>
      </c>
      <c r="X18" s="12">
        <f>CEILING(Dragon!$B$4/ IF(Dragon!$D$4&lt; 10.8, Table14[[#This Row],[STR]], Table14[[#This Row],[STR]] / (Dragon!$D$4 / 10.8)), 1)</f>
        <v>79</v>
      </c>
      <c r="Z18" s="8">
        <f>CEILING('Blue Slime'!$M$5/ IF('Blue Slime'!$O$5&lt; 10.8, Table14[[#This Row],[STR]], Table14[[#This Row],[STR]] / ('Blue Slime'!$O$5 / 10.8)), 1)</f>
        <v>1</v>
      </c>
      <c r="AA18" s="8">
        <f>CEILING('Green Slime'!$M$5/ IF('Green Slime'!$O$5&lt; 10.8, Table14[[#This Row],[STR]], Table14[[#This Row],[STR]] / ('Green Slime'!$O$5 / 10.8)), 1)</f>
        <v>2</v>
      </c>
      <c r="AB18" s="8">
        <f>CEILING(Wolf!$M$6/ IF(Wolf!$O$6&lt; 10.8, Table14[[#This Row],[STR]], Table14[[#This Row],[STR]] / (Wolf!$O$6 / 10.8)), 1)</f>
        <v>5</v>
      </c>
      <c r="AC18" s="8">
        <f>CEILING('Horned Wolf'!$M$5/ IF('Horned Wolf'!$O$5&lt; 10.8, Table14[[#This Row],[STR]], Table14[[#This Row],[STR]] / ('Horned Wolf'!$O$5 / 10.8)), 1)</f>
        <v>13</v>
      </c>
      <c r="AD18" s="14">
        <f>CEILING(Spider!$M$7/ IF(Spider!$O$7&lt; 10.8, Table14[[#This Row],[STR]], Table14[[#This Row],[STR]] / (Spider!$O$7 / 10.8)), 1)</f>
        <v>12</v>
      </c>
      <c r="AE18" s="14">
        <f>CEILING('Evolved Spider'!$M$8/ IF('Evolved Spider'!$O$8&lt; 10.8, Table14[[#This Row],[STR]], Table14[[#This Row],[STR]] / ('Evolved Spider'!$O$8 / 10.8)), 1)</f>
        <v>22</v>
      </c>
      <c r="AF18" s="14">
        <f>CEILING(Arachne!$M$4/ IF(Arachne!$O$4&lt; 10.8, Table14[[#This Row],[STR]], Table14[[#This Row],[STR]] / (Arachne!$O$4 / 10.8)), 1)</f>
        <v>29</v>
      </c>
      <c r="AG18" s="12">
        <f>CEILING('Earth Elemental'!$M$6/ IF('Earth Elemental'!$O$6&lt; 10.8, Table14[[#This Row],[STR]], Table14[[#This Row],[STR]] / ('Earth Elemental'!$O$6 / 10.8)), 1)</f>
        <v>26</v>
      </c>
      <c r="AH18" s="12">
        <f>CEILING('Wind Elemental'!$M$6/ IF('Wind Elemental'!$O$6&lt; 10.8, Table14[[#This Row],[STR]], Table14[[#This Row],[STR]] / ('Wind Elemental'!$O$6 / 10.8)), 1)</f>
        <v>22</v>
      </c>
      <c r="AI18" s="12">
        <f>CEILING('Water Elemental'!$M$6/ IF('Water Elemental'!$O$6&lt; 10.8, Table14[[#This Row],[STR]], Table14[[#This Row],[STR]] / ('Water Elemental'!$O$6 / 10.8)), 1)</f>
        <v>31</v>
      </c>
      <c r="AJ18" s="12">
        <f>CEILING('Fire Elemental'!$M$4/ IF('Fire Elemental'!$O$4&lt; 10.8, Table14[[#This Row],[STR]], Table14[[#This Row],[STR]] / ('Fire Elemental'!$O$4 / 10.8)), 1)</f>
        <v>45</v>
      </c>
      <c r="AK18" s="12">
        <f>CEILING(Wyvern!$M$4/ IF(Wyvern!$O$4&lt; 10.8, Table14[[#This Row],[STR]], Table14[[#This Row],[STR]] / (Wyvern!$O$4 / 10.8)), 1)</f>
        <v>57</v>
      </c>
      <c r="AL18" s="12">
        <f>CEILING('Evolved Wyvern'!$M$4/ IF('Evolved Wyvern'!$O$4&lt; 10.8, Table14[[#This Row],[STR]], Table14[[#This Row],[STR]] / ('Evolved Wyvern'!$O$4 / 10.8)), 1)</f>
        <v>76</v>
      </c>
      <c r="AM18" s="12">
        <f>CEILING(Dragon!$M$4/ IF(Dragon!$O$4&lt; 10.8, Table14[[#This Row],[STR]], Table14[[#This Row],[STR]] / (Dragon!$O$4 / 10.8)), 1)</f>
        <v>127</v>
      </c>
      <c r="AO18" s="8">
        <f>CEILING('Blue Slime'!$Z$5/ IF('Blue Slime'!$X$5&lt; 10.8, Table14[[#This Row],[STR]], Table14[[#This Row],[STR]] / ('Blue Slime'!$X$5 / 10.8)), 1)</f>
        <v>2</v>
      </c>
      <c r="AP18" s="8">
        <f>CEILING('Green Slime'!$Z$5/ IF('Green Slime'!$X$5&lt; 10.8, Table14[[#This Row],[STR]], Table14[[#This Row],[STR]] / ('Green Slime'!$X$5 / 10.8)), 1)</f>
        <v>3</v>
      </c>
      <c r="AQ18" s="8">
        <f>CEILING(Wolf!$Z$6/ IF(Wolf!$X$6&lt; 10.8, Table14[[#This Row],[STR]], Table14[[#This Row],[STR]] / (Wolf!$X$6 / 10.8)), 1)</f>
        <v>8</v>
      </c>
      <c r="AR18" s="8">
        <f>CEILING('Horned Wolf'!$Z$5/ IF('Horned Wolf'!$X$5&lt; 10.8, Table14[[#This Row],[STR]], Table14[[#This Row],[STR]] / ('Horned Wolf'!$X$5 / 10.8)), 1)</f>
        <v>22</v>
      </c>
      <c r="AS18" s="13">
        <f>CEILING(Spider!$Z$7/ IF(Spider!$X$7&lt; 10.8, Table14[[#This Row],[STR]], Table14[[#This Row],[STR]] / (Spider!$X$7 / 10.8)), 1)</f>
        <v>20</v>
      </c>
      <c r="AT18" s="13">
        <f>CEILING('Evolved Spider'!$Z$8/ IF('Evolved Spider'!$X$8&lt; 10.8, Table14[[#This Row],[STR]], Table14[[#This Row],[STR]] / ('Evolved Spider'!$X$8 / 10.8)), 1)</f>
        <v>35</v>
      </c>
      <c r="AU18" s="13">
        <f>CEILING(Arachne!$Z$4/ IF(Arachne!$X$4&lt; 10.8, Table14[[#This Row],[STR]], Table14[[#This Row],[STR]] / (Arachne!$X$4 / 10.8)), 1)</f>
        <v>48</v>
      </c>
      <c r="AV18" s="12">
        <f>CEILING('Earth Elemental'!$Z$6/ IF('Earth Elemental'!$X$6&lt; 10.8, Table14[[#This Row],[STR]], Table14[[#This Row],[STR]] / ('Earth Elemental'!$X$6 / 10.8)), 1)</f>
        <v>40</v>
      </c>
      <c r="AW18" s="12">
        <f>CEILING('Wind Elemental'!$Z$6/ IF('Wind Elemental'!$X$6&lt; 10.8, Table14[[#This Row],[STR]], Table14[[#This Row],[STR]] / ('Wind Elemental'!$X$6 / 10.8)), 1)</f>
        <v>31</v>
      </c>
      <c r="AX18" s="12">
        <f>CEILING('Water Elemental'!$Z$6/ IF('Water Elemental'!$X$6&lt; 10.8, Table14[[#This Row],[STR]], Table14[[#This Row],[STR]] / ('Water Elemental'!$X$6 / 10.8)), 1)</f>
        <v>42</v>
      </c>
      <c r="AY18" s="12">
        <f>CEILING('Fire Elemental'!$Z$4/ IF('Fire Elemental'!$X$4&lt; 10.8, Table14[[#This Row],[STR]], Table14[[#This Row],[STR]] / ('Fire Elemental'!$X$4 / 10.8)), 1)</f>
        <v>69</v>
      </c>
      <c r="AZ18" s="12">
        <f>CEILING(Wyvern!$Z$4/ IF(Wyvern!$X$4&lt; 10.8, Table14[[#This Row],[STR]], Table14[[#This Row],[STR]] / (Wyvern!$X$4 / 10.8)), 1)</f>
        <v>83</v>
      </c>
      <c r="BA18" s="12">
        <f>CEILING('Evolved Wyvern'!$Z$4/ IF('Evolved Wyvern'!$X$4&lt; 10.8, Table14[[#This Row],[STR]], Table14[[#This Row],[STR]] / ('Evolved Wyvern'!$X$4 / 10.8)), 1)</f>
        <v>107</v>
      </c>
      <c r="BB18" s="12">
        <f>CEILING(Dragon!$Z$4/ IF(Dragon!$X$4&lt; 10.8, Table14[[#This Row],[STR]], Table14[[#This Row],[STR]] / (Dragon!$X$4 / 10.8)), 1)</f>
        <v>180</v>
      </c>
    </row>
    <row r="19" spans="1:54" x14ac:dyDescent="0.3">
      <c r="A19" s="1">
        <v>17</v>
      </c>
      <c r="B19" s="1">
        <f>$B$3 + ((Table14[[#This Row],[Level]] / 10) + $B$3 / 8) * Table14[[#This Row],[Level]] + Equipment!$O$18</f>
        <v>67.900000000000006</v>
      </c>
      <c r="C19" s="1">
        <f xml:space="preserve"> 2*Table14[[#This Row],[INT]]</f>
        <v>85</v>
      </c>
      <c r="D19" s="1">
        <f>$D$3 + ($D$3 / 4) * Table14[[#This Row],[Level]] + Equipment!$P$18</f>
        <v>42.5</v>
      </c>
      <c r="E19" s="1">
        <f>$E$3 + ($E$3 / 4) * Table14[[#This Row],[Level]] + Equipment!$Q$18</f>
        <v>48.75</v>
      </c>
      <c r="F19" s="1">
        <f>$F$3 + ($F$3 / 4) * Table14[[#This Row],[Level]] + Equipment!$R$18</f>
        <v>35.25</v>
      </c>
      <c r="G19" s="1">
        <f>$G$3 + ($G$3 / 4) * Table14[[#This Row],[Level]] + Equipment!$S$18</f>
        <v>42.5</v>
      </c>
      <c r="H19" s="1">
        <f>$H$3 + ($H$3 / 4) * Table14[[#This Row],[Level]] + Equipment!$T$18</f>
        <v>56</v>
      </c>
      <c r="I19" s="1">
        <f xml:space="preserve"> (4 * (Table14[[#This Row],[Level]] ^ 3))/7 + $I$3</f>
        <v>2907.4285714285716</v>
      </c>
      <c r="K19" s="8">
        <f>CEILING('Blue Slime'!$B$5/ IF('Blue Slime'!$D$5&lt; 10.8, Table14[[#This Row],[STR]], Table14[[#This Row],[STR]] / ('Blue Slime'!$D$5 / 10.8)), 1)</f>
        <v>1</v>
      </c>
      <c r="L19" s="8">
        <f>CEILING('Green Slime'!$B$5/ IF('Green Slime'!$D$5&lt; 10.8, Table14[[#This Row],[STR]], Table14[[#This Row],[STR]] / ('Green Slime'!$D$5 / 10.8)), 1)</f>
        <v>1</v>
      </c>
      <c r="M19" s="8">
        <f>CEILING(Wolf!$B$6/ IF(Wolf!$D$6&lt; 10.8, Table14[[#This Row],[STR]], Table14[[#This Row],[STR]] / (Wolf!$D$6 / 10.8)), 1)</f>
        <v>3</v>
      </c>
      <c r="N19" s="8">
        <f>CEILING('Horned Wolf'!$B$5/ IF('Horned Wolf'!$D$5&lt; 10.8, Table14[[#This Row],[STR]], Table14[[#This Row],[STR]] / ('Horned Wolf'!$D$5 / 10.8)), 1)</f>
        <v>6</v>
      </c>
      <c r="O19" s="14">
        <f>CEILING(Spider!$B$7/ IF(Spider!$D$7&lt; 10.8, Table14[[#This Row],[STR]], Table14[[#This Row],[STR]] / (Spider!$D$7 / 10.8)), 1)</f>
        <v>6</v>
      </c>
      <c r="P19" s="14">
        <f>CEILING('Evolved Spider'!$B$8/ IF('Evolved Spider'!$D$8&lt; 10.8, Table14[[#This Row],[STR]], Table14[[#This Row],[STR]] / ('Evolved Spider'!$D$8 / 10.8)), 1)</f>
        <v>11</v>
      </c>
      <c r="Q19" s="14">
        <f>CEILING(Arachne!$B$4/ IF(Arachne!$D$4&lt; 10.8, Table14[[#This Row],[STR]], Table14[[#This Row],[STR]] / (Arachne!$D$4 / 10.8)), 1)</f>
        <v>14</v>
      </c>
      <c r="R19" s="12">
        <f>CEILING('Earth Elemental'!$B$6/ IF('Earth Elemental'!$D$6&lt; 10.8, Table14[[#This Row],[STR]], Table14[[#This Row],[STR]] / ('Earth Elemental'!$D$6 / 10.8)), 1)</f>
        <v>15</v>
      </c>
      <c r="S19" s="12">
        <f>CEILING('Wind Elemental'!$B$6/ IF('Wind Elemental'!$D$6&lt; 10.8, Table14[[#This Row],[STR]], Table14[[#This Row],[STR]] / ('Wind Elemental'!$D$6 / 10.8)), 1)</f>
        <v>13</v>
      </c>
      <c r="T19" s="12">
        <f>CEILING('Water Elemental'!$B$6/ IF('Water Elemental'!$D$6&lt; 10.8, Table14[[#This Row],[STR]], Table14[[#This Row],[STR]] / ('Water Elemental'!$D$6 / 10.8)), 1)</f>
        <v>20</v>
      </c>
      <c r="U19" s="12">
        <f>CEILING('Fire Elemental'!$B$4/ IF('Fire Elemental'!$D$4&lt; 10.8, Table14[[#This Row],[STR]], Table14[[#This Row],[STR]] / ('Fire Elemental'!$D$4 / 10.8)), 1)</f>
        <v>25</v>
      </c>
      <c r="V19" s="12">
        <f>CEILING(Wyvern!$B$4/ IF(Wyvern!$D$4&lt; 10.8, Table14[[#This Row],[STR]], Table14[[#This Row],[STR]] / (Wyvern!$D$4 / 10.8)), 1)</f>
        <v>34</v>
      </c>
      <c r="W19" s="12">
        <f>CEILING('Evolved Wyvern'!$B$4/ IF('Evolved Wyvern'!$D$4&lt; 10.8, Table14[[#This Row],[STR]], Table14[[#This Row],[STR]] / ('Evolved Wyvern'!$D$4 / 10.8)), 1)</f>
        <v>47</v>
      </c>
      <c r="X19" s="12">
        <f>CEILING(Dragon!$B$4/ IF(Dragon!$D$4&lt; 10.8, Table14[[#This Row],[STR]], Table14[[#This Row],[STR]] / (Dragon!$D$4 / 10.8)), 1)</f>
        <v>76</v>
      </c>
      <c r="Z19" s="8">
        <f>CEILING('Blue Slime'!$M$5/ IF('Blue Slime'!$O$5&lt; 10.8, Table14[[#This Row],[STR]], Table14[[#This Row],[STR]] / ('Blue Slime'!$O$5 / 10.8)), 1)</f>
        <v>1</v>
      </c>
      <c r="AA19" s="8">
        <f>CEILING('Green Slime'!$M$5/ IF('Green Slime'!$O$5&lt; 10.8, Table14[[#This Row],[STR]], Table14[[#This Row],[STR]] / ('Green Slime'!$O$5 / 10.8)), 1)</f>
        <v>2</v>
      </c>
      <c r="AB19" s="8">
        <f>CEILING(Wolf!$M$6/ IF(Wolf!$O$6&lt; 10.8, Table14[[#This Row],[STR]], Table14[[#This Row],[STR]] / (Wolf!$O$6 / 10.8)), 1)</f>
        <v>5</v>
      </c>
      <c r="AC19" s="8">
        <f>CEILING('Horned Wolf'!$M$5/ IF('Horned Wolf'!$O$5&lt; 10.8, Table14[[#This Row],[STR]], Table14[[#This Row],[STR]] / ('Horned Wolf'!$O$5 / 10.8)), 1)</f>
        <v>12</v>
      </c>
      <c r="AD19" s="14">
        <f>CEILING(Spider!$M$7/ IF(Spider!$O$7&lt; 10.8, Table14[[#This Row],[STR]], Table14[[#This Row],[STR]] / (Spider!$O$7 / 10.8)), 1)</f>
        <v>11</v>
      </c>
      <c r="AE19" s="14">
        <f>CEILING('Evolved Spider'!$M$8/ IF('Evolved Spider'!$O$8&lt; 10.8, Table14[[#This Row],[STR]], Table14[[#This Row],[STR]] / ('Evolved Spider'!$O$8 / 10.8)), 1)</f>
        <v>21</v>
      </c>
      <c r="AF19" s="14">
        <f>CEILING(Arachne!$M$4/ IF(Arachne!$O$4&lt; 10.8, Table14[[#This Row],[STR]], Table14[[#This Row],[STR]] / (Arachne!$O$4 / 10.8)), 1)</f>
        <v>28</v>
      </c>
      <c r="AG19" s="12">
        <f>CEILING('Earth Elemental'!$M$6/ IF('Earth Elemental'!$O$6&lt; 10.8, Table14[[#This Row],[STR]], Table14[[#This Row],[STR]] / ('Earth Elemental'!$O$6 / 10.8)), 1)</f>
        <v>25</v>
      </c>
      <c r="AH19" s="12">
        <f>CEILING('Wind Elemental'!$M$6/ IF('Wind Elemental'!$O$6&lt; 10.8, Table14[[#This Row],[STR]], Table14[[#This Row],[STR]] / ('Wind Elemental'!$O$6 / 10.8)), 1)</f>
        <v>21</v>
      </c>
      <c r="AI19" s="12">
        <f>CEILING('Water Elemental'!$M$6/ IF('Water Elemental'!$O$6&lt; 10.8, Table14[[#This Row],[STR]], Table14[[#This Row],[STR]] / ('Water Elemental'!$O$6 / 10.8)), 1)</f>
        <v>30</v>
      </c>
      <c r="AJ19" s="12">
        <f>CEILING('Fire Elemental'!$M$4/ IF('Fire Elemental'!$O$4&lt; 10.8, Table14[[#This Row],[STR]], Table14[[#This Row],[STR]] / ('Fire Elemental'!$O$4 / 10.8)), 1)</f>
        <v>44</v>
      </c>
      <c r="AK19" s="12">
        <f>CEILING(Wyvern!$M$4/ IF(Wyvern!$O$4&lt; 10.8, Table14[[#This Row],[STR]], Table14[[#This Row],[STR]] / (Wyvern!$O$4 / 10.8)), 1)</f>
        <v>55</v>
      </c>
      <c r="AL19" s="12">
        <f>CEILING('Evolved Wyvern'!$M$4/ IF('Evolved Wyvern'!$O$4&lt; 10.8, Table14[[#This Row],[STR]], Table14[[#This Row],[STR]] / ('Evolved Wyvern'!$O$4 / 10.8)), 1)</f>
        <v>73</v>
      </c>
      <c r="AM19" s="12">
        <f>CEILING(Dragon!$M$4/ IF(Dragon!$O$4&lt; 10.8, Table14[[#This Row],[STR]], Table14[[#This Row],[STR]] / (Dragon!$O$4 / 10.8)), 1)</f>
        <v>122</v>
      </c>
      <c r="AO19" s="8">
        <f>CEILING('Blue Slime'!$Z$5/ IF('Blue Slime'!$X$5&lt; 10.8, Table14[[#This Row],[STR]], Table14[[#This Row],[STR]] / ('Blue Slime'!$X$5 / 10.8)), 1)</f>
        <v>2</v>
      </c>
      <c r="AP19" s="8">
        <f>CEILING('Green Slime'!$Z$5/ IF('Green Slime'!$X$5&lt; 10.8, Table14[[#This Row],[STR]], Table14[[#This Row],[STR]] / ('Green Slime'!$X$5 / 10.8)), 1)</f>
        <v>3</v>
      </c>
      <c r="AQ19" s="8">
        <f>CEILING(Wolf!$Z$6/ IF(Wolf!$X$6&lt; 10.8, Table14[[#This Row],[STR]], Table14[[#This Row],[STR]] / (Wolf!$X$6 / 10.8)), 1)</f>
        <v>8</v>
      </c>
      <c r="AR19" s="8">
        <f>CEILING('Horned Wolf'!$Z$5/ IF('Horned Wolf'!$X$5&lt; 10.8, Table14[[#This Row],[STR]], Table14[[#This Row],[STR]] / ('Horned Wolf'!$X$5 / 10.8)), 1)</f>
        <v>21</v>
      </c>
      <c r="AS19" s="13">
        <f>CEILING(Spider!$Z$7/ IF(Spider!$X$7&lt; 10.8, Table14[[#This Row],[STR]], Table14[[#This Row],[STR]] / (Spider!$X$7 / 10.8)), 1)</f>
        <v>19</v>
      </c>
      <c r="AT19" s="13">
        <f>CEILING('Evolved Spider'!$Z$8/ IF('Evolved Spider'!$X$8&lt; 10.8, Table14[[#This Row],[STR]], Table14[[#This Row],[STR]] / ('Evolved Spider'!$X$8 / 10.8)), 1)</f>
        <v>34</v>
      </c>
      <c r="AU19" s="13">
        <f>CEILING(Arachne!$Z$4/ IF(Arachne!$X$4&lt; 10.8, Table14[[#This Row],[STR]], Table14[[#This Row],[STR]] / (Arachne!$X$4 / 10.8)), 1)</f>
        <v>46</v>
      </c>
      <c r="AV19" s="12">
        <f>CEILING('Earth Elemental'!$Z$6/ IF('Earth Elemental'!$X$6&lt; 10.8, Table14[[#This Row],[STR]], Table14[[#This Row],[STR]] / ('Earth Elemental'!$X$6 / 10.8)), 1)</f>
        <v>38</v>
      </c>
      <c r="AW19" s="12">
        <f>CEILING('Wind Elemental'!$Z$6/ IF('Wind Elemental'!$X$6&lt; 10.8, Table14[[#This Row],[STR]], Table14[[#This Row],[STR]] / ('Wind Elemental'!$X$6 / 10.8)), 1)</f>
        <v>30</v>
      </c>
      <c r="AX19" s="12">
        <f>CEILING('Water Elemental'!$Z$6/ IF('Water Elemental'!$X$6&lt; 10.8, Table14[[#This Row],[STR]], Table14[[#This Row],[STR]] / ('Water Elemental'!$X$6 / 10.8)), 1)</f>
        <v>41</v>
      </c>
      <c r="AY19" s="12">
        <f>CEILING('Fire Elemental'!$Z$4/ IF('Fire Elemental'!$X$4&lt; 10.8, Table14[[#This Row],[STR]], Table14[[#This Row],[STR]] / ('Fire Elemental'!$X$4 / 10.8)), 1)</f>
        <v>67</v>
      </c>
      <c r="AZ19" s="12">
        <f>CEILING(Wyvern!$Z$4/ IF(Wyvern!$X$4&lt; 10.8, Table14[[#This Row],[STR]], Table14[[#This Row],[STR]] / (Wyvern!$X$4 / 10.8)), 1)</f>
        <v>80</v>
      </c>
      <c r="BA19" s="12">
        <f>CEILING('Evolved Wyvern'!$Z$4/ IF('Evolved Wyvern'!$X$4&lt; 10.8, Table14[[#This Row],[STR]], Table14[[#This Row],[STR]] / ('Evolved Wyvern'!$X$4 / 10.8)), 1)</f>
        <v>103</v>
      </c>
      <c r="BB19" s="12">
        <f>CEILING(Dragon!$Z$4/ IF(Dragon!$X$4&lt; 10.8, Table14[[#This Row],[STR]], Table14[[#This Row],[STR]] / (Dragon!$X$4 / 10.8)), 1)</f>
        <v>173</v>
      </c>
    </row>
    <row r="20" spans="1:54" x14ac:dyDescent="0.3">
      <c r="A20" s="1">
        <v>18</v>
      </c>
      <c r="B20" s="1">
        <f>$B$3 + ((Table14[[#This Row],[Level]] / 10) + $B$3 / 8) * Table14[[#This Row],[Level]] + Equipment!$O$18</f>
        <v>72.400000000000006</v>
      </c>
      <c r="C20" s="1">
        <f xml:space="preserve"> 2*Table14[[#This Row],[INT]]</f>
        <v>88</v>
      </c>
      <c r="D20" s="1">
        <f>$D$3 + ($D$3 / 4) * Table14[[#This Row],[Level]] + Equipment!$P$18</f>
        <v>44</v>
      </c>
      <c r="E20" s="1">
        <f>$E$3 + ($E$3 / 4) * Table14[[#This Row],[Level]] + Equipment!$Q$18</f>
        <v>50.5</v>
      </c>
      <c r="F20" s="1">
        <f>$F$3 + ($F$3 / 4) * Table14[[#This Row],[Level]] + Equipment!$R$18</f>
        <v>36.5</v>
      </c>
      <c r="G20" s="1">
        <f>$G$3 + ($G$3 / 4) * Table14[[#This Row],[Level]] + Equipment!$S$18</f>
        <v>44</v>
      </c>
      <c r="H20" s="1">
        <f>$H$3 + ($H$3 / 4) * Table14[[#This Row],[Level]] + Equipment!$T$18</f>
        <v>58</v>
      </c>
      <c r="I20" s="1">
        <f xml:space="preserve"> (4 * (Table14[[#This Row],[Level]] ^ 3))/7 + $I$3</f>
        <v>3432.5714285714284</v>
      </c>
      <c r="K20" s="8">
        <f>CEILING('Blue Slime'!$B$5/ IF('Blue Slime'!$D$5&lt; 10.8, Table14[[#This Row],[STR]], Table14[[#This Row],[STR]] / ('Blue Slime'!$D$5 / 10.8)), 1)</f>
        <v>1</v>
      </c>
      <c r="L20" s="8">
        <f>CEILING('Green Slime'!$B$5/ IF('Green Slime'!$D$5&lt; 10.8, Table14[[#This Row],[STR]], Table14[[#This Row],[STR]] / ('Green Slime'!$D$5 / 10.8)), 1)</f>
        <v>1</v>
      </c>
      <c r="M20" s="8">
        <f>CEILING(Wolf!$B$6/ IF(Wolf!$D$6&lt; 10.8, Table14[[#This Row],[STR]], Table14[[#This Row],[STR]] / (Wolf!$D$6 / 10.8)), 1)</f>
        <v>2</v>
      </c>
      <c r="N20" s="8">
        <f>CEILING('Horned Wolf'!$B$5/ IF('Horned Wolf'!$D$5&lt; 10.8, Table14[[#This Row],[STR]], Table14[[#This Row],[STR]] / ('Horned Wolf'!$D$5 / 10.8)), 1)</f>
        <v>6</v>
      </c>
      <c r="O20" s="14">
        <f>CEILING(Spider!$B$7/ IF(Spider!$D$7&lt; 10.8, Table14[[#This Row],[STR]], Table14[[#This Row],[STR]] / (Spider!$D$7 / 10.8)), 1)</f>
        <v>6</v>
      </c>
      <c r="P20" s="14">
        <f>CEILING('Evolved Spider'!$B$8/ IF('Evolved Spider'!$D$8&lt; 10.8, Table14[[#This Row],[STR]], Table14[[#This Row],[STR]] / ('Evolved Spider'!$D$8 / 10.8)), 1)</f>
        <v>11</v>
      </c>
      <c r="Q20" s="14">
        <f>CEILING(Arachne!$B$4/ IF(Arachne!$D$4&lt; 10.8, Table14[[#This Row],[STR]], Table14[[#This Row],[STR]] / (Arachne!$D$4 / 10.8)), 1)</f>
        <v>14</v>
      </c>
      <c r="R20" s="12">
        <f>CEILING('Earth Elemental'!$B$6/ IF('Earth Elemental'!$D$6&lt; 10.8, Table14[[#This Row],[STR]], Table14[[#This Row],[STR]] / ('Earth Elemental'!$D$6 / 10.8)), 1)</f>
        <v>14</v>
      </c>
      <c r="S20" s="12">
        <f>CEILING('Wind Elemental'!$B$6/ IF('Wind Elemental'!$D$6&lt; 10.8, Table14[[#This Row],[STR]], Table14[[#This Row],[STR]] / ('Wind Elemental'!$D$6 / 10.8)), 1)</f>
        <v>13</v>
      </c>
      <c r="T20" s="12">
        <f>CEILING('Water Elemental'!$B$6/ IF('Water Elemental'!$D$6&lt; 10.8, Table14[[#This Row],[STR]], Table14[[#This Row],[STR]] / ('Water Elemental'!$D$6 / 10.8)), 1)</f>
        <v>19</v>
      </c>
      <c r="U20" s="12">
        <f>CEILING('Fire Elemental'!$B$4/ IF('Fire Elemental'!$D$4&lt; 10.8, Table14[[#This Row],[STR]], Table14[[#This Row],[STR]] / ('Fire Elemental'!$D$4 / 10.8)), 1)</f>
        <v>24</v>
      </c>
      <c r="V20" s="12">
        <f>CEILING(Wyvern!$B$4/ IF(Wyvern!$D$4&lt; 10.8, Table14[[#This Row],[STR]], Table14[[#This Row],[STR]] / (Wyvern!$D$4 / 10.8)), 1)</f>
        <v>33</v>
      </c>
      <c r="W20" s="12">
        <f>CEILING('Evolved Wyvern'!$B$4/ IF('Evolved Wyvern'!$D$4&lt; 10.8, Table14[[#This Row],[STR]], Table14[[#This Row],[STR]] / ('Evolved Wyvern'!$D$4 / 10.8)), 1)</f>
        <v>45</v>
      </c>
      <c r="X20" s="12">
        <f>CEILING(Dragon!$B$4/ IF(Dragon!$D$4&lt; 10.8, Table14[[#This Row],[STR]], Table14[[#This Row],[STR]] / (Dragon!$D$4 / 10.8)), 1)</f>
        <v>74</v>
      </c>
      <c r="Z20" s="8">
        <f>CEILING('Blue Slime'!$M$5/ IF('Blue Slime'!$O$5&lt; 10.8, Table14[[#This Row],[STR]], Table14[[#This Row],[STR]] / ('Blue Slime'!$O$5 / 10.8)), 1)</f>
        <v>1</v>
      </c>
      <c r="AA20" s="8">
        <f>CEILING('Green Slime'!$M$5/ IF('Green Slime'!$O$5&lt; 10.8, Table14[[#This Row],[STR]], Table14[[#This Row],[STR]] / ('Green Slime'!$O$5 / 10.8)), 1)</f>
        <v>2</v>
      </c>
      <c r="AB20" s="8">
        <f>CEILING(Wolf!$M$6/ IF(Wolf!$O$6&lt; 10.8, Table14[[#This Row],[STR]], Table14[[#This Row],[STR]] / (Wolf!$O$6 / 10.8)), 1)</f>
        <v>5</v>
      </c>
      <c r="AC20" s="8">
        <f>CEILING('Horned Wolf'!$M$5/ IF('Horned Wolf'!$O$5&lt; 10.8, Table14[[#This Row],[STR]], Table14[[#This Row],[STR]] / ('Horned Wolf'!$O$5 / 10.8)), 1)</f>
        <v>12</v>
      </c>
      <c r="AD20" s="14">
        <f>CEILING(Spider!$M$7/ IF(Spider!$O$7&lt; 10.8, Table14[[#This Row],[STR]], Table14[[#This Row],[STR]] / (Spider!$O$7 / 10.8)), 1)</f>
        <v>11</v>
      </c>
      <c r="AE20" s="14">
        <f>CEILING('Evolved Spider'!$M$8/ IF('Evolved Spider'!$O$8&lt; 10.8, Table14[[#This Row],[STR]], Table14[[#This Row],[STR]] / ('Evolved Spider'!$O$8 / 10.8)), 1)</f>
        <v>20</v>
      </c>
      <c r="AF20" s="14">
        <f>CEILING(Arachne!$M$4/ IF(Arachne!$O$4&lt; 10.8, Table14[[#This Row],[STR]], Table14[[#This Row],[STR]] / (Arachne!$O$4 / 10.8)), 1)</f>
        <v>27</v>
      </c>
      <c r="AG20" s="12">
        <f>CEILING('Earth Elemental'!$M$6/ IF('Earth Elemental'!$O$6&lt; 10.8, Table14[[#This Row],[STR]], Table14[[#This Row],[STR]] / ('Earth Elemental'!$O$6 / 10.8)), 1)</f>
        <v>25</v>
      </c>
      <c r="AH20" s="12">
        <f>CEILING('Wind Elemental'!$M$6/ IF('Wind Elemental'!$O$6&lt; 10.8, Table14[[#This Row],[STR]], Table14[[#This Row],[STR]] / ('Wind Elemental'!$O$6 / 10.8)), 1)</f>
        <v>20</v>
      </c>
      <c r="AI20" s="12">
        <f>CEILING('Water Elemental'!$M$6/ IF('Water Elemental'!$O$6&lt; 10.8, Table14[[#This Row],[STR]], Table14[[#This Row],[STR]] / ('Water Elemental'!$O$6 / 10.8)), 1)</f>
        <v>29</v>
      </c>
      <c r="AJ20" s="12">
        <f>CEILING('Fire Elemental'!$M$4/ IF('Fire Elemental'!$O$4&lt; 10.8, Table14[[#This Row],[STR]], Table14[[#This Row],[STR]] / ('Fire Elemental'!$O$4 / 10.8)), 1)</f>
        <v>42</v>
      </c>
      <c r="AK20" s="12">
        <f>CEILING(Wyvern!$M$4/ IF(Wyvern!$O$4&lt; 10.8, Table14[[#This Row],[STR]], Table14[[#This Row],[STR]] / (Wyvern!$O$4 / 10.8)), 1)</f>
        <v>54</v>
      </c>
      <c r="AL20" s="12">
        <f>CEILING('Evolved Wyvern'!$M$4/ IF('Evolved Wyvern'!$O$4&lt; 10.8, Table14[[#This Row],[STR]], Table14[[#This Row],[STR]] / ('Evolved Wyvern'!$O$4 / 10.8)), 1)</f>
        <v>71</v>
      </c>
      <c r="AM20" s="12">
        <f>CEILING(Dragon!$M$4/ IF(Dragon!$O$4&lt; 10.8, Table14[[#This Row],[STR]], Table14[[#This Row],[STR]] / (Dragon!$O$4 / 10.8)), 1)</f>
        <v>118</v>
      </c>
      <c r="AO20" s="8">
        <f>CEILING('Blue Slime'!$Z$5/ IF('Blue Slime'!$X$5&lt; 10.8, Table14[[#This Row],[STR]], Table14[[#This Row],[STR]] / ('Blue Slime'!$X$5 / 10.8)), 1)</f>
        <v>2</v>
      </c>
      <c r="AP20" s="8">
        <f>CEILING('Green Slime'!$Z$5/ IF('Green Slime'!$X$5&lt; 10.8, Table14[[#This Row],[STR]], Table14[[#This Row],[STR]] / ('Green Slime'!$X$5 / 10.8)), 1)</f>
        <v>3</v>
      </c>
      <c r="AQ20" s="8">
        <f>CEILING(Wolf!$Z$6/ IF(Wolf!$X$6&lt; 10.8, Table14[[#This Row],[STR]], Table14[[#This Row],[STR]] / (Wolf!$X$6 / 10.8)), 1)</f>
        <v>8</v>
      </c>
      <c r="AR20" s="8">
        <f>CEILING('Horned Wolf'!$Z$5/ IF('Horned Wolf'!$X$5&lt; 10.8, Table14[[#This Row],[STR]], Table14[[#This Row],[STR]] / ('Horned Wolf'!$X$5 / 10.8)), 1)</f>
        <v>21</v>
      </c>
      <c r="AS20" s="13">
        <f>CEILING(Spider!$Z$7/ IF(Spider!$X$7&lt; 10.8, Table14[[#This Row],[STR]], Table14[[#This Row],[STR]] / (Spider!$X$7 / 10.8)), 1)</f>
        <v>18</v>
      </c>
      <c r="AT20" s="13">
        <f>CEILING('Evolved Spider'!$Z$8/ IF('Evolved Spider'!$X$8&lt; 10.8, Table14[[#This Row],[STR]], Table14[[#This Row],[STR]] / ('Evolved Spider'!$X$8 / 10.8)), 1)</f>
        <v>33</v>
      </c>
      <c r="AU20" s="13">
        <f>CEILING(Arachne!$Z$4/ IF(Arachne!$X$4&lt; 10.8, Table14[[#This Row],[STR]], Table14[[#This Row],[STR]] / (Arachne!$X$4 / 10.8)), 1)</f>
        <v>44</v>
      </c>
      <c r="AV20" s="12">
        <f>CEILING('Earth Elemental'!$Z$6/ IF('Earth Elemental'!$X$6&lt; 10.8, Table14[[#This Row],[STR]], Table14[[#This Row],[STR]] / ('Earth Elemental'!$X$6 / 10.8)), 1)</f>
        <v>37</v>
      </c>
      <c r="AW20" s="12">
        <f>CEILING('Wind Elemental'!$Z$6/ IF('Wind Elemental'!$X$6&lt; 10.8, Table14[[#This Row],[STR]], Table14[[#This Row],[STR]] / ('Wind Elemental'!$X$6 / 10.8)), 1)</f>
        <v>29</v>
      </c>
      <c r="AX20" s="12">
        <f>CEILING('Water Elemental'!$Z$6/ IF('Water Elemental'!$X$6&lt; 10.8, Table14[[#This Row],[STR]], Table14[[#This Row],[STR]] / ('Water Elemental'!$X$6 / 10.8)), 1)</f>
        <v>40</v>
      </c>
      <c r="AY20" s="12">
        <f>CEILING('Fire Elemental'!$Z$4/ IF('Fire Elemental'!$X$4&lt; 10.8, Table14[[#This Row],[STR]], Table14[[#This Row],[STR]] / ('Fire Elemental'!$X$4 / 10.8)), 1)</f>
        <v>64</v>
      </c>
      <c r="AZ20" s="12">
        <f>CEILING(Wyvern!$Z$4/ IF(Wyvern!$X$4&lt; 10.8, Table14[[#This Row],[STR]], Table14[[#This Row],[STR]] / (Wyvern!$X$4 / 10.8)), 1)</f>
        <v>78</v>
      </c>
      <c r="BA20" s="12">
        <f>CEILING('Evolved Wyvern'!$Z$4/ IF('Evolved Wyvern'!$X$4&lt; 10.8, Table14[[#This Row],[STR]], Table14[[#This Row],[STR]] / ('Evolved Wyvern'!$X$4 / 10.8)), 1)</f>
        <v>99</v>
      </c>
      <c r="BB20" s="12">
        <f>CEILING(Dragon!$Z$4/ IF(Dragon!$X$4&lt; 10.8, Table14[[#This Row],[STR]], Table14[[#This Row],[STR]] / (Dragon!$X$4 / 10.8)), 1)</f>
        <v>168</v>
      </c>
    </row>
    <row r="21" spans="1:54" x14ac:dyDescent="0.3">
      <c r="A21" s="1">
        <v>19</v>
      </c>
      <c r="B21" s="1">
        <f>$B$3 + ((Table14[[#This Row],[Level]] / 10) + $B$3 / 8) * Table14[[#This Row],[Level]] + Equipment!$O$18</f>
        <v>77.099999999999994</v>
      </c>
      <c r="C21" s="1">
        <f xml:space="preserve"> 2*Table14[[#This Row],[INT]]</f>
        <v>91</v>
      </c>
      <c r="D21" s="1">
        <f>$D$3 + ($D$3 / 4) * Table14[[#This Row],[Level]] + Equipment!$P$18</f>
        <v>45.5</v>
      </c>
      <c r="E21" s="1">
        <f>$E$3 + ($E$3 / 4) * Table14[[#This Row],[Level]] + Equipment!$Q$18</f>
        <v>52.25</v>
      </c>
      <c r="F21" s="1">
        <f>$F$3 + ($F$3 / 4) * Table14[[#This Row],[Level]] + Equipment!$R$18</f>
        <v>37.75</v>
      </c>
      <c r="G21" s="1">
        <f>$G$3 + ($G$3 / 4) * Table14[[#This Row],[Level]] + Equipment!$S$18</f>
        <v>45.5</v>
      </c>
      <c r="H21" s="1">
        <f>$H$3 + ($H$3 / 4) * Table14[[#This Row],[Level]] + Equipment!$T$18</f>
        <v>60</v>
      </c>
      <c r="I21" s="1">
        <f xml:space="preserve"> (4 * (Table14[[#This Row],[Level]] ^ 3))/7 + $I$3</f>
        <v>4019.4285714285716</v>
      </c>
      <c r="K21" s="8">
        <f>CEILING('Blue Slime'!$B$5/ IF('Blue Slime'!$D$5&lt; 10.8, Table14[[#This Row],[STR]], Table14[[#This Row],[STR]] / ('Blue Slime'!$D$5 / 10.8)), 1)</f>
        <v>1</v>
      </c>
      <c r="L21" s="8">
        <f>CEILING('Green Slime'!$B$5/ IF('Green Slime'!$D$5&lt; 10.8, Table14[[#This Row],[STR]], Table14[[#This Row],[STR]] / ('Green Slime'!$D$5 / 10.8)), 1)</f>
        <v>1</v>
      </c>
      <c r="M21" s="8">
        <f>CEILING(Wolf!$B$6/ IF(Wolf!$D$6&lt; 10.8, Table14[[#This Row],[STR]], Table14[[#This Row],[STR]] / (Wolf!$D$6 / 10.8)), 1)</f>
        <v>2</v>
      </c>
      <c r="N21" s="8">
        <f>CEILING('Horned Wolf'!$B$5/ IF('Horned Wolf'!$D$5&lt; 10.8, Table14[[#This Row],[STR]], Table14[[#This Row],[STR]] / ('Horned Wolf'!$D$5 / 10.8)), 1)</f>
        <v>6</v>
      </c>
      <c r="O21" s="14">
        <f>CEILING(Spider!$B$7/ IF(Spider!$D$7&lt; 10.8, Table14[[#This Row],[STR]], Table14[[#This Row],[STR]] / (Spider!$D$7 / 10.8)), 1)</f>
        <v>5</v>
      </c>
      <c r="P21" s="14">
        <f>CEILING('Evolved Spider'!$B$8/ IF('Evolved Spider'!$D$8&lt; 10.8, Table14[[#This Row],[STR]], Table14[[#This Row],[STR]] / ('Evolved Spider'!$D$8 / 10.8)), 1)</f>
        <v>10</v>
      </c>
      <c r="Q21" s="14">
        <f>CEILING(Arachne!$B$4/ IF(Arachne!$D$4&lt; 10.8, Table14[[#This Row],[STR]], Table14[[#This Row],[STR]] / (Arachne!$D$4 / 10.8)), 1)</f>
        <v>13</v>
      </c>
      <c r="R21" s="12">
        <f>CEILING('Earth Elemental'!$B$6/ IF('Earth Elemental'!$D$6&lt; 10.8, Table14[[#This Row],[STR]], Table14[[#This Row],[STR]] / ('Earth Elemental'!$D$6 / 10.8)), 1)</f>
        <v>14</v>
      </c>
      <c r="S21" s="12">
        <f>CEILING('Wind Elemental'!$B$6/ IF('Wind Elemental'!$D$6&lt; 10.8, Table14[[#This Row],[STR]], Table14[[#This Row],[STR]] / ('Wind Elemental'!$D$6 / 10.8)), 1)</f>
        <v>12</v>
      </c>
      <c r="T21" s="12">
        <f>CEILING('Water Elemental'!$B$6/ IF('Water Elemental'!$D$6&lt; 10.8, Table14[[#This Row],[STR]], Table14[[#This Row],[STR]] / ('Water Elemental'!$D$6 / 10.8)), 1)</f>
        <v>18</v>
      </c>
      <c r="U21" s="12">
        <f>CEILING('Fire Elemental'!$B$4/ IF('Fire Elemental'!$D$4&lt; 10.8, Table14[[#This Row],[STR]], Table14[[#This Row],[STR]] / ('Fire Elemental'!$D$4 / 10.8)), 1)</f>
        <v>23</v>
      </c>
      <c r="V21" s="12">
        <f>CEILING(Wyvern!$B$4/ IF(Wyvern!$D$4&lt; 10.8, Table14[[#This Row],[STR]], Table14[[#This Row],[STR]] / (Wyvern!$D$4 / 10.8)), 1)</f>
        <v>32</v>
      </c>
      <c r="W21" s="12">
        <f>CEILING('Evolved Wyvern'!$B$4/ IF('Evolved Wyvern'!$D$4&lt; 10.8, Table14[[#This Row],[STR]], Table14[[#This Row],[STR]] / ('Evolved Wyvern'!$D$4 / 10.8)), 1)</f>
        <v>44</v>
      </c>
      <c r="X21" s="12">
        <f>CEILING(Dragon!$B$4/ IF(Dragon!$D$4&lt; 10.8, Table14[[#This Row],[STR]], Table14[[#This Row],[STR]] / (Dragon!$D$4 / 10.8)), 1)</f>
        <v>71</v>
      </c>
      <c r="Z21" s="8">
        <f>CEILING('Blue Slime'!$M$5/ IF('Blue Slime'!$O$5&lt; 10.8, Table14[[#This Row],[STR]], Table14[[#This Row],[STR]] / ('Blue Slime'!$O$5 / 10.8)), 1)</f>
        <v>1</v>
      </c>
      <c r="AA21" s="8">
        <f>CEILING('Green Slime'!$M$5/ IF('Green Slime'!$O$5&lt; 10.8, Table14[[#This Row],[STR]], Table14[[#This Row],[STR]] / ('Green Slime'!$O$5 / 10.8)), 1)</f>
        <v>2</v>
      </c>
      <c r="AB21" s="8">
        <f>CEILING(Wolf!$M$6/ IF(Wolf!$O$6&lt; 10.8, Table14[[#This Row],[STR]], Table14[[#This Row],[STR]] / (Wolf!$O$6 / 10.8)), 1)</f>
        <v>4</v>
      </c>
      <c r="AC21" s="8">
        <f>CEILING('Horned Wolf'!$M$5/ IF('Horned Wolf'!$O$5&lt; 10.8, Table14[[#This Row],[STR]], Table14[[#This Row],[STR]] / ('Horned Wolf'!$O$5 / 10.8)), 1)</f>
        <v>12</v>
      </c>
      <c r="AD21" s="14">
        <f>CEILING(Spider!$M$7/ IF(Spider!$O$7&lt; 10.8, Table14[[#This Row],[STR]], Table14[[#This Row],[STR]] / (Spider!$O$7 / 10.8)), 1)</f>
        <v>11</v>
      </c>
      <c r="AE21" s="14">
        <f>CEILING('Evolved Spider'!$M$8/ IF('Evolved Spider'!$O$8&lt; 10.8, Table14[[#This Row],[STR]], Table14[[#This Row],[STR]] / ('Evolved Spider'!$O$8 / 10.8)), 1)</f>
        <v>19</v>
      </c>
      <c r="AF21" s="14">
        <f>CEILING(Arachne!$M$4/ IF(Arachne!$O$4&lt; 10.8, Table14[[#This Row],[STR]], Table14[[#This Row],[STR]] / (Arachne!$O$4 / 10.8)), 1)</f>
        <v>26</v>
      </c>
      <c r="AG21" s="12">
        <f>CEILING('Earth Elemental'!$M$6/ IF('Earth Elemental'!$O$6&lt; 10.8, Table14[[#This Row],[STR]], Table14[[#This Row],[STR]] / ('Earth Elemental'!$O$6 / 10.8)), 1)</f>
        <v>24</v>
      </c>
      <c r="AH21" s="12">
        <f>CEILING('Wind Elemental'!$M$6/ IF('Wind Elemental'!$O$6&lt; 10.8, Table14[[#This Row],[STR]], Table14[[#This Row],[STR]] / ('Wind Elemental'!$O$6 / 10.8)), 1)</f>
        <v>20</v>
      </c>
      <c r="AI21" s="12">
        <f>CEILING('Water Elemental'!$M$6/ IF('Water Elemental'!$O$6&lt; 10.8, Table14[[#This Row],[STR]], Table14[[#This Row],[STR]] / ('Water Elemental'!$O$6 / 10.8)), 1)</f>
        <v>28</v>
      </c>
      <c r="AJ21" s="12">
        <f>CEILING('Fire Elemental'!$M$4/ IF('Fire Elemental'!$O$4&lt; 10.8, Table14[[#This Row],[STR]], Table14[[#This Row],[STR]] / ('Fire Elemental'!$O$4 / 10.8)), 1)</f>
        <v>41</v>
      </c>
      <c r="AK21" s="12">
        <f>CEILING(Wyvern!$M$4/ IF(Wyvern!$O$4&lt; 10.8, Table14[[#This Row],[STR]], Table14[[#This Row],[STR]] / (Wyvern!$O$4 / 10.8)), 1)</f>
        <v>52</v>
      </c>
      <c r="AL21" s="12">
        <f>CEILING('Evolved Wyvern'!$M$4/ IF('Evolved Wyvern'!$O$4&lt; 10.8, Table14[[#This Row],[STR]], Table14[[#This Row],[STR]] / ('Evolved Wyvern'!$O$4 / 10.8)), 1)</f>
        <v>69</v>
      </c>
      <c r="AM21" s="12">
        <f>CEILING(Dragon!$M$4/ IF(Dragon!$O$4&lt; 10.8, Table14[[#This Row],[STR]], Table14[[#This Row],[STR]] / (Dragon!$O$4 / 10.8)), 1)</f>
        <v>114</v>
      </c>
      <c r="AO21" s="8">
        <f>CEILING('Blue Slime'!$Z$5/ IF('Blue Slime'!$X$5&lt; 10.8, Table14[[#This Row],[STR]], Table14[[#This Row],[STR]] / ('Blue Slime'!$X$5 / 10.8)), 1)</f>
        <v>2</v>
      </c>
      <c r="AP21" s="8">
        <f>CEILING('Green Slime'!$Z$5/ IF('Green Slime'!$X$5&lt; 10.8, Table14[[#This Row],[STR]], Table14[[#This Row],[STR]] / ('Green Slime'!$X$5 / 10.8)), 1)</f>
        <v>3</v>
      </c>
      <c r="AQ21" s="8">
        <f>CEILING(Wolf!$Z$6/ IF(Wolf!$X$6&lt; 10.8, Table14[[#This Row],[STR]], Table14[[#This Row],[STR]] / (Wolf!$X$6 / 10.8)), 1)</f>
        <v>7</v>
      </c>
      <c r="AR21" s="8">
        <f>CEILING('Horned Wolf'!$Z$5/ IF('Horned Wolf'!$X$5&lt; 10.8, Table14[[#This Row],[STR]], Table14[[#This Row],[STR]] / ('Horned Wolf'!$X$5 / 10.8)), 1)</f>
        <v>20</v>
      </c>
      <c r="AS21" s="13">
        <f>CEILING(Spider!$Z$7/ IF(Spider!$X$7&lt; 10.8, Table14[[#This Row],[STR]], Table14[[#This Row],[STR]] / (Spider!$X$7 / 10.8)), 1)</f>
        <v>18</v>
      </c>
      <c r="AT21" s="13">
        <f>CEILING('Evolved Spider'!$Z$8/ IF('Evolved Spider'!$X$8&lt; 10.8, Table14[[#This Row],[STR]], Table14[[#This Row],[STR]] / ('Evolved Spider'!$X$8 / 10.8)), 1)</f>
        <v>31</v>
      </c>
      <c r="AU21" s="13">
        <f>CEILING(Arachne!$Z$4/ IF(Arachne!$X$4&lt; 10.8, Table14[[#This Row],[STR]], Table14[[#This Row],[STR]] / (Arachne!$X$4 / 10.8)), 1)</f>
        <v>43</v>
      </c>
      <c r="AV21" s="12">
        <f>CEILING('Earth Elemental'!$Z$6/ IF('Earth Elemental'!$X$6&lt; 10.8, Table14[[#This Row],[STR]], Table14[[#This Row],[STR]] / ('Earth Elemental'!$X$6 / 10.8)), 1)</f>
        <v>36</v>
      </c>
      <c r="AW21" s="12">
        <f>CEILING('Wind Elemental'!$Z$6/ IF('Wind Elemental'!$X$6&lt; 10.8, Table14[[#This Row],[STR]], Table14[[#This Row],[STR]] / ('Wind Elemental'!$X$6 / 10.8)), 1)</f>
        <v>28</v>
      </c>
      <c r="AX21" s="12">
        <f>CEILING('Water Elemental'!$Z$6/ IF('Water Elemental'!$X$6&lt; 10.8, Table14[[#This Row],[STR]], Table14[[#This Row],[STR]] / ('Water Elemental'!$X$6 / 10.8)), 1)</f>
        <v>38</v>
      </c>
      <c r="AY21" s="12">
        <f>CEILING('Fire Elemental'!$Z$4/ IF('Fire Elemental'!$X$4&lt; 10.8, Table14[[#This Row],[STR]], Table14[[#This Row],[STR]] / ('Fire Elemental'!$X$4 / 10.8)), 1)</f>
        <v>62</v>
      </c>
      <c r="AZ21" s="12">
        <f>CEILING(Wyvern!$Z$4/ IF(Wyvern!$X$4&lt; 10.8, Table14[[#This Row],[STR]], Table14[[#This Row],[STR]] / (Wyvern!$X$4 / 10.8)), 1)</f>
        <v>75</v>
      </c>
      <c r="BA21" s="12">
        <f>CEILING('Evolved Wyvern'!$Z$4/ IF('Evolved Wyvern'!$X$4&lt; 10.8, Table14[[#This Row],[STR]], Table14[[#This Row],[STR]] / ('Evolved Wyvern'!$X$4 / 10.8)), 1)</f>
        <v>96</v>
      </c>
      <c r="BB21" s="12">
        <f>CEILING(Dragon!$Z$4/ IF(Dragon!$X$4&lt; 10.8, Table14[[#This Row],[STR]], Table14[[#This Row],[STR]] / (Dragon!$X$4 / 10.8)), 1)</f>
        <v>162</v>
      </c>
    </row>
    <row r="22" spans="1:54" x14ac:dyDescent="0.3">
      <c r="A22" s="1">
        <v>20</v>
      </c>
      <c r="B22" s="1">
        <f>$B$3 + ((Table14[[#This Row],[Level]] / 10) + $B$3 / 8) * Table14[[#This Row],[Level]] + Equipment!$O$18</f>
        <v>82</v>
      </c>
      <c r="C22" s="1">
        <f xml:space="preserve"> 2*Table14[[#This Row],[INT]]</f>
        <v>94</v>
      </c>
      <c r="D22" s="1">
        <f>$D$3 + ($D$3 / 4) * Table14[[#This Row],[Level]] + Equipment!$P$18</f>
        <v>47</v>
      </c>
      <c r="E22" s="1">
        <f>$E$3 + ($E$3 / 4) * Table14[[#This Row],[Level]] + Equipment!$Q$18</f>
        <v>54</v>
      </c>
      <c r="F22" s="1">
        <f>$F$3 + ($F$3 / 4) * Table14[[#This Row],[Level]] + Equipment!$R$18</f>
        <v>39</v>
      </c>
      <c r="G22" s="1">
        <f>$G$3 + ($G$3 / 4) * Table14[[#This Row],[Level]] + Equipment!$S$18</f>
        <v>47</v>
      </c>
      <c r="H22" s="1">
        <f>$H$3 + ($H$3 / 4) * Table14[[#This Row],[Level]] + Equipment!$T$18</f>
        <v>62</v>
      </c>
      <c r="I22" s="1">
        <f xml:space="preserve"> (4 * (Table14[[#This Row],[Level]] ^ 3))/7 + $I$3</f>
        <v>4671.4285714285716</v>
      </c>
      <c r="K22" s="8">
        <f>CEILING('Blue Slime'!$B$5/ IF('Blue Slime'!$D$5&lt; 10.8, Table14[[#This Row],[STR]], Table14[[#This Row],[STR]] / ('Blue Slime'!$D$5 / 10.8)), 1)</f>
        <v>1</v>
      </c>
      <c r="L22" s="8">
        <f>CEILING('Green Slime'!$B$5/ IF('Green Slime'!$D$5&lt; 10.8, Table14[[#This Row],[STR]], Table14[[#This Row],[STR]] / ('Green Slime'!$D$5 / 10.8)), 1)</f>
        <v>1</v>
      </c>
      <c r="M22" s="8">
        <f>CEILING(Wolf!$B$6/ IF(Wolf!$D$6&lt; 10.8, Table14[[#This Row],[STR]], Table14[[#This Row],[STR]] / (Wolf!$D$6 / 10.8)), 1)</f>
        <v>2</v>
      </c>
      <c r="N22" s="8">
        <f>CEILING('Horned Wolf'!$B$5/ IF('Horned Wolf'!$D$5&lt; 10.8, Table14[[#This Row],[STR]], Table14[[#This Row],[STR]] / ('Horned Wolf'!$D$5 / 10.8)), 1)</f>
        <v>5</v>
      </c>
      <c r="O22" s="14">
        <f>CEILING(Spider!$B$7/ IF(Spider!$D$7&lt; 10.8, Table14[[#This Row],[STR]], Table14[[#This Row],[STR]] / (Spider!$D$7 / 10.8)), 1)</f>
        <v>5</v>
      </c>
      <c r="P22" s="14">
        <f>CEILING('Evolved Spider'!$B$8/ IF('Evolved Spider'!$D$8&lt; 10.8, Table14[[#This Row],[STR]], Table14[[#This Row],[STR]] / ('Evolved Spider'!$D$8 / 10.8)), 1)</f>
        <v>10</v>
      </c>
      <c r="Q22" s="14">
        <f>CEILING(Arachne!$B$4/ IF(Arachne!$D$4&lt; 10.8, Table14[[#This Row],[STR]], Table14[[#This Row],[STR]] / (Arachne!$D$4 / 10.8)), 1)</f>
        <v>13</v>
      </c>
      <c r="R22" s="12">
        <f>CEILING('Earth Elemental'!$B$6/ IF('Earth Elemental'!$D$6&lt; 10.8, Table14[[#This Row],[STR]], Table14[[#This Row],[STR]] / ('Earth Elemental'!$D$6 / 10.8)), 1)</f>
        <v>13</v>
      </c>
      <c r="S22" s="12">
        <f>CEILING('Wind Elemental'!$B$6/ IF('Wind Elemental'!$D$6&lt; 10.8, Table14[[#This Row],[STR]], Table14[[#This Row],[STR]] / ('Wind Elemental'!$D$6 / 10.8)), 1)</f>
        <v>12</v>
      </c>
      <c r="T22" s="12">
        <f>CEILING('Water Elemental'!$B$6/ IF('Water Elemental'!$D$6&lt; 10.8, Table14[[#This Row],[STR]], Table14[[#This Row],[STR]] / ('Water Elemental'!$D$6 / 10.8)), 1)</f>
        <v>18</v>
      </c>
      <c r="U22" s="12">
        <f>CEILING('Fire Elemental'!$B$4/ IF('Fire Elemental'!$D$4&lt; 10.8, Table14[[#This Row],[STR]], Table14[[#This Row],[STR]] / ('Fire Elemental'!$D$4 / 10.8)), 1)</f>
        <v>23</v>
      </c>
      <c r="V22" s="12">
        <f>CEILING(Wyvern!$B$4/ IF(Wyvern!$D$4&lt; 10.8, Table14[[#This Row],[STR]], Table14[[#This Row],[STR]] / (Wyvern!$D$4 / 10.8)), 1)</f>
        <v>31</v>
      </c>
      <c r="W22" s="12">
        <f>CEILING('Evolved Wyvern'!$B$4/ IF('Evolved Wyvern'!$D$4&lt; 10.8, Table14[[#This Row],[STR]], Table14[[#This Row],[STR]] / ('Evolved Wyvern'!$D$4 / 10.8)), 1)</f>
        <v>42</v>
      </c>
      <c r="X22" s="12">
        <f>CEILING(Dragon!$B$4/ IF(Dragon!$D$4&lt; 10.8, Table14[[#This Row],[STR]], Table14[[#This Row],[STR]] / (Dragon!$D$4 / 10.8)), 1)</f>
        <v>69</v>
      </c>
      <c r="Z22" s="8">
        <f>CEILING('Blue Slime'!$M$5/ IF('Blue Slime'!$O$5&lt; 10.8, Table14[[#This Row],[STR]], Table14[[#This Row],[STR]] / ('Blue Slime'!$O$5 / 10.8)), 1)</f>
        <v>1</v>
      </c>
      <c r="AA22" s="8">
        <f>CEILING('Green Slime'!$M$5/ IF('Green Slime'!$O$5&lt; 10.8, Table14[[#This Row],[STR]], Table14[[#This Row],[STR]] / ('Green Slime'!$O$5 / 10.8)), 1)</f>
        <v>2</v>
      </c>
      <c r="AB22" s="8">
        <f>CEILING(Wolf!$M$6/ IF(Wolf!$O$6&lt; 10.8, Table14[[#This Row],[STR]], Table14[[#This Row],[STR]] / (Wolf!$O$6 / 10.8)), 1)</f>
        <v>4</v>
      </c>
      <c r="AC22" s="8">
        <f>CEILING('Horned Wolf'!$M$5/ IF('Horned Wolf'!$O$5&lt; 10.8, Table14[[#This Row],[STR]], Table14[[#This Row],[STR]] / ('Horned Wolf'!$O$5 / 10.8)), 1)</f>
        <v>11</v>
      </c>
      <c r="AD22" s="14">
        <f>CEILING(Spider!$M$7/ IF(Spider!$O$7&lt; 10.8, Table14[[#This Row],[STR]], Table14[[#This Row],[STR]] / (Spider!$O$7 / 10.8)), 1)</f>
        <v>10</v>
      </c>
      <c r="AE22" s="14">
        <f>CEILING('Evolved Spider'!$M$8/ IF('Evolved Spider'!$O$8&lt; 10.8, Table14[[#This Row],[STR]], Table14[[#This Row],[STR]] / ('Evolved Spider'!$O$8 / 10.8)), 1)</f>
        <v>19</v>
      </c>
      <c r="AF22" s="14">
        <f>CEILING(Arachne!$M$4/ IF(Arachne!$O$4&lt; 10.8, Table14[[#This Row],[STR]], Table14[[#This Row],[STR]] / (Arachne!$O$4 / 10.8)), 1)</f>
        <v>25</v>
      </c>
      <c r="AG22" s="12">
        <f>CEILING('Earth Elemental'!$M$6/ IF('Earth Elemental'!$O$6&lt; 10.8, Table14[[#This Row],[STR]], Table14[[#This Row],[STR]] / ('Earth Elemental'!$O$6 / 10.8)), 1)</f>
        <v>23</v>
      </c>
      <c r="AH22" s="12">
        <f>CEILING('Wind Elemental'!$M$6/ IF('Wind Elemental'!$O$6&lt; 10.8, Table14[[#This Row],[STR]], Table14[[#This Row],[STR]] / ('Wind Elemental'!$O$6 / 10.8)), 1)</f>
        <v>19</v>
      </c>
      <c r="AI22" s="12">
        <f>CEILING('Water Elemental'!$M$6/ IF('Water Elemental'!$O$6&lt; 10.8, Table14[[#This Row],[STR]], Table14[[#This Row],[STR]] / ('Water Elemental'!$O$6 / 10.8)), 1)</f>
        <v>27</v>
      </c>
      <c r="AJ22" s="12">
        <f>CEILING('Fire Elemental'!$M$4/ IF('Fire Elemental'!$O$4&lt; 10.8, Table14[[#This Row],[STR]], Table14[[#This Row],[STR]] / ('Fire Elemental'!$O$4 / 10.8)), 1)</f>
        <v>40</v>
      </c>
      <c r="AK22" s="12">
        <f>CEILING(Wyvern!$M$4/ IF(Wyvern!$O$4&lt; 10.8, Table14[[#This Row],[STR]], Table14[[#This Row],[STR]] / (Wyvern!$O$4 / 10.8)), 1)</f>
        <v>50</v>
      </c>
      <c r="AL22" s="12">
        <f>CEILING('Evolved Wyvern'!$M$4/ IF('Evolved Wyvern'!$O$4&lt; 10.8, Table14[[#This Row],[STR]], Table14[[#This Row],[STR]] / ('Evolved Wyvern'!$O$4 / 10.8)), 1)</f>
        <v>66</v>
      </c>
      <c r="AM22" s="12">
        <f>CEILING(Dragon!$M$4/ IF(Dragon!$O$4&lt; 10.8, Table14[[#This Row],[STR]], Table14[[#This Row],[STR]] / (Dragon!$O$4 / 10.8)), 1)</f>
        <v>111</v>
      </c>
      <c r="AO22" s="8">
        <f>CEILING('Blue Slime'!$Z$5/ IF('Blue Slime'!$X$5&lt; 10.8, Table14[[#This Row],[STR]], Table14[[#This Row],[STR]] / ('Blue Slime'!$X$5 / 10.8)), 1)</f>
        <v>2</v>
      </c>
      <c r="AP22" s="8">
        <f>CEILING('Green Slime'!$Z$5/ IF('Green Slime'!$X$5&lt; 10.8, Table14[[#This Row],[STR]], Table14[[#This Row],[STR]] / ('Green Slime'!$X$5 / 10.8)), 1)</f>
        <v>3</v>
      </c>
      <c r="AQ22" s="8">
        <f>CEILING(Wolf!$Z$6/ IF(Wolf!$X$6&lt; 10.8, Table14[[#This Row],[STR]], Table14[[#This Row],[STR]] / (Wolf!$X$6 / 10.8)), 1)</f>
        <v>7</v>
      </c>
      <c r="AR22" s="8">
        <f>CEILING('Horned Wolf'!$Z$5/ IF('Horned Wolf'!$X$5&lt; 10.8, Table14[[#This Row],[STR]], Table14[[#This Row],[STR]] / ('Horned Wolf'!$X$5 / 10.8)), 1)</f>
        <v>19</v>
      </c>
      <c r="AS22" s="13">
        <f>CEILING(Spider!$Z$7/ IF(Spider!$X$7&lt; 10.8, Table14[[#This Row],[STR]], Table14[[#This Row],[STR]] / (Spider!$X$7 / 10.8)), 1)</f>
        <v>17</v>
      </c>
      <c r="AT22" s="13">
        <f>CEILING('Evolved Spider'!$Z$8/ IF('Evolved Spider'!$X$8&lt; 10.8, Table14[[#This Row],[STR]], Table14[[#This Row],[STR]] / ('Evolved Spider'!$X$8 / 10.8)), 1)</f>
        <v>31</v>
      </c>
      <c r="AU22" s="13">
        <f>CEILING(Arachne!$Z$4/ IF(Arachne!$X$4&lt; 10.8, Table14[[#This Row],[STR]], Table14[[#This Row],[STR]] / (Arachne!$X$4 / 10.8)), 1)</f>
        <v>42</v>
      </c>
      <c r="AV22" s="12">
        <f>CEILING('Earth Elemental'!$Z$6/ IF('Earth Elemental'!$X$6&lt; 10.8, Table14[[#This Row],[STR]], Table14[[#This Row],[STR]] / ('Earth Elemental'!$X$6 / 10.8)), 1)</f>
        <v>35</v>
      </c>
      <c r="AW22" s="12">
        <f>CEILING('Wind Elemental'!$Z$6/ IF('Wind Elemental'!$X$6&lt; 10.8, Table14[[#This Row],[STR]], Table14[[#This Row],[STR]] / ('Wind Elemental'!$X$6 / 10.8)), 1)</f>
        <v>27</v>
      </c>
      <c r="AX22" s="12">
        <f>CEILING('Water Elemental'!$Z$6/ IF('Water Elemental'!$X$6&lt; 10.8, Table14[[#This Row],[STR]], Table14[[#This Row],[STR]] / ('Water Elemental'!$X$6 / 10.8)), 1)</f>
        <v>37</v>
      </c>
      <c r="AY22" s="12">
        <f>CEILING('Fire Elemental'!$Z$4/ IF('Fire Elemental'!$X$4&lt; 10.8, Table14[[#This Row],[STR]], Table14[[#This Row],[STR]] / ('Fire Elemental'!$X$4 / 10.8)), 1)</f>
        <v>60</v>
      </c>
      <c r="AZ22" s="12">
        <f>CEILING(Wyvern!$Z$4/ IF(Wyvern!$X$4&lt; 10.8, Table14[[#This Row],[STR]], Table14[[#This Row],[STR]] / (Wyvern!$X$4 / 10.8)), 1)</f>
        <v>73</v>
      </c>
      <c r="BA22" s="12">
        <f>CEILING('Evolved Wyvern'!$Z$4/ IF('Evolved Wyvern'!$X$4&lt; 10.8, Table14[[#This Row],[STR]], Table14[[#This Row],[STR]] / ('Evolved Wyvern'!$X$4 / 10.8)), 1)</f>
        <v>93</v>
      </c>
      <c r="BB22" s="12">
        <f>CEILING(Dragon!$Z$4/ IF(Dragon!$X$4&lt; 10.8, Table14[[#This Row],[STR]], Table14[[#This Row],[STR]] / (Dragon!$X$4 / 10.8)), 1)</f>
        <v>157</v>
      </c>
    </row>
    <row r="23" spans="1:54" x14ac:dyDescent="0.3">
      <c r="A23" s="1">
        <v>21</v>
      </c>
      <c r="B23" s="1">
        <f>$B$3 + ((Table14[[#This Row],[Level]] / 10) + $B$3 / 8) * Table14[[#This Row],[Level]] + Equipment!$O$18</f>
        <v>87.100000000000009</v>
      </c>
      <c r="C23" s="1">
        <f xml:space="preserve"> 2*Table14[[#This Row],[INT]]</f>
        <v>97</v>
      </c>
      <c r="D23" s="1">
        <f>$D$3 + ($D$3 / 4) * Table14[[#This Row],[Level]] + Equipment!$P$18</f>
        <v>48.5</v>
      </c>
      <c r="E23" s="1">
        <f>$E$3 + ($E$3 / 4) * Table14[[#This Row],[Level]] + Equipment!$Q$18</f>
        <v>55.75</v>
      </c>
      <c r="F23" s="1">
        <f>$F$3 + ($F$3 / 4) * Table14[[#This Row],[Level]] + Equipment!$R$18</f>
        <v>40.25</v>
      </c>
      <c r="G23" s="1">
        <f>$G$3 + ($G$3 / 4) * Table14[[#This Row],[Level]] + Equipment!$S$18</f>
        <v>48.5</v>
      </c>
      <c r="H23" s="1">
        <f>$H$3 + ($H$3 / 4) * Table14[[#This Row],[Level]] + Equipment!$T$18</f>
        <v>64</v>
      </c>
      <c r="I23" s="1">
        <f xml:space="preserve"> (4 * (Table14[[#This Row],[Level]] ^ 3))/7 + $I$3</f>
        <v>5392</v>
      </c>
      <c r="K23" s="8">
        <f>CEILING('Blue Slime'!$B$5/ IF('Blue Slime'!$D$5&lt; 10.8, Table14[[#This Row],[STR]], Table14[[#This Row],[STR]] / ('Blue Slime'!$D$5 / 10.8)), 1)</f>
        <v>1</v>
      </c>
      <c r="L23" s="8">
        <f>CEILING('Green Slime'!$B$5/ IF('Green Slime'!$D$5&lt; 10.8, Table14[[#This Row],[STR]], Table14[[#This Row],[STR]] / ('Green Slime'!$D$5 / 10.8)), 1)</f>
        <v>1</v>
      </c>
      <c r="M23" s="8">
        <f>CEILING(Wolf!$B$6/ IF(Wolf!$D$6&lt; 10.8, Table14[[#This Row],[STR]], Table14[[#This Row],[STR]] / (Wolf!$D$6 / 10.8)), 1)</f>
        <v>2</v>
      </c>
      <c r="N23" s="8">
        <f>CEILING('Horned Wolf'!$B$5/ IF('Horned Wolf'!$D$5&lt; 10.8, Table14[[#This Row],[STR]], Table14[[#This Row],[STR]] / ('Horned Wolf'!$D$5 / 10.8)), 1)</f>
        <v>5</v>
      </c>
      <c r="O23" s="8">
        <f>CEILING(Spider!$B$7/ IF(Spider!$D$7&lt; 10.8, Table14[[#This Row],[STR]], Table14[[#This Row],[STR]] / (Spider!$D$7 / 10.8)), 1)</f>
        <v>5</v>
      </c>
      <c r="P23" s="8">
        <f>CEILING('Evolved Spider'!$B$8/ IF('Evolved Spider'!$D$8&lt; 10.8, Table14[[#This Row],[STR]], Table14[[#This Row],[STR]] / ('Evolved Spider'!$D$8 / 10.8)), 1)</f>
        <v>10</v>
      </c>
      <c r="Q23" s="8">
        <f>CEILING(Arachne!$B$4/ IF(Arachne!$D$4&lt; 10.8, Table14[[#This Row],[STR]], Table14[[#This Row],[STR]] / (Arachne!$D$4 / 10.8)), 1)</f>
        <v>13</v>
      </c>
      <c r="R23" s="15">
        <f>CEILING('Earth Elemental'!$B$6/ IF('Earth Elemental'!$D$6&lt; 10.8, Table14[[#This Row],[STR]], Table14[[#This Row],[STR]] / ('Earth Elemental'!$D$6 / 10.8)), 1)</f>
        <v>13</v>
      </c>
      <c r="S23" s="15">
        <f>CEILING('Wind Elemental'!$B$6/ IF('Wind Elemental'!$D$6&lt; 10.8, Table14[[#This Row],[STR]], Table14[[#This Row],[STR]] / ('Wind Elemental'!$D$6 / 10.8)), 1)</f>
        <v>12</v>
      </c>
      <c r="T23" s="15">
        <f>CEILING('Water Elemental'!$B$6/ IF('Water Elemental'!$D$6&lt; 10.8, Table14[[#This Row],[STR]], Table14[[#This Row],[STR]] / ('Water Elemental'!$D$6 / 10.8)), 1)</f>
        <v>17</v>
      </c>
      <c r="U23" s="15">
        <f>CEILING('Fire Elemental'!$B$4/ IF('Fire Elemental'!$D$4&lt; 10.8, Table14[[#This Row],[STR]], Table14[[#This Row],[STR]] / ('Fire Elemental'!$D$4 / 10.8)), 1)</f>
        <v>22</v>
      </c>
      <c r="V23" s="12">
        <f>CEILING(Wyvern!$B$4/ IF(Wyvern!$D$4&lt; 10.8, Table14[[#This Row],[STR]], Table14[[#This Row],[STR]] / (Wyvern!$D$4 / 10.8)), 1)</f>
        <v>30</v>
      </c>
      <c r="W23" s="12">
        <f>CEILING('Evolved Wyvern'!$B$4/ IF('Evolved Wyvern'!$D$4&lt; 10.8, Table14[[#This Row],[STR]], Table14[[#This Row],[STR]] / ('Evolved Wyvern'!$D$4 / 10.8)), 1)</f>
        <v>41</v>
      </c>
      <c r="X23" s="12">
        <f>CEILING(Dragon!$B$4/ IF(Dragon!$D$4&lt; 10.8, Table14[[#This Row],[STR]], Table14[[#This Row],[STR]] / (Dragon!$D$4 / 10.8)), 1)</f>
        <v>67</v>
      </c>
      <c r="Z23" s="8">
        <f>CEILING('Blue Slime'!$M$5/ IF('Blue Slime'!$O$5&lt; 10.8, Table14[[#This Row],[STR]], Table14[[#This Row],[STR]] / ('Blue Slime'!$O$5 / 10.8)), 1)</f>
        <v>1</v>
      </c>
      <c r="AA23" s="8">
        <f>CEILING('Green Slime'!$M$5/ IF('Green Slime'!$O$5&lt; 10.8, Table14[[#This Row],[STR]], Table14[[#This Row],[STR]] / ('Green Slime'!$O$5 / 10.8)), 1)</f>
        <v>2</v>
      </c>
      <c r="AB23" s="8">
        <f>CEILING(Wolf!$M$6/ IF(Wolf!$O$6&lt; 10.8, Table14[[#This Row],[STR]], Table14[[#This Row],[STR]] / (Wolf!$O$6 / 10.8)), 1)</f>
        <v>4</v>
      </c>
      <c r="AC23" s="8">
        <f>CEILING('Horned Wolf'!$M$5/ IF('Horned Wolf'!$O$5&lt; 10.8, Table14[[#This Row],[STR]], Table14[[#This Row],[STR]] / ('Horned Wolf'!$O$5 / 10.8)), 1)</f>
        <v>11</v>
      </c>
      <c r="AD23" s="8">
        <f>CEILING(Spider!$M$7/ IF(Spider!$O$7&lt; 10.8, Table14[[#This Row],[STR]], Table14[[#This Row],[STR]] / (Spider!$O$7 / 10.8)), 1)</f>
        <v>10</v>
      </c>
      <c r="AE23" s="8">
        <f>CEILING('Evolved Spider'!$M$8/ IF('Evolved Spider'!$O$8&lt; 10.8, Table14[[#This Row],[STR]], Table14[[#This Row],[STR]] / ('Evolved Spider'!$O$8 / 10.8)), 1)</f>
        <v>18</v>
      </c>
      <c r="AF23" s="8">
        <f>CEILING(Arachne!$M$4/ IF(Arachne!$O$4&lt; 10.8, Table14[[#This Row],[STR]], Table14[[#This Row],[STR]] / (Arachne!$O$4 / 10.8)), 1)</f>
        <v>25</v>
      </c>
      <c r="AG23" s="15">
        <f>CEILING('Earth Elemental'!$M$6/ IF('Earth Elemental'!$O$6&lt; 10.8, Table14[[#This Row],[STR]], Table14[[#This Row],[STR]] / ('Earth Elemental'!$O$6 / 10.8)), 1)</f>
        <v>22</v>
      </c>
      <c r="AH23" s="15">
        <f>CEILING('Wind Elemental'!$M$6/ IF('Wind Elemental'!$O$6&lt; 10.8, Table14[[#This Row],[STR]], Table14[[#This Row],[STR]] / ('Wind Elemental'!$O$6 / 10.8)), 1)</f>
        <v>18</v>
      </c>
      <c r="AI23" s="15">
        <f>CEILING('Water Elemental'!$M$6/ IF('Water Elemental'!$O$6&lt; 10.8, Table14[[#This Row],[STR]], Table14[[#This Row],[STR]] / ('Water Elemental'!$O$6 / 10.8)), 1)</f>
        <v>26</v>
      </c>
      <c r="AJ23" s="15">
        <f>CEILING('Fire Elemental'!$M$4/ IF('Fire Elemental'!$O$4&lt; 10.8, Table14[[#This Row],[STR]], Table14[[#This Row],[STR]] / ('Fire Elemental'!$O$4 / 10.8)), 1)</f>
        <v>38</v>
      </c>
      <c r="AK23" s="12">
        <f>CEILING(Wyvern!$M$4/ IF(Wyvern!$O$4&lt; 10.8, Table14[[#This Row],[STR]], Table14[[#This Row],[STR]] / (Wyvern!$O$4 / 10.8)), 1)</f>
        <v>49</v>
      </c>
      <c r="AL23" s="12">
        <f>CEILING('Evolved Wyvern'!$M$4/ IF('Evolved Wyvern'!$O$4&lt; 10.8, Table14[[#This Row],[STR]], Table14[[#This Row],[STR]] / ('Evolved Wyvern'!$O$4 / 10.8)), 1)</f>
        <v>64</v>
      </c>
      <c r="AM23" s="12">
        <f>CEILING(Dragon!$M$4/ IF(Dragon!$O$4&lt; 10.8, Table14[[#This Row],[STR]], Table14[[#This Row],[STR]] / (Dragon!$O$4 / 10.8)), 1)</f>
        <v>107</v>
      </c>
      <c r="AO23" s="8">
        <f>CEILING('Blue Slime'!$Z$5/ IF('Blue Slime'!$X$5&lt; 10.8, Table14[[#This Row],[STR]], Table14[[#This Row],[STR]] / ('Blue Slime'!$X$5 / 10.8)), 1)</f>
        <v>2</v>
      </c>
      <c r="AP23" s="8">
        <f>CEILING('Green Slime'!$Z$5/ IF('Green Slime'!$X$5&lt; 10.8, Table14[[#This Row],[STR]], Table14[[#This Row],[STR]] / ('Green Slime'!$X$5 / 10.8)), 1)</f>
        <v>3</v>
      </c>
      <c r="AQ23" s="8">
        <f>CEILING(Wolf!$Z$6/ IF(Wolf!$X$6&lt; 10.8, Table14[[#This Row],[STR]], Table14[[#This Row],[STR]] / (Wolf!$X$6 / 10.8)), 1)</f>
        <v>7</v>
      </c>
      <c r="AR23" s="8">
        <f>CEILING('Horned Wolf'!$Z$5/ IF('Horned Wolf'!$X$5&lt; 10.8, Table14[[#This Row],[STR]], Table14[[#This Row],[STR]] / ('Horned Wolf'!$X$5 / 10.8)), 1)</f>
        <v>19</v>
      </c>
      <c r="AS23" s="8">
        <f>CEILING(Spider!$Z$7/ IF(Spider!$X$7&lt; 10.8, Table14[[#This Row],[STR]], Table14[[#This Row],[STR]] / (Spider!$X$7 / 10.8)), 1)</f>
        <v>17</v>
      </c>
      <c r="AT23" s="8">
        <f>CEILING('Evolved Spider'!$Z$8/ IF('Evolved Spider'!$X$8&lt; 10.8, Table14[[#This Row],[STR]], Table14[[#This Row],[STR]] / ('Evolved Spider'!$X$8 / 10.8)), 1)</f>
        <v>30</v>
      </c>
      <c r="AU23" s="8">
        <f>CEILING(Arachne!$Z$4/ IF(Arachne!$X$4&lt; 10.8, Table14[[#This Row],[STR]], Table14[[#This Row],[STR]] / (Arachne!$X$4 / 10.8)), 1)</f>
        <v>40</v>
      </c>
      <c r="AV23" s="15">
        <f>CEILING('Earth Elemental'!$Z$6/ IF('Earth Elemental'!$X$6&lt; 10.8, Table14[[#This Row],[STR]], Table14[[#This Row],[STR]] / ('Earth Elemental'!$X$6 / 10.8)), 1)</f>
        <v>34</v>
      </c>
      <c r="AW23" s="15">
        <f>CEILING('Wind Elemental'!$Z$6/ IF('Wind Elemental'!$X$6&lt; 10.8, Table14[[#This Row],[STR]], Table14[[#This Row],[STR]] / ('Wind Elemental'!$X$6 / 10.8)), 1)</f>
        <v>26</v>
      </c>
      <c r="AX23" s="15">
        <f>CEILING('Water Elemental'!$Z$6/ IF('Water Elemental'!$X$6&lt; 10.8, Table14[[#This Row],[STR]], Table14[[#This Row],[STR]] / ('Water Elemental'!$X$6 / 10.8)), 1)</f>
        <v>36</v>
      </c>
      <c r="AY23" s="15">
        <f>CEILING('Fire Elemental'!$Z$4/ IF('Fire Elemental'!$X$4&lt; 10.8, Table14[[#This Row],[STR]], Table14[[#This Row],[STR]] / ('Fire Elemental'!$X$4 / 10.8)), 1)</f>
        <v>58</v>
      </c>
      <c r="AZ23" s="12">
        <f>CEILING(Wyvern!$Z$4/ IF(Wyvern!$X$4&lt; 10.8, Table14[[#This Row],[STR]], Table14[[#This Row],[STR]] / (Wyvern!$X$4 / 10.8)), 1)</f>
        <v>70</v>
      </c>
      <c r="BA23" s="12">
        <f>CEILING('Evolved Wyvern'!$Z$4/ IF('Evolved Wyvern'!$X$4&lt; 10.8, Table14[[#This Row],[STR]], Table14[[#This Row],[STR]] / ('Evolved Wyvern'!$X$4 / 10.8)), 1)</f>
        <v>90</v>
      </c>
      <c r="BB23" s="12">
        <f>CEILING(Dragon!$Z$4/ IF(Dragon!$X$4&lt; 10.8, Table14[[#This Row],[STR]], Table14[[#This Row],[STR]] / (Dragon!$X$4 / 10.8)), 1)</f>
        <v>152</v>
      </c>
    </row>
    <row r="24" spans="1:54" x14ac:dyDescent="0.3">
      <c r="A24" s="1">
        <v>22</v>
      </c>
      <c r="B24" s="1">
        <f>$B$3 + ((Table14[[#This Row],[Level]] / 10) + $B$3 / 8) * Table14[[#This Row],[Level]] + Equipment!$O$18</f>
        <v>92.4</v>
      </c>
      <c r="C24" s="1">
        <f xml:space="preserve"> 2*Table14[[#This Row],[INT]]</f>
        <v>100</v>
      </c>
      <c r="D24" s="1">
        <f>$D$3 + ($D$3 / 4) * Table14[[#This Row],[Level]] + Equipment!$P$18</f>
        <v>50</v>
      </c>
      <c r="E24" s="1">
        <f>$E$3 + ($E$3 / 4) * Table14[[#This Row],[Level]] + Equipment!$Q$18</f>
        <v>57.5</v>
      </c>
      <c r="F24" s="1">
        <f>$F$3 + ($F$3 / 4) * Table14[[#This Row],[Level]] + Equipment!$R$18</f>
        <v>41.5</v>
      </c>
      <c r="G24" s="1">
        <f>$G$3 + ($G$3 / 4) * Table14[[#This Row],[Level]] + Equipment!$S$18</f>
        <v>50</v>
      </c>
      <c r="H24" s="1">
        <f>$H$3 + ($H$3 / 4) * Table14[[#This Row],[Level]] + Equipment!$T$18</f>
        <v>66</v>
      </c>
      <c r="I24" s="1">
        <f xml:space="preserve"> (4 * (Table14[[#This Row],[Level]] ^ 3))/7 + $I$3</f>
        <v>6184.5714285714284</v>
      </c>
      <c r="K24" s="8">
        <f>CEILING('Blue Slime'!$B$5/ IF('Blue Slime'!$D$5&lt; 10.8, Table14[[#This Row],[STR]], Table14[[#This Row],[STR]] / ('Blue Slime'!$D$5 / 10.8)), 1)</f>
        <v>1</v>
      </c>
      <c r="L24" s="8">
        <f>CEILING('Green Slime'!$B$5/ IF('Green Slime'!$D$5&lt; 10.8, Table14[[#This Row],[STR]], Table14[[#This Row],[STR]] / ('Green Slime'!$D$5 / 10.8)), 1)</f>
        <v>1</v>
      </c>
      <c r="M24" s="8">
        <f>CEILING(Wolf!$B$6/ IF(Wolf!$D$6&lt; 10.8, Table14[[#This Row],[STR]], Table14[[#This Row],[STR]] / (Wolf!$D$6 / 10.8)), 1)</f>
        <v>2</v>
      </c>
      <c r="N24" s="8">
        <f>CEILING('Horned Wolf'!$B$5/ IF('Horned Wolf'!$D$5&lt; 10.8, Table14[[#This Row],[STR]], Table14[[#This Row],[STR]] / ('Horned Wolf'!$D$5 / 10.8)), 1)</f>
        <v>5</v>
      </c>
      <c r="O24" s="8">
        <f>CEILING(Spider!$B$7/ IF(Spider!$D$7&lt; 10.8, Table14[[#This Row],[STR]], Table14[[#This Row],[STR]] / (Spider!$D$7 / 10.8)), 1)</f>
        <v>5</v>
      </c>
      <c r="P24" s="8">
        <f>CEILING('Evolved Spider'!$B$8/ IF('Evolved Spider'!$D$8&lt; 10.8, Table14[[#This Row],[STR]], Table14[[#This Row],[STR]] / ('Evolved Spider'!$D$8 / 10.8)), 1)</f>
        <v>9</v>
      </c>
      <c r="Q24" s="8">
        <f>CEILING(Arachne!$B$4/ IF(Arachne!$D$4&lt; 10.8, Table14[[#This Row],[STR]], Table14[[#This Row],[STR]] / (Arachne!$D$4 / 10.8)), 1)</f>
        <v>12</v>
      </c>
      <c r="R24" s="15">
        <f>CEILING('Earth Elemental'!$B$6/ IF('Earth Elemental'!$D$6&lt; 10.8, Table14[[#This Row],[STR]], Table14[[#This Row],[STR]] / ('Earth Elemental'!$D$6 / 10.8)), 1)</f>
        <v>13</v>
      </c>
      <c r="S24" s="15">
        <f>CEILING('Wind Elemental'!$B$6/ IF('Wind Elemental'!$D$6&lt; 10.8, Table14[[#This Row],[STR]], Table14[[#This Row],[STR]] / ('Wind Elemental'!$D$6 / 10.8)), 1)</f>
        <v>11</v>
      </c>
      <c r="T24" s="15">
        <f>CEILING('Water Elemental'!$B$6/ IF('Water Elemental'!$D$6&lt; 10.8, Table14[[#This Row],[STR]], Table14[[#This Row],[STR]] / ('Water Elemental'!$D$6 / 10.8)), 1)</f>
        <v>17</v>
      </c>
      <c r="U24" s="15">
        <f>CEILING('Fire Elemental'!$B$4/ IF('Fire Elemental'!$D$4&lt; 10.8, Table14[[#This Row],[STR]], Table14[[#This Row],[STR]] / ('Fire Elemental'!$D$4 / 10.8)), 1)</f>
        <v>21</v>
      </c>
      <c r="V24" s="12">
        <f>CEILING(Wyvern!$B$4/ IF(Wyvern!$D$4&lt; 10.8, Table14[[#This Row],[STR]], Table14[[#This Row],[STR]] / (Wyvern!$D$4 / 10.8)), 1)</f>
        <v>29</v>
      </c>
      <c r="W24" s="12">
        <f>CEILING('Evolved Wyvern'!$B$4/ IF('Evolved Wyvern'!$D$4&lt; 10.8, Table14[[#This Row],[STR]], Table14[[#This Row],[STR]] / ('Evolved Wyvern'!$D$4 / 10.8)), 1)</f>
        <v>40</v>
      </c>
      <c r="X24" s="12">
        <f>CEILING(Dragon!$B$4/ IF(Dragon!$D$4&lt; 10.8, Table14[[#This Row],[STR]], Table14[[#This Row],[STR]] / (Dragon!$D$4 / 10.8)), 1)</f>
        <v>65</v>
      </c>
      <c r="Z24" s="8">
        <f>CEILING('Blue Slime'!$M$5/ IF('Blue Slime'!$O$5&lt; 10.8, Table14[[#This Row],[STR]], Table14[[#This Row],[STR]] / ('Blue Slime'!$O$5 / 10.8)), 1)</f>
        <v>1</v>
      </c>
      <c r="AA24" s="8">
        <f>CEILING('Green Slime'!$M$5/ IF('Green Slime'!$O$5&lt; 10.8, Table14[[#This Row],[STR]], Table14[[#This Row],[STR]] / ('Green Slime'!$O$5 / 10.8)), 1)</f>
        <v>2</v>
      </c>
      <c r="AB24" s="8">
        <f>CEILING(Wolf!$M$6/ IF(Wolf!$O$6&lt; 10.8, Table14[[#This Row],[STR]], Table14[[#This Row],[STR]] / (Wolf!$O$6 / 10.8)), 1)</f>
        <v>4</v>
      </c>
      <c r="AC24" s="8">
        <f>CEILING('Horned Wolf'!$M$5/ IF('Horned Wolf'!$O$5&lt; 10.8, Table14[[#This Row],[STR]], Table14[[#This Row],[STR]] / ('Horned Wolf'!$O$5 / 10.8)), 1)</f>
        <v>11</v>
      </c>
      <c r="AD24" s="8">
        <f>CEILING(Spider!$M$7/ IF(Spider!$O$7&lt; 10.8, Table14[[#This Row],[STR]], Table14[[#This Row],[STR]] / (Spider!$O$7 / 10.8)), 1)</f>
        <v>10</v>
      </c>
      <c r="AE24" s="8">
        <f>CEILING('Evolved Spider'!$M$8/ IF('Evolved Spider'!$O$8&lt; 10.8, Table14[[#This Row],[STR]], Table14[[#This Row],[STR]] / ('Evolved Spider'!$O$8 / 10.8)), 1)</f>
        <v>18</v>
      </c>
      <c r="AF24" s="8">
        <f>CEILING(Arachne!$M$4/ IF(Arachne!$O$4&lt; 10.8, Table14[[#This Row],[STR]], Table14[[#This Row],[STR]] / (Arachne!$O$4 / 10.8)), 1)</f>
        <v>24</v>
      </c>
      <c r="AG24" s="15">
        <f>CEILING('Earth Elemental'!$M$6/ IF('Earth Elemental'!$O$6&lt; 10.8, Table14[[#This Row],[STR]], Table14[[#This Row],[STR]] / ('Earth Elemental'!$O$6 / 10.8)), 1)</f>
        <v>22</v>
      </c>
      <c r="AH24" s="15">
        <f>CEILING('Wind Elemental'!$M$6/ IF('Wind Elemental'!$O$6&lt; 10.8, Table14[[#This Row],[STR]], Table14[[#This Row],[STR]] / ('Wind Elemental'!$O$6 / 10.8)), 1)</f>
        <v>18</v>
      </c>
      <c r="AI24" s="15">
        <f>CEILING('Water Elemental'!$M$6/ IF('Water Elemental'!$O$6&lt; 10.8, Table14[[#This Row],[STR]], Table14[[#This Row],[STR]] / ('Water Elemental'!$O$6 / 10.8)), 1)</f>
        <v>26</v>
      </c>
      <c r="AJ24" s="15">
        <f>CEILING('Fire Elemental'!$M$4/ IF('Fire Elemental'!$O$4&lt; 10.8, Table14[[#This Row],[STR]], Table14[[#This Row],[STR]] / ('Fire Elemental'!$O$4 / 10.8)), 1)</f>
        <v>37</v>
      </c>
      <c r="AK24" s="12">
        <f>CEILING(Wyvern!$M$4/ IF(Wyvern!$O$4&lt; 10.8, Table14[[#This Row],[STR]], Table14[[#This Row],[STR]] / (Wyvern!$O$4 / 10.8)), 1)</f>
        <v>47</v>
      </c>
      <c r="AL24" s="12">
        <f>CEILING('Evolved Wyvern'!$M$4/ IF('Evolved Wyvern'!$O$4&lt; 10.8, Table14[[#This Row],[STR]], Table14[[#This Row],[STR]] / ('Evolved Wyvern'!$O$4 / 10.8)), 1)</f>
        <v>62</v>
      </c>
      <c r="AM24" s="12">
        <f>CEILING(Dragon!$M$4/ IF(Dragon!$O$4&lt; 10.8, Table14[[#This Row],[STR]], Table14[[#This Row],[STR]] / (Dragon!$O$4 / 10.8)), 1)</f>
        <v>104</v>
      </c>
      <c r="AO24" s="8">
        <f>CEILING('Blue Slime'!$Z$5/ IF('Blue Slime'!$X$5&lt; 10.8, Table14[[#This Row],[STR]], Table14[[#This Row],[STR]] / ('Blue Slime'!$X$5 / 10.8)), 1)</f>
        <v>2</v>
      </c>
      <c r="AP24" s="8">
        <f>CEILING('Green Slime'!$Z$5/ IF('Green Slime'!$X$5&lt; 10.8, Table14[[#This Row],[STR]], Table14[[#This Row],[STR]] / ('Green Slime'!$X$5 / 10.8)), 1)</f>
        <v>3</v>
      </c>
      <c r="AQ24" s="8">
        <f>CEILING(Wolf!$Z$6/ IF(Wolf!$X$6&lt; 10.8, Table14[[#This Row],[STR]], Table14[[#This Row],[STR]] / (Wolf!$X$6 / 10.8)), 1)</f>
        <v>7</v>
      </c>
      <c r="AR24" s="8">
        <f>CEILING('Horned Wolf'!$Z$5/ IF('Horned Wolf'!$X$5&lt; 10.8, Table14[[#This Row],[STR]], Table14[[#This Row],[STR]] / ('Horned Wolf'!$X$5 / 10.8)), 1)</f>
        <v>18</v>
      </c>
      <c r="AS24" s="8">
        <f>CEILING(Spider!$Z$7/ IF(Spider!$X$7&lt; 10.8, Table14[[#This Row],[STR]], Table14[[#This Row],[STR]] / (Spider!$X$7 / 10.8)), 1)</f>
        <v>16</v>
      </c>
      <c r="AT24" s="8">
        <f>CEILING('Evolved Spider'!$Z$8/ IF('Evolved Spider'!$X$8&lt; 10.8, Table14[[#This Row],[STR]], Table14[[#This Row],[STR]] / ('Evolved Spider'!$X$8 / 10.8)), 1)</f>
        <v>29</v>
      </c>
      <c r="AU24" s="8">
        <f>CEILING(Arachne!$Z$4/ IF(Arachne!$X$4&lt; 10.8, Table14[[#This Row],[STR]], Table14[[#This Row],[STR]] / (Arachne!$X$4 / 10.8)), 1)</f>
        <v>39</v>
      </c>
      <c r="AV24" s="15">
        <f>CEILING('Earth Elemental'!$Z$6/ IF('Earth Elemental'!$X$6&lt; 10.8, Table14[[#This Row],[STR]], Table14[[#This Row],[STR]] / ('Earth Elemental'!$X$6 / 10.8)), 1)</f>
        <v>33</v>
      </c>
      <c r="AW24" s="15">
        <f>CEILING('Wind Elemental'!$Z$6/ IF('Wind Elemental'!$X$6&lt; 10.8, Table14[[#This Row],[STR]], Table14[[#This Row],[STR]] / ('Wind Elemental'!$X$6 / 10.8)), 1)</f>
        <v>25</v>
      </c>
      <c r="AX24" s="15">
        <f>CEILING('Water Elemental'!$Z$6/ IF('Water Elemental'!$X$6&lt; 10.8, Table14[[#This Row],[STR]], Table14[[#This Row],[STR]] / ('Water Elemental'!$X$6 / 10.8)), 1)</f>
        <v>35</v>
      </c>
      <c r="AY24" s="15">
        <f>CEILING('Fire Elemental'!$Z$4/ IF('Fire Elemental'!$X$4&lt; 10.8, Table14[[#This Row],[STR]], Table14[[#This Row],[STR]] / ('Fire Elemental'!$X$4 / 10.8)), 1)</f>
        <v>57</v>
      </c>
      <c r="AZ24" s="12">
        <f>CEILING(Wyvern!$Z$4/ IF(Wyvern!$X$4&lt; 10.8, Table14[[#This Row],[STR]], Table14[[#This Row],[STR]] / (Wyvern!$X$4 / 10.8)), 1)</f>
        <v>68</v>
      </c>
      <c r="BA24" s="12">
        <f>CEILING('Evolved Wyvern'!$Z$4/ IF('Evolved Wyvern'!$X$4&lt; 10.8, Table14[[#This Row],[STR]], Table14[[#This Row],[STR]] / ('Evolved Wyvern'!$X$4 / 10.8)), 1)</f>
        <v>88</v>
      </c>
      <c r="BB24" s="12">
        <f>CEILING(Dragon!$Z$4/ IF(Dragon!$X$4&lt; 10.8, Table14[[#This Row],[STR]], Table14[[#This Row],[STR]] / (Dragon!$X$4 / 10.8)), 1)</f>
        <v>147</v>
      </c>
    </row>
    <row r="25" spans="1:54" x14ac:dyDescent="0.3">
      <c r="A25" s="1">
        <v>23</v>
      </c>
      <c r="B25" s="1">
        <f>$B$3 + ((Table14[[#This Row],[Level]] / 10) + $B$3 / 8) * Table14[[#This Row],[Level]] + Equipment!$O$18</f>
        <v>97.899999999999991</v>
      </c>
      <c r="C25" s="1">
        <f xml:space="preserve"> 2*Table14[[#This Row],[INT]]</f>
        <v>103</v>
      </c>
      <c r="D25" s="1">
        <f>$D$3 + ($D$3 / 4) * Table14[[#This Row],[Level]] + Equipment!$P$18</f>
        <v>51.5</v>
      </c>
      <c r="E25" s="1">
        <f>$E$3 + ($E$3 / 4) * Table14[[#This Row],[Level]] + Equipment!$Q$18</f>
        <v>59.25</v>
      </c>
      <c r="F25" s="1">
        <f>$F$3 + ($F$3 / 4) * Table14[[#This Row],[Level]] + Equipment!$R$18</f>
        <v>42.75</v>
      </c>
      <c r="G25" s="1">
        <f>$G$3 + ($G$3 / 4) * Table14[[#This Row],[Level]] + Equipment!$S$18</f>
        <v>51.5</v>
      </c>
      <c r="H25" s="1">
        <f>$H$3 + ($H$3 / 4) * Table14[[#This Row],[Level]] + Equipment!$T$18</f>
        <v>68</v>
      </c>
      <c r="I25" s="1">
        <f xml:space="preserve"> (4 * (Table14[[#This Row],[Level]] ^ 3))/7 + $I$3</f>
        <v>7052.5714285714284</v>
      </c>
      <c r="K25" s="8">
        <f>CEILING('Blue Slime'!$B$5/ IF('Blue Slime'!$D$5&lt; 10.8, Table14[[#This Row],[STR]], Table14[[#This Row],[STR]] / ('Blue Slime'!$D$5 / 10.8)), 1)</f>
        <v>1</v>
      </c>
      <c r="L25" s="8">
        <f>CEILING('Green Slime'!$B$5/ IF('Green Slime'!$D$5&lt; 10.8, Table14[[#This Row],[STR]], Table14[[#This Row],[STR]] / ('Green Slime'!$D$5 / 10.8)), 1)</f>
        <v>1</v>
      </c>
      <c r="M25" s="8">
        <f>CEILING(Wolf!$B$6/ IF(Wolf!$D$6&lt; 10.8, Table14[[#This Row],[STR]], Table14[[#This Row],[STR]] / (Wolf!$D$6 / 10.8)), 1)</f>
        <v>2</v>
      </c>
      <c r="N25" s="8">
        <f>CEILING('Horned Wolf'!$B$5/ IF('Horned Wolf'!$D$5&lt; 10.8, Table14[[#This Row],[STR]], Table14[[#This Row],[STR]] / ('Horned Wolf'!$D$5 / 10.8)), 1)</f>
        <v>5</v>
      </c>
      <c r="O25" s="8">
        <f>CEILING(Spider!$B$7/ IF(Spider!$D$7&lt; 10.8, Table14[[#This Row],[STR]], Table14[[#This Row],[STR]] / (Spider!$D$7 / 10.8)), 1)</f>
        <v>5</v>
      </c>
      <c r="P25" s="8">
        <f>CEILING('Evolved Spider'!$B$8/ IF('Evolved Spider'!$D$8&lt; 10.8, Table14[[#This Row],[STR]], Table14[[#This Row],[STR]] / ('Evolved Spider'!$D$8 / 10.8)), 1)</f>
        <v>9</v>
      </c>
      <c r="Q25" s="8">
        <f>CEILING(Arachne!$B$4/ IF(Arachne!$D$4&lt; 10.8, Table14[[#This Row],[STR]], Table14[[#This Row],[STR]] / (Arachne!$D$4 / 10.8)), 1)</f>
        <v>12</v>
      </c>
      <c r="R25" s="15">
        <f>CEILING('Earth Elemental'!$B$6/ IF('Earth Elemental'!$D$6&lt; 10.8, Table14[[#This Row],[STR]], Table14[[#This Row],[STR]] / ('Earth Elemental'!$D$6 / 10.8)), 1)</f>
        <v>12</v>
      </c>
      <c r="S25" s="15">
        <f>CEILING('Wind Elemental'!$B$6/ IF('Wind Elemental'!$D$6&lt; 10.8, Table14[[#This Row],[STR]], Table14[[#This Row],[STR]] / ('Wind Elemental'!$D$6 / 10.8)), 1)</f>
        <v>11</v>
      </c>
      <c r="T25" s="15">
        <f>CEILING('Water Elemental'!$B$6/ IF('Water Elemental'!$D$6&lt; 10.8, Table14[[#This Row],[STR]], Table14[[#This Row],[STR]] / ('Water Elemental'!$D$6 / 10.8)), 1)</f>
        <v>16</v>
      </c>
      <c r="U25" s="15">
        <f>CEILING('Fire Elemental'!$B$4/ IF('Fire Elemental'!$D$4&lt; 10.8, Table14[[#This Row],[STR]], Table14[[#This Row],[STR]] / ('Fire Elemental'!$D$4 / 10.8)), 1)</f>
        <v>21</v>
      </c>
      <c r="V25" s="12">
        <f>CEILING(Wyvern!$B$4/ IF(Wyvern!$D$4&lt; 10.8, Table14[[#This Row],[STR]], Table14[[#This Row],[STR]] / (Wyvern!$D$4 / 10.8)), 1)</f>
        <v>28</v>
      </c>
      <c r="W25" s="12">
        <f>CEILING('Evolved Wyvern'!$B$4/ IF('Evolved Wyvern'!$D$4&lt; 10.8, Table14[[#This Row],[STR]], Table14[[#This Row],[STR]] / ('Evolved Wyvern'!$D$4 / 10.8)), 1)</f>
        <v>38</v>
      </c>
      <c r="X25" s="12">
        <f>CEILING(Dragon!$B$4/ IF(Dragon!$D$4&lt; 10.8, Table14[[#This Row],[STR]], Table14[[#This Row],[STR]] / (Dragon!$D$4 / 10.8)), 1)</f>
        <v>63</v>
      </c>
      <c r="Z25" s="8">
        <f>CEILING('Blue Slime'!$M$5/ IF('Blue Slime'!$O$5&lt; 10.8, Table14[[#This Row],[STR]], Table14[[#This Row],[STR]] / ('Blue Slime'!$O$5 / 10.8)), 1)</f>
        <v>1</v>
      </c>
      <c r="AA25" s="8">
        <f>CEILING('Green Slime'!$M$5/ IF('Green Slime'!$O$5&lt; 10.8, Table14[[#This Row],[STR]], Table14[[#This Row],[STR]] / ('Green Slime'!$O$5 / 10.8)), 1)</f>
        <v>2</v>
      </c>
      <c r="AB25" s="8">
        <f>CEILING(Wolf!$M$6/ IF(Wolf!$O$6&lt; 10.8, Table14[[#This Row],[STR]], Table14[[#This Row],[STR]] / (Wolf!$O$6 / 10.8)), 1)</f>
        <v>4</v>
      </c>
      <c r="AC25" s="8">
        <f>CEILING('Horned Wolf'!$M$5/ IF('Horned Wolf'!$O$5&lt; 10.8, Table14[[#This Row],[STR]], Table14[[#This Row],[STR]] / ('Horned Wolf'!$O$5 / 10.8)), 1)</f>
        <v>10</v>
      </c>
      <c r="AD25" s="8">
        <f>CEILING(Spider!$M$7/ IF(Spider!$O$7&lt; 10.8, Table14[[#This Row],[STR]], Table14[[#This Row],[STR]] / (Spider!$O$7 / 10.8)), 1)</f>
        <v>9</v>
      </c>
      <c r="AE25" s="8">
        <f>CEILING('Evolved Spider'!$M$8/ IF('Evolved Spider'!$O$8&lt; 10.8, Table14[[#This Row],[STR]], Table14[[#This Row],[STR]] / ('Evolved Spider'!$O$8 / 10.8)), 1)</f>
        <v>17</v>
      </c>
      <c r="AF25" s="8">
        <f>CEILING(Arachne!$M$4/ IF(Arachne!$O$4&lt; 10.8, Table14[[#This Row],[STR]], Table14[[#This Row],[STR]] / (Arachne!$O$4 / 10.8)), 1)</f>
        <v>23</v>
      </c>
      <c r="AG25" s="15">
        <f>CEILING('Earth Elemental'!$M$6/ IF('Earth Elemental'!$O$6&lt; 10.8, Table14[[#This Row],[STR]], Table14[[#This Row],[STR]] / ('Earth Elemental'!$O$6 / 10.8)), 1)</f>
        <v>21</v>
      </c>
      <c r="AH25" s="15">
        <f>CEILING('Wind Elemental'!$M$6/ IF('Wind Elemental'!$O$6&lt; 10.8, Table14[[#This Row],[STR]], Table14[[#This Row],[STR]] / ('Wind Elemental'!$O$6 / 10.8)), 1)</f>
        <v>17</v>
      </c>
      <c r="AI25" s="15">
        <f>CEILING('Water Elemental'!$M$6/ IF('Water Elemental'!$O$6&lt; 10.8, Table14[[#This Row],[STR]], Table14[[#This Row],[STR]] / ('Water Elemental'!$O$6 / 10.8)), 1)</f>
        <v>25</v>
      </c>
      <c r="AJ25" s="15">
        <f>CEILING('Fire Elemental'!$M$4/ IF('Fire Elemental'!$O$4&lt; 10.8, Table14[[#This Row],[STR]], Table14[[#This Row],[STR]] / ('Fire Elemental'!$O$4 / 10.8)), 1)</f>
        <v>36</v>
      </c>
      <c r="AK25" s="12">
        <f>CEILING(Wyvern!$M$4/ IF(Wyvern!$O$4&lt; 10.8, Table14[[#This Row],[STR]], Table14[[#This Row],[STR]] / (Wyvern!$O$4 / 10.8)), 1)</f>
        <v>46</v>
      </c>
      <c r="AL25" s="12">
        <f>CEILING('Evolved Wyvern'!$M$4/ IF('Evolved Wyvern'!$O$4&lt; 10.8, Table14[[#This Row],[STR]], Table14[[#This Row],[STR]] / ('Evolved Wyvern'!$O$4 / 10.8)), 1)</f>
        <v>61</v>
      </c>
      <c r="AM25" s="12">
        <f>CEILING(Dragon!$M$4/ IF(Dragon!$O$4&lt; 10.8, Table14[[#This Row],[STR]], Table14[[#This Row],[STR]] / (Dragon!$O$4 / 10.8)), 1)</f>
        <v>101</v>
      </c>
      <c r="AO25" s="8">
        <f>CEILING('Blue Slime'!$Z$5/ IF('Blue Slime'!$X$5&lt; 10.8, Table14[[#This Row],[STR]], Table14[[#This Row],[STR]] / ('Blue Slime'!$X$5 / 10.8)), 1)</f>
        <v>2</v>
      </c>
      <c r="AP25" s="8">
        <f>CEILING('Green Slime'!$Z$5/ IF('Green Slime'!$X$5&lt; 10.8, Table14[[#This Row],[STR]], Table14[[#This Row],[STR]] / ('Green Slime'!$X$5 / 10.8)), 1)</f>
        <v>3</v>
      </c>
      <c r="AQ25" s="8">
        <f>CEILING(Wolf!$Z$6/ IF(Wolf!$X$6&lt; 10.8, Table14[[#This Row],[STR]], Table14[[#This Row],[STR]] / (Wolf!$X$6 / 10.8)), 1)</f>
        <v>7</v>
      </c>
      <c r="AR25" s="8">
        <f>CEILING('Horned Wolf'!$Z$5/ IF('Horned Wolf'!$X$5&lt; 10.8, Table14[[#This Row],[STR]], Table14[[#This Row],[STR]] / ('Horned Wolf'!$X$5 / 10.8)), 1)</f>
        <v>18</v>
      </c>
      <c r="AS25" s="8">
        <f>CEILING(Spider!$Z$7/ IF(Spider!$X$7&lt; 10.8, Table14[[#This Row],[STR]], Table14[[#This Row],[STR]] / (Spider!$X$7 / 10.8)), 1)</f>
        <v>16</v>
      </c>
      <c r="AT25" s="8">
        <f>CEILING('Evolved Spider'!$Z$8/ IF('Evolved Spider'!$X$8&lt; 10.8, Table14[[#This Row],[STR]], Table14[[#This Row],[STR]] / ('Evolved Spider'!$X$8 / 10.8)), 1)</f>
        <v>28</v>
      </c>
      <c r="AU25" s="8">
        <f>CEILING(Arachne!$Z$4/ IF(Arachne!$X$4&lt; 10.8, Table14[[#This Row],[STR]], Table14[[#This Row],[STR]] / (Arachne!$X$4 / 10.8)), 1)</f>
        <v>38</v>
      </c>
      <c r="AV25" s="15">
        <f>CEILING('Earth Elemental'!$Z$6/ IF('Earth Elemental'!$X$6&lt; 10.8, Table14[[#This Row],[STR]], Table14[[#This Row],[STR]] / ('Earth Elemental'!$X$6 / 10.8)), 1)</f>
        <v>32</v>
      </c>
      <c r="AW25" s="15">
        <f>CEILING('Wind Elemental'!$Z$6/ IF('Wind Elemental'!$X$6&lt; 10.8, Table14[[#This Row],[STR]], Table14[[#This Row],[STR]] / ('Wind Elemental'!$X$6 / 10.8)), 1)</f>
        <v>25</v>
      </c>
      <c r="AX25" s="15">
        <f>CEILING('Water Elemental'!$Z$6/ IF('Water Elemental'!$X$6&lt; 10.8, Table14[[#This Row],[STR]], Table14[[#This Row],[STR]] / ('Water Elemental'!$X$6 / 10.8)), 1)</f>
        <v>34</v>
      </c>
      <c r="AY25" s="15">
        <f>CEILING('Fire Elemental'!$Z$4/ IF('Fire Elemental'!$X$4&lt; 10.8, Table14[[#This Row],[STR]], Table14[[#This Row],[STR]] / ('Fire Elemental'!$X$4 / 10.8)), 1)</f>
        <v>55</v>
      </c>
      <c r="AZ25" s="12">
        <f>CEILING(Wyvern!$Z$4/ IF(Wyvern!$X$4&lt; 10.8, Table14[[#This Row],[STR]], Table14[[#This Row],[STR]] / (Wyvern!$X$4 / 10.8)), 1)</f>
        <v>66</v>
      </c>
      <c r="BA25" s="12">
        <f>CEILING('Evolved Wyvern'!$Z$4/ IF('Evolved Wyvern'!$X$4&lt; 10.8, Table14[[#This Row],[STR]], Table14[[#This Row],[STR]] / ('Evolved Wyvern'!$X$4 / 10.8)), 1)</f>
        <v>85</v>
      </c>
      <c r="BB25" s="12">
        <f>CEILING(Dragon!$Z$4/ IF(Dragon!$X$4&lt; 10.8, Table14[[#This Row],[STR]], Table14[[#This Row],[STR]] / (Dragon!$X$4 / 10.8)), 1)</f>
        <v>143</v>
      </c>
    </row>
    <row r="26" spans="1:54" x14ac:dyDescent="0.3">
      <c r="A26" s="30">
        <v>24</v>
      </c>
      <c r="B26" s="30">
        <f>$B$3 + ((Table14[[#This Row],[Level]] / 10) + $B$3 / 8) * Table14[[#This Row],[Level]] + Equipment!$O$18</f>
        <v>103.6</v>
      </c>
      <c r="C26" s="30">
        <f xml:space="preserve"> 2*Table14[[#This Row],[INT]]</f>
        <v>106</v>
      </c>
      <c r="D26" s="30">
        <f>$D$3 + ($D$3 / 4) * Table14[[#This Row],[Level]] + Equipment!$P$18</f>
        <v>53</v>
      </c>
      <c r="E26" s="30">
        <f>$E$3 + ($E$3 / 4) * Table14[[#This Row],[Level]] + Equipment!$Q$18</f>
        <v>61</v>
      </c>
      <c r="F26" s="30">
        <f>$F$3 + ($F$3 / 4) * Table14[[#This Row],[Level]] + Equipment!$R$18</f>
        <v>44</v>
      </c>
      <c r="G26" s="30">
        <f>$G$3 + ($G$3 / 4) * Table14[[#This Row],[Level]] + Equipment!$S$18</f>
        <v>53</v>
      </c>
      <c r="H26" s="30">
        <f>$H$3 + ($H$3 / 4) * Table14[[#This Row],[Level]] + Equipment!$T$18</f>
        <v>70</v>
      </c>
      <c r="I26" s="30">
        <f xml:space="preserve"> (4 * (Table14[[#This Row],[Level]] ^ 3))/7 + $I$3</f>
        <v>7999.4285714285716</v>
      </c>
      <c r="K26" s="8">
        <f>CEILING('Blue Slime'!$B$5/ IF('Blue Slime'!$D$5&lt; 10.8, Table14[[#This Row],[STR]], Table14[[#This Row],[STR]] / ('Blue Slime'!$D$5 / 10.8)), 1)</f>
        <v>1</v>
      </c>
      <c r="L26" s="8">
        <f>CEILING('Green Slime'!$B$5/ IF('Green Slime'!$D$5&lt; 10.8, Table14[[#This Row],[STR]], Table14[[#This Row],[STR]] / ('Green Slime'!$D$5 / 10.8)), 1)</f>
        <v>1</v>
      </c>
      <c r="M26" s="8">
        <f>CEILING(Wolf!$B$6/ IF(Wolf!$D$6&lt; 10.8, Table14[[#This Row],[STR]], Table14[[#This Row],[STR]] / (Wolf!$D$6 / 10.8)), 1)</f>
        <v>2</v>
      </c>
      <c r="N26" s="8">
        <f>CEILING('Horned Wolf'!$B$5/ IF('Horned Wolf'!$D$5&lt; 10.8, Table14[[#This Row],[STR]], Table14[[#This Row],[STR]] / ('Horned Wolf'!$D$5 / 10.8)), 1)</f>
        <v>5</v>
      </c>
      <c r="O26" s="8">
        <f>CEILING(Spider!$B$7/ IF(Spider!$D$7&lt; 10.8, Table14[[#This Row],[STR]], Table14[[#This Row],[STR]] / (Spider!$D$7 / 10.8)), 1)</f>
        <v>5</v>
      </c>
      <c r="P26" s="8">
        <f>CEILING('Evolved Spider'!$B$8/ IF('Evolved Spider'!$D$8&lt; 10.8, Table14[[#This Row],[STR]], Table14[[#This Row],[STR]] / ('Evolved Spider'!$D$8 / 10.8)), 1)</f>
        <v>9</v>
      </c>
      <c r="Q26" s="8">
        <f>CEILING(Arachne!$B$4/ IF(Arachne!$D$4&lt; 10.8, Table14[[#This Row],[STR]], Table14[[#This Row],[STR]] / (Arachne!$D$4 / 10.8)), 1)</f>
        <v>12</v>
      </c>
      <c r="R26" s="15">
        <f>CEILING('Earth Elemental'!$B$6/ IF('Earth Elemental'!$D$6&lt; 10.8, Table14[[#This Row],[STR]], Table14[[#This Row],[STR]] / ('Earth Elemental'!$D$6 / 10.8)), 1)</f>
        <v>12</v>
      </c>
      <c r="S26" s="15">
        <f>CEILING('Wind Elemental'!$B$6/ IF('Wind Elemental'!$D$6&lt; 10.8, Table14[[#This Row],[STR]], Table14[[#This Row],[STR]] / ('Wind Elemental'!$D$6 / 10.8)), 1)</f>
        <v>11</v>
      </c>
      <c r="T26" s="15">
        <f>CEILING('Water Elemental'!$B$6/ IF('Water Elemental'!$D$6&lt; 10.8, Table14[[#This Row],[STR]], Table14[[#This Row],[STR]] / ('Water Elemental'!$D$6 / 10.8)), 1)</f>
        <v>16</v>
      </c>
      <c r="U26" s="15">
        <f>CEILING('Fire Elemental'!$B$4/ IF('Fire Elemental'!$D$4&lt; 10.8, Table14[[#This Row],[STR]], Table14[[#This Row],[STR]] / ('Fire Elemental'!$D$4 / 10.8)), 1)</f>
        <v>20</v>
      </c>
      <c r="V26" s="12">
        <f>CEILING(Wyvern!$B$4/ IF(Wyvern!$D$4&lt; 10.8, Table14[[#This Row],[STR]], Table14[[#This Row],[STR]] / (Wyvern!$D$4 / 10.8)), 1)</f>
        <v>27</v>
      </c>
      <c r="W26" s="12">
        <f>CEILING('Evolved Wyvern'!$B$4/ IF('Evolved Wyvern'!$D$4&lt; 10.8, Table14[[#This Row],[STR]], Table14[[#This Row],[STR]] / ('Evolved Wyvern'!$D$4 / 10.8)), 1)</f>
        <v>37</v>
      </c>
      <c r="X26" s="12">
        <f>CEILING(Dragon!$B$4/ IF(Dragon!$D$4&lt; 10.8, Table14[[#This Row],[STR]], Table14[[#This Row],[STR]] / (Dragon!$D$4 / 10.8)), 1)</f>
        <v>61</v>
      </c>
      <c r="Z26" s="8">
        <f>CEILING('Blue Slime'!$M$5/ IF('Blue Slime'!$O$5&lt; 10.8, Table14[[#This Row],[STR]], Table14[[#This Row],[STR]] / ('Blue Slime'!$O$5 / 10.8)), 1)</f>
        <v>1</v>
      </c>
      <c r="AA26" s="8">
        <f>CEILING('Green Slime'!$M$5/ IF('Green Slime'!$O$5&lt; 10.8, Table14[[#This Row],[STR]], Table14[[#This Row],[STR]] / ('Green Slime'!$O$5 / 10.8)), 1)</f>
        <v>2</v>
      </c>
      <c r="AB26" s="8">
        <f>CEILING(Wolf!$M$6/ IF(Wolf!$O$6&lt; 10.8, Table14[[#This Row],[STR]], Table14[[#This Row],[STR]] / (Wolf!$O$6 / 10.8)), 1)</f>
        <v>4</v>
      </c>
      <c r="AC26" s="8">
        <f>CEILING('Horned Wolf'!$M$5/ IF('Horned Wolf'!$O$5&lt; 10.8, Table14[[#This Row],[STR]], Table14[[#This Row],[STR]] / ('Horned Wolf'!$O$5 / 10.8)), 1)</f>
        <v>10</v>
      </c>
      <c r="AD26" s="8">
        <f>CEILING(Spider!$M$7/ IF(Spider!$O$7&lt; 10.8, Table14[[#This Row],[STR]], Table14[[#This Row],[STR]] / (Spider!$O$7 / 10.8)), 1)</f>
        <v>9</v>
      </c>
      <c r="AE26" s="8">
        <f>CEILING('Evolved Spider'!$M$8/ IF('Evolved Spider'!$O$8&lt; 10.8, Table14[[#This Row],[STR]], Table14[[#This Row],[STR]] / ('Evolved Spider'!$O$8 / 10.8)), 1)</f>
        <v>17</v>
      </c>
      <c r="AF26" s="8">
        <f>CEILING(Arachne!$M$4/ IF(Arachne!$O$4&lt; 10.8, Table14[[#This Row],[STR]], Table14[[#This Row],[STR]] / (Arachne!$O$4 / 10.8)), 1)</f>
        <v>22</v>
      </c>
      <c r="AG26" s="15">
        <f>CEILING('Earth Elemental'!$M$6/ IF('Earth Elemental'!$O$6&lt; 10.8, Table14[[#This Row],[STR]], Table14[[#This Row],[STR]] / ('Earth Elemental'!$O$6 / 10.8)), 1)</f>
        <v>20</v>
      </c>
      <c r="AH26" s="15">
        <f>CEILING('Wind Elemental'!$M$6/ IF('Wind Elemental'!$O$6&lt; 10.8, Table14[[#This Row],[STR]], Table14[[#This Row],[STR]] / ('Wind Elemental'!$O$6 / 10.8)), 1)</f>
        <v>17</v>
      </c>
      <c r="AI26" s="15">
        <f>CEILING('Water Elemental'!$M$6/ IF('Water Elemental'!$O$6&lt; 10.8, Table14[[#This Row],[STR]], Table14[[#This Row],[STR]] / ('Water Elemental'!$O$6 / 10.8)), 1)</f>
        <v>24</v>
      </c>
      <c r="AJ26" s="15">
        <f>CEILING('Fire Elemental'!$M$4/ IF('Fire Elemental'!$O$4&lt; 10.8, Table14[[#This Row],[STR]], Table14[[#This Row],[STR]] / ('Fire Elemental'!$O$4 / 10.8)), 1)</f>
        <v>35</v>
      </c>
      <c r="AK26" s="12">
        <f>CEILING(Wyvern!$M$4/ IF(Wyvern!$O$4&lt; 10.8, Table14[[#This Row],[STR]], Table14[[#This Row],[STR]] / (Wyvern!$O$4 / 10.8)), 1)</f>
        <v>44</v>
      </c>
      <c r="AL26" s="12">
        <f>CEILING('Evolved Wyvern'!$M$4/ IF('Evolved Wyvern'!$O$4&lt; 10.8, Table14[[#This Row],[STR]], Table14[[#This Row],[STR]] / ('Evolved Wyvern'!$O$4 / 10.8)), 1)</f>
        <v>59</v>
      </c>
      <c r="AM26" s="12">
        <f>CEILING(Dragon!$M$4/ IF(Dragon!$O$4&lt; 10.8, Table14[[#This Row],[STR]], Table14[[#This Row],[STR]] / (Dragon!$O$4 / 10.8)), 1)</f>
        <v>98</v>
      </c>
      <c r="AO26" s="8">
        <f>CEILING('Blue Slime'!$Z$5/ IF('Blue Slime'!$X$5&lt; 10.8, Table14[[#This Row],[STR]], Table14[[#This Row],[STR]] / ('Blue Slime'!$X$5 / 10.8)), 1)</f>
        <v>2</v>
      </c>
      <c r="AP26" s="8">
        <f>CEILING('Green Slime'!$Z$5/ IF('Green Slime'!$X$5&lt; 10.8, Table14[[#This Row],[STR]], Table14[[#This Row],[STR]] / ('Green Slime'!$X$5 / 10.8)), 1)</f>
        <v>3</v>
      </c>
      <c r="AQ26" s="8">
        <f>CEILING(Wolf!$Z$6/ IF(Wolf!$X$6&lt; 10.8, Table14[[#This Row],[STR]], Table14[[#This Row],[STR]] / (Wolf!$X$6 / 10.8)), 1)</f>
        <v>6</v>
      </c>
      <c r="AR26" s="8">
        <f>CEILING('Horned Wolf'!$Z$5/ IF('Horned Wolf'!$X$5&lt; 10.8, Table14[[#This Row],[STR]], Table14[[#This Row],[STR]] / ('Horned Wolf'!$X$5 / 10.8)), 1)</f>
        <v>17</v>
      </c>
      <c r="AS26" s="8">
        <f>CEILING(Spider!$Z$7/ IF(Spider!$X$7&lt; 10.8, Table14[[#This Row],[STR]], Table14[[#This Row],[STR]] / (Spider!$X$7 / 10.8)), 1)</f>
        <v>15</v>
      </c>
      <c r="AT26" s="8">
        <f>CEILING('Evolved Spider'!$Z$8/ IF('Evolved Spider'!$X$8&lt; 10.8, Table14[[#This Row],[STR]], Table14[[#This Row],[STR]] / ('Evolved Spider'!$X$8 / 10.8)), 1)</f>
        <v>27</v>
      </c>
      <c r="AU26" s="8">
        <f>CEILING(Arachne!$Z$4/ IF(Arachne!$X$4&lt; 10.8, Table14[[#This Row],[STR]], Table14[[#This Row],[STR]] / (Arachne!$X$4 / 10.8)), 1)</f>
        <v>37</v>
      </c>
      <c r="AV26" s="15">
        <f>CEILING('Earth Elemental'!$Z$6/ IF('Earth Elemental'!$X$6&lt; 10.8, Table14[[#This Row],[STR]], Table14[[#This Row],[STR]] / ('Earth Elemental'!$X$6 / 10.8)), 1)</f>
        <v>31</v>
      </c>
      <c r="AW26" s="15">
        <f>CEILING('Wind Elemental'!$Z$6/ IF('Wind Elemental'!$X$6&lt; 10.8, Table14[[#This Row],[STR]], Table14[[#This Row],[STR]] / ('Wind Elemental'!$X$6 / 10.8)), 1)</f>
        <v>24</v>
      </c>
      <c r="AX26" s="15">
        <f>CEILING('Water Elemental'!$Z$6/ IF('Water Elemental'!$X$6&lt; 10.8, Table14[[#This Row],[STR]], Table14[[#This Row],[STR]] / ('Water Elemental'!$X$6 / 10.8)), 1)</f>
        <v>33</v>
      </c>
      <c r="AY26" s="15">
        <f>CEILING('Fire Elemental'!$Z$4/ IF('Fire Elemental'!$X$4&lt; 10.8, Table14[[#This Row],[STR]], Table14[[#This Row],[STR]] / ('Fire Elemental'!$X$4 / 10.8)), 1)</f>
        <v>53</v>
      </c>
      <c r="AZ26" s="12">
        <f>CEILING(Wyvern!$Z$4/ IF(Wyvern!$X$4&lt; 10.8, Table14[[#This Row],[STR]], Table14[[#This Row],[STR]] / (Wyvern!$X$4 / 10.8)), 1)</f>
        <v>65</v>
      </c>
      <c r="BA26" s="12">
        <f>CEILING('Evolved Wyvern'!$Z$4/ IF('Evolved Wyvern'!$X$4&lt; 10.8, Table14[[#This Row],[STR]], Table14[[#This Row],[STR]] / ('Evolved Wyvern'!$X$4 / 10.8)), 1)</f>
        <v>83</v>
      </c>
      <c r="BB26" s="12">
        <f>CEILING(Dragon!$Z$4/ IF(Dragon!$X$4&lt; 10.8, Table14[[#This Row],[STR]], Table14[[#This Row],[STR]] / (Dragon!$X$4 / 10.8)), 1)</f>
        <v>139</v>
      </c>
    </row>
    <row r="27" spans="1:54" x14ac:dyDescent="0.3">
      <c r="A27" s="1">
        <v>25</v>
      </c>
      <c r="B27" s="1">
        <f>$B$3 + ((Table14[[#This Row],[Level]] / 10) + $B$3 / 8) * Table14[[#This Row],[Level]] + Equipment!$O$26</f>
        <v>129.5</v>
      </c>
      <c r="C27" s="1">
        <f xml:space="preserve"> 2*Table14[[#This Row],[INT]]</f>
        <v>117</v>
      </c>
      <c r="D27" s="1">
        <f>$D$3 + ($D$3 / 4) * Table14[[#This Row],[Level]] + Equipment!$P$26</f>
        <v>61.5</v>
      </c>
      <c r="E27" s="1">
        <f>$E$3 + ($E$3 / 4) * Table14[[#This Row],[Level]] + Equipment!$Q$26</f>
        <v>71.75</v>
      </c>
      <c r="F27" s="1">
        <f>$F$3 + ($F$3 / 4) * Table14[[#This Row],[Level]] + Equipment!$R$26</f>
        <v>51.25</v>
      </c>
      <c r="G27" s="1">
        <f>$G$3 + ($G$3 / 4) * Table14[[#This Row],[Level]] + Equipment!$S$26</f>
        <v>58.5</v>
      </c>
      <c r="H27" s="1">
        <f>$H$3 + ($H$3 / 4) * Table14[[#This Row],[Level]] + Equipment!$T$26</f>
        <v>82</v>
      </c>
      <c r="I27" s="1">
        <f xml:space="preserve"> (4 * (Table14[[#This Row],[Level]] ^ 3))/7 + $I$3</f>
        <v>9028.5714285714294</v>
      </c>
      <c r="K27" s="8">
        <f>CEILING('Blue Slime'!$B$5/ IF('Blue Slime'!$D$5&lt; 10.8, Table14[[#This Row],[STR]], Table14[[#This Row],[STR]] / ('Blue Slime'!$D$5 / 10.8)), 1)</f>
        <v>1</v>
      </c>
      <c r="L27" s="8">
        <f>CEILING('Green Slime'!$B$5/ IF('Green Slime'!$D$5&lt; 10.8, Table14[[#This Row],[STR]], Table14[[#This Row],[STR]] / ('Green Slime'!$D$5 / 10.8)), 1)</f>
        <v>1</v>
      </c>
      <c r="M27" s="8">
        <f>CEILING(Wolf!$B$6/ IF(Wolf!$D$6&lt; 10.8, Table14[[#This Row],[STR]], Table14[[#This Row],[STR]] / (Wolf!$D$6 / 10.8)), 1)</f>
        <v>2</v>
      </c>
      <c r="N27" s="8">
        <f>CEILING('Horned Wolf'!$B$5/ IF('Horned Wolf'!$D$5&lt; 10.8, Table14[[#This Row],[STR]], Table14[[#This Row],[STR]] / ('Horned Wolf'!$D$5 / 10.8)), 1)</f>
        <v>4</v>
      </c>
      <c r="O27" s="8">
        <f>CEILING(Spider!$B$7/ IF(Spider!$D$7&lt; 10.8, Table14[[#This Row],[STR]], Table14[[#This Row],[STR]] / (Spider!$D$7 / 10.8)), 1)</f>
        <v>4</v>
      </c>
      <c r="P27" s="8">
        <f>CEILING('Evolved Spider'!$B$8/ IF('Evolved Spider'!$D$8&lt; 10.8, Table14[[#This Row],[STR]], Table14[[#This Row],[STR]] / ('Evolved Spider'!$D$8 / 10.8)), 1)</f>
        <v>8</v>
      </c>
      <c r="Q27" s="8">
        <f>CEILING(Arachne!$B$4/ IF(Arachne!$D$4&lt; 10.8, Table14[[#This Row],[STR]], Table14[[#This Row],[STR]] / (Arachne!$D$4 / 10.8)), 1)</f>
        <v>10</v>
      </c>
      <c r="R27" s="15">
        <f>CEILING('Earth Elemental'!$B$6/ IF('Earth Elemental'!$D$6&lt; 10.8, Table14[[#This Row],[STR]], Table14[[#This Row],[STR]] / ('Earth Elemental'!$D$6 / 10.8)), 1)</f>
        <v>10</v>
      </c>
      <c r="S27" s="15">
        <f>CEILING('Wind Elemental'!$B$6/ IF('Wind Elemental'!$D$6&lt; 10.8, Table14[[#This Row],[STR]], Table14[[#This Row],[STR]] / ('Wind Elemental'!$D$6 / 10.8)), 1)</f>
        <v>9</v>
      </c>
      <c r="T27" s="15">
        <f>CEILING('Water Elemental'!$B$6/ IF('Water Elemental'!$D$6&lt; 10.8, Table14[[#This Row],[STR]], Table14[[#This Row],[STR]] / ('Water Elemental'!$D$6 / 10.8)), 1)</f>
        <v>14</v>
      </c>
      <c r="U27" s="15">
        <f>CEILING('Fire Elemental'!$B$4/ IF('Fire Elemental'!$D$4&lt; 10.8, Table14[[#This Row],[STR]], Table14[[#This Row],[STR]] / ('Fire Elemental'!$D$4 / 10.8)), 1)</f>
        <v>17</v>
      </c>
      <c r="V27" s="12">
        <f>CEILING(Wyvern!$B$4/ IF(Wyvern!$D$4&lt; 10.8, Table14[[#This Row],[STR]], Table14[[#This Row],[STR]] / (Wyvern!$D$4 / 10.8)), 1)</f>
        <v>23</v>
      </c>
      <c r="W27" s="12">
        <f>CEILING('Evolved Wyvern'!$B$4/ IF('Evolved Wyvern'!$D$4&lt; 10.8, Table14[[#This Row],[STR]], Table14[[#This Row],[STR]] / ('Evolved Wyvern'!$D$4 / 10.8)), 1)</f>
        <v>32</v>
      </c>
      <c r="X27" s="12">
        <f>CEILING(Dragon!$B$4/ IF(Dragon!$D$4&lt; 10.8, Table14[[#This Row],[STR]], Table14[[#This Row],[STR]] / (Dragon!$D$4 / 10.8)), 1)</f>
        <v>53</v>
      </c>
      <c r="Z27" s="8">
        <f>CEILING('Blue Slime'!$M$5/ IF('Blue Slime'!$O$5&lt; 10.8, Table14[[#This Row],[STR]], Table14[[#This Row],[STR]] / ('Blue Slime'!$O$5 / 10.8)), 1)</f>
        <v>1</v>
      </c>
      <c r="AA27" s="8">
        <f>CEILING('Green Slime'!$M$5/ IF('Green Slime'!$O$5&lt; 10.8, Table14[[#This Row],[STR]], Table14[[#This Row],[STR]] / ('Green Slime'!$O$5 / 10.8)), 1)</f>
        <v>2</v>
      </c>
      <c r="AB27" s="8">
        <f>CEILING(Wolf!$M$6/ IF(Wolf!$O$6&lt; 10.8, Table14[[#This Row],[STR]], Table14[[#This Row],[STR]] / (Wolf!$O$6 / 10.8)), 1)</f>
        <v>3</v>
      </c>
      <c r="AC27" s="8">
        <f>CEILING('Horned Wolf'!$M$5/ IF('Horned Wolf'!$O$5&lt; 10.8, Table14[[#This Row],[STR]], Table14[[#This Row],[STR]] / ('Horned Wolf'!$O$5 / 10.8)), 1)</f>
        <v>9</v>
      </c>
      <c r="AD27" s="8">
        <f>CEILING(Spider!$M$7/ IF(Spider!$O$7&lt; 10.8, Table14[[#This Row],[STR]], Table14[[#This Row],[STR]] / (Spider!$O$7 / 10.8)), 1)</f>
        <v>8</v>
      </c>
      <c r="AE27" s="8">
        <f>CEILING('Evolved Spider'!$M$8/ IF('Evolved Spider'!$O$8&lt; 10.8, Table14[[#This Row],[STR]], Table14[[#This Row],[STR]] / ('Evolved Spider'!$O$8 / 10.8)), 1)</f>
        <v>14</v>
      </c>
      <c r="AF27" s="8">
        <f>CEILING(Arachne!$M$4/ IF(Arachne!$O$4&lt; 10.8, Table14[[#This Row],[STR]], Table14[[#This Row],[STR]] / (Arachne!$O$4 / 10.8)), 1)</f>
        <v>19</v>
      </c>
      <c r="AG27" s="15">
        <f>CEILING('Earth Elemental'!$M$6/ IF('Earth Elemental'!$O$6&lt; 10.8, Table14[[#This Row],[STR]], Table14[[#This Row],[STR]] / ('Earth Elemental'!$O$6 / 10.8)), 1)</f>
        <v>18</v>
      </c>
      <c r="AH27" s="15">
        <f>CEILING('Wind Elemental'!$M$6/ IF('Wind Elemental'!$O$6&lt; 10.8, Table14[[#This Row],[STR]], Table14[[#This Row],[STR]] / ('Wind Elemental'!$O$6 / 10.8)), 1)</f>
        <v>15</v>
      </c>
      <c r="AI27" s="15">
        <f>CEILING('Water Elemental'!$M$6/ IF('Water Elemental'!$O$6&lt; 10.8, Table14[[#This Row],[STR]], Table14[[#This Row],[STR]] / ('Water Elemental'!$O$6 / 10.8)), 1)</f>
        <v>21</v>
      </c>
      <c r="AJ27" s="15">
        <f>CEILING('Fire Elemental'!$M$4/ IF('Fire Elemental'!$O$4&lt; 10.8, Table14[[#This Row],[STR]], Table14[[#This Row],[STR]] / ('Fire Elemental'!$O$4 / 10.8)), 1)</f>
        <v>30</v>
      </c>
      <c r="AK27" s="12">
        <f>CEILING(Wyvern!$M$4/ IF(Wyvern!$O$4&lt; 10.8, Table14[[#This Row],[STR]], Table14[[#This Row],[STR]] / (Wyvern!$O$4 / 10.8)), 1)</f>
        <v>38</v>
      </c>
      <c r="AL27" s="12">
        <f>CEILING('Evolved Wyvern'!$M$4/ IF('Evolved Wyvern'!$O$4&lt; 10.8, Table14[[#This Row],[STR]], Table14[[#This Row],[STR]] / ('Evolved Wyvern'!$O$4 / 10.8)), 1)</f>
        <v>51</v>
      </c>
      <c r="AM27" s="12">
        <f>CEILING(Dragon!$M$4/ IF(Dragon!$O$4&lt; 10.8, Table14[[#This Row],[STR]], Table14[[#This Row],[STR]] / (Dragon!$O$4 / 10.8)), 1)</f>
        <v>84</v>
      </c>
      <c r="AO27" s="8">
        <f>CEILING('Blue Slime'!$Z$5/ IF('Blue Slime'!$X$5&lt; 10.8, Table14[[#This Row],[STR]], Table14[[#This Row],[STR]] / ('Blue Slime'!$X$5 / 10.8)), 1)</f>
        <v>1</v>
      </c>
      <c r="AP27" s="8">
        <f>CEILING('Green Slime'!$Z$5/ IF('Green Slime'!$X$5&lt; 10.8, Table14[[#This Row],[STR]], Table14[[#This Row],[STR]] / ('Green Slime'!$X$5 / 10.8)), 1)</f>
        <v>2</v>
      </c>
      <c r="AQ27" s="8">
        <f>CEILING(Wolf!$Z$6/ IF(Wolf!$X$6&lt; 10.8, Table14[[#This Row],[STR]], Table14[[#This Row],[STR]] / (Wolf!$X$6 / 10.8)), 1)</f>
        <v>6</v>
      </c>
      <c r="AR27" s="8">
        <f>CEILING('Horned Wolf'!$Z$5/ IF('Horned Wolf'!$X$5&lt; 10.8, Table14[[#This Row],[STR]], Table14[[#This Row],[STR]] / ('Horned Wolf'!$X$5 / 10.8)), 1)</f>
        <v>15</v>
      </c>
      <c r="AS27" s="8">
        <f>CEILING(Spider!$Z$7/ IF(Spider!$X$7&lt; 10.8, Table14[[#This Row],[STR]], Table14[[#This Row],[STR]] / (Spider!$X$7 / 10.8)), 1)</f>
        <v>13</v>
      </c>
      <c r="AT27" s="8">
        <f>CEILING('Evolved Spider'!$Z$8/ IF('Evolved Spider'!$X$8&lt; 10.8, Table14[[#This Row],[STR]], Table14[[#This Row],[STR]] / ('Evolved Spider'!$X$8 / 10.8)), 1)</f>
        <v>23</v>
      </c>
      <c r="AU27" s="8">
        <f>CEILING(Arachne!$Z$4/ IF(Arachne!$X$4&lt; 10.8, Table14[[#This Row],[STR]], Table14[[#This Row],[STR]] / (Arachne!$X$4 / 10.8)), 1)</f>
        <v>32</v>
      </c>
      <c r="AV27" s="15">
        <f>CEILING('Earth Elemental'!$Z$6/ IF('Earth Elemental'!$X$6&lt; 10.8, Table14[[#This Row],[STR]], Table14[[#This Row],[STR]] / ('Earth Elemental'!$X$6 / 10.8)), 1)</f>
        <v>27</v>
      </c>
      <c r="AW27" s="15">
        <f>CEILING('Wind Elemental'!$Z$6/ IF('Wind Elemental'!$X$6&lt; 10.8, Table14[[#This Row],[STR]], Table14[[#This Row],[STR]] / ('Wind Elemental'!$X$6 / 10.8)), 1)</f>
        <v>21</v>
      </c>
      <c r="AX27" s="15">
        <f>CEILING('Water Elemental'!$Z$6/ IF('Water Elemental'!$X$6&lt; 10.8, Table14[[#This Row],[STR]], Table14[[#This Row],[STR]] / ('Water Elemental'!$X$6 / 10.8)), 1)</f>
        <v>28</v>
      </c>
      <c r="AY27" s="15">
        <f>CEILING('Fire Elemental'!$Z$4/ IF('Fire Elemental'!$X$4&lt; 10.8, Table14[[#This Row],[STR]], Table14[[#This Row],[STR]] / ('Fire Elemental'!$X$4 / 10.8)), 1)</f>
        <v>46</v>
      </c>
      <c r="AZ27" s="12">
        <f>CEILING(Wyvern!$Z$4/ IF(Wyvern!$X$4&lt; 10.8, Table14[[#This Row],[STR]], Table14[[#This Row],[STR]] / (Wyvern!$X$4 / 10.8)), 1)</f>
        <v>55</v>
      </c>
      <c r="BA27" s="12">
        <f>CEILING('Evolved Wyvern'!$Z$4/ IF('Evolved Wyvern'!$X$4&lt; 10.8, Table14[[#This Row],[STR]], Table14[[#This Row],[STR]] / ('Evolved Wyvern'!$X$4 / 10.8)), 1)</f>
        <v>71</v>
      </c>
      <c r="BB27" s="12">
        <f>CEILING(Dragon!$Z$4/ IF(Dragon!$X$4&lt; 10.8, Table14[[#This Row],[STR]], Table14[[#This Row],[STR]] / (Dragon!$X$4 / 10.8)), 1)</f>
        <v>119</v>
      </c>
    </row>
    <row r="28" spans="1:54" x14ac:dyDescent="0.3">
      <c r="A28" s="1">
        <v>26</v>
      </c>
      <c r="B28" s="1">
        <f>$B$3 + ((Table14[[#This Row],[Level]] / 10) + $B$3 / 8) * Table14[[#This Row],[Level]] + Equipment!$O$26</f>
        <v>135.60000000000002</v>
      </c>
      <c r="C28" s="1">
        <f xml:space="preserve"> 2*Table14[[#This Row],[INT]]</f>
        <v>120</v>
      </c>
      <c r="D28" s="1">
        <f>$D$3 + ($D$3 / 4) * Table14[[#This Row],[Level]] + Equipment!$P$26</f>
        <v>63</v>
      </c>
      <c r="E28" s="1">
        <f>$E$3 + ($E$3 / 4) * Table14[[#This Row],[Level]] + Equipment!$Q$26</f>
        <v>73.5</v>
      </c>
      <c r="F28" s="1">
        <f>$F$3 + ($F$3 / 4) * Table14[[#This Row],[Level]] + Equipment!$R$26</f>
        <v>52.5</v>
      </c>
      <c r="G28" s="1">
        <f>$G$3 + ($G$3 / 4) * Table14[[#This Row],[Level]] + Equipment!$S$26</f>
        <v>60</v>
      </c>
      <c r="H28" s="1">
        <f>$H$3 + ($H$3 / 4) * Table14[[#This Row],[Level]] + Equipment!$T$26</f>
        <v>84</v>
      </c>
      <c r="I28" s="1">
        <f xml:space="preserve"> (4 * (Table14[[#This Row],[Level]] ^ 3))/7 + $I$3</f>
        <v>10143.428571428571</v>
      </c>
      <c r="K28" s="8">
        <f>CEILING('Blue Slime'!$B$5/ IF('Blue Slime'!$D$5&lt; 10.8, Table14[[#This Row],[STR]], Table14[[#This Row],[STR]] / ('Blue Slime'!$D$5 / 10.8)), 1)</f>
        <v>1</v>
      </c>
      <c r="L28" s="8">
        <f>CEILING('Green Slime'!$B$5/ IF('Green Slime'!$D$5&lt; 10.8, Table14[[#This Row],[STR]], Table14[[#This Row],[STR]] / ('Green Slime'!$D$5 / 10.8)), 1)</f>
        <v>1</v>
      </c>
      <c r="M28" s="8">
        <f>CEILING(Wolf!$B$6/ IF(Wolf!$D$6&lt; 10.8, Table14[[#This Row],[STR]], Table14[[#This Row],[STR]] / (Wolf!$D$6 / 10.8)), 1)</f>
        <v>2</v>
      </c>
      <c r="N28" s="8">
        <f>CEILING('Horned Wolf'!$B$5/ IF('Horned Wolf'!$D$5&lt; 10.8, Table14[[#This Row],[STR]], Table14[[#This Row],[STR]] / ('Horned Wolf'!$D$5 / 10.8)), 1)</f>
        <v>4</v>
      </c>
      <c r="O28" s="8">
        <f>CEILING(Spider!$B$7/ IF(Spider!$D$7&lt; 10.8, Table14[[#This Row],[STR]], Table14[[#This Row],[STR]] / (Spider!$D$7 / 10.8)), 1)</f>
        <v>4</v>
      </c>
      <c r="P28" s="8">
        <f>CEILING('Evolved Spider'!$B$8/ IF('Evolved Spider'!$D$8&lt; 10.8, Table14[[#This Row],[STR]], Table14[[#This Row],[STR]] / ('Evolved Spider'!$D$8 / 10.8)), 1)</f>
        <v>8</v>
      </c>
      <c r="Q28" s="8">
        <f>CEILING(Arachne!$B$4/ IF(Arachne!$D$4&lt; 10.8, Table14[[#This Row],[STR]], Table14[[#This Row],[STR]] / (Arachne!$D$4 / 10.8)), 1)</f>
        <v>10</v>
      </c>
      <c r="R28" s="15">
        <f>CEILING('Earth Elemental'!$B$6/ IF('Earth Elemental'!$D$6&lt; 10.8, Table14[[#This Row],[STR]], Table14[[#This Row],[STR]] / ('Earth Elemental'!$D$6 / 10.8)), 1)</f>
        <v>10</v>
      </c>
      <c r="S28" s="15">
        <f>CEILING('Wind Elemental'!$B$6/ IF('Wind Elemental'!$D$6&lt; 10.8, Table14[[#This Row],[STR]], Table14[[#This Row],[STR]] / ('Wind Elemental'!$D$6 / 10.8)), 1)</f>
        <v>9</v>
      </c>
      <c r="T28" s="15">
        <f>CEILING('Water Elemental'!$B$6/ IF('Water Elemental'!$D$6&lt; 10.8, Table14[[#This Row],[STR]], Table14[[#This Row],[STR]] / ('Water Elemental'!$D$6 / 10.8)), 1)</f>
        <v>13</v>
      </c>
      <c r="U28" s="15">
        <f>CEILING('Fire Elemental'!$B$4/ IF('Fire Elemental'!$D$4&lt; 10.8, Table14[[#This Row],[STR]], Table14[[#This Row],[STR]] / ('Fire Elemental'!$D$4 / 10.8)), 1)</f>
        <v>17</v>
      </c>
      <c r="V28" s="12">
        <f>CEILING(Wyvern!$B$4/ IF(Wyvern!$D$4&lt; 10.8, Table14[[#This Row],[STR]], Table14[[#This Row],[STR]] / (Wyvern!$D$4 / 10.8)), 1)</f>
        <v>23</v>
      </c>
      <c r="W28" s="12">
        <f>CEILING('Evolved Wyvern'!$B$4/ IF('Evolved Wyvern'!$D$4&lt; 10.8, Table14[[#This Row],[STR]], Table14[[#This Row],[STR]] / ('Evolved Wyvern'!$D$4 / 10.8)), 1)</f>
        <v>31</v>
      </c>
      <c r="X28" s="12">
        <f>CEILING(Dragon!$B$4/ IF(Dragon!$D$4&lt; 10.8, Table14[[#This Row],[STR]], Table14[[#This Row],[STR]] / (Dragon!$D$4 / 10.8)), 1)</f>
        <v>51</v>
      </c>
      <c r="Z28" s="8">
        <f>CEILING('Blue Slime'!$M$5/ IF('Blue Slime'!$O$5&lt; 10.8, Table14[[#This Row],[STR]], Table14[[#This Row],[STR]] / ('Blue Slime'!$O$5 / 10.8)), 1)</f>
        <v>1</v>
      </c>
      <c r="AA28" s="8">
        <f>CEILING('Green Slime'!$M$5/ IF('Green Slime'!$O$5&lt; 10.8, Table14[[#This Row],[STR]], Table14[[#This Row],[STR]] / ('Green Slime'!$O$5 / 10.8)), 1)</f>
        <v>1</v>
      </c>
      <c r="AB28" s="8">
        <f>CEILING(Wolf!$M$6/ IF(Wolf!$O$6&lt; 10.8, Table14[[#This Row],[STR]], Table14[[#This Row],[STR]] / (Wolf!$O$6 / 10.8)), 1)</f>
        <v>3</v>
      </c>
      <c r="AC28" s="8">
        <f>CEILING('Horned Wolf'!$M$5/ IF('Horned Wolf'!$O$5&lt; 10.8, Table14[[#This Row],[STR]], Table14[[#This Row],[STR]] / ('Horned Wolf'!$O$5 / 10.8)), 1)</f>
        <v>9</v>
      </c>
      <c r="AD28" s="8">
        <f>CEILING(Spider!$M$7/ IF(Spider!$O$7&lt; 10.8, Table14[[#This Row],[STR]], Table14[[#This Row],[STR]] / (Spider!$O$7 / 10.8)), 1)</f>
        <v>8</v>
      </c>
      <c r="AE28" s="8">
        <f>CEILING('Evolved Spider'!$M$8/ IF('Evolved Spider'!$O$8&lt; 10.8, Table14[[#This Row],[STR]], Table14[[#This Row],[STR]] / ('Evolved Spider'!$O$8 / 10.8)), 1)</f>
        <v>14</v>
      </c>
      <c r="AF28" s="8">
        <f>CEILING(Arachne!$M$4/ IF(Arachne!$O$4&lt; 10.8, Table14[[#This Row],[STR]], Table14[[#This Row],[STR]] / (Arachne!$O$4 / 10.8)), 1)</f>
        <v>19</v>
      </c>
      <c r="AG28" s="15">
        <f>CEILING('Earth Elemental'!$M$6/ IF('Earth Elemental'!$O$6&lt; 10.8, Table14[[#This Row],[STR]], Table14[[#This Row],[STR]] / ('Earth Elemental'!$O$6 / 10.8)), 1)</f>
        <v>17</v>
      </c>
      <c r="AH28" s="15">
        <f>CEILING('Wind Elemental'!$M$6/ IF('Wind Elemental'!$O$6&lt; 10.8, Table14[[#This Row],[STR]], Table14[[#This Row],[STR]] / ('Wind Elemental'!$O$6 / 10.8)), 1)</f>
        <v>14</v>
      </c>
      <c r="AI28" s="15">
        <f>CEILING('Water Elemental'!$M$6/ IF('Water Elemental'!$O$6&lt; 10.8, Table14[[#This Row],[STR]], Table14[[#This Row],[STR]] / ('Water Elemental'!$O$6 / 10.8)), 1)</f>
        <v>20</v>
      </c>
      <c r="AJ28" s="15">
        <f>CEILING('Fire Elemental'!$M$4/ IF('Fire Elemental'!$O$4&lt; 10.8, Table14[[#This Row],[STR]], Table14[[#This Row],[STR]] / ('Fire Elemental'!$O$4 / 10.8)), 1)</f>
        <v>30</v>
      </c>
      <c r="AK28" s="12">
        <f>CEILING(Wyvern!$M$4/ IF(Wyvern!$O$4&lt; 10.8, Table14[[#This Row],[STR]], Table14[[#This Row],[STR]] / (Wyvern!$O$4 / 10.8)), 1)</f>
        <v>37</v>
      </c>
      <c r="AL28" s="12">
        <f>CEILING('Evolved Wyvern'!$M$4/ IF('Evolved Wyvern'!$O$4&lt; 10.8, Table14[[#This Row],[STR]], Table14[[#This Row],[STR]] / ('Evolved Wyvern'!$O$4 / 10.8)), 1)</f>
        <v>49</v>
      </c>
      <c r="AM28" s="12">
        <f>CEILING(Dragon!$M$4/ IF(Dragon!$O$4&lt; 10.8, Table14[[#This Row],[STR]], Table14[[#This Row],[STR]] / (Dragon!$O$4 / 10.8)), 1)</f>
        <v>82</v>
      </c>
      <c r="AO28" s="8">
        <f>CEILING('Blue Slime'!$Z$5/ IF('Blue Slime'!$X$5&lt; 10.8, Table14[[#This Row],[STR]], Table14[[#This Row],[STR]] / ('Blue Slime'!$X$5 / 10.8)), 1)</f>
        <v>1</v>
      </c>
      <c r="AP28" s="8">
        <f>CEILING('Green Slime'!$Z$5/ IF('Green Slime'!$X$5&lt; 10.8, Table14[[#This Row],[STR]], Table14[[#This Row],[STR]] / ('Green Slime'!$X$5 / 10.8)), 1)</f>
        <v>2</v>
      </c>
      <c r="AQ28" s="8">
        <f>CEILING(Wolf!$Z$6/ IF(Wolf!$X$6&lt; 10.8, Table14[[#This Row],[STR]], Table14[[#This Row],[STR]] / (Wolf!$X$6 / 10.8)), 1)</f>
        <v>5</v>
      </c>
      <c r="AR28" s="8">
        <f>CEILING('Horned Wolf'!$Z$5/ IF('Horned Wolf'!$X$5&lt; 10.8, Table14[[#This Row],[STR]], Table14[[#This Row],[STR]] / ('Horned Wolf'!$X$5 / 10.8)), 1)</f>
        <v>15</v>
      </c>
      <c r="AS28" s="8">
        <f>CEILING(Spider!$Z$7/ IF(Spider!$X$7&lt; 10.8, Table14[[#This Row],[STR]], Table14[[#This Row],[STR]] / (Spider!$X$7 / 10.8)), 1)</f>
        <v>13</v>
      </c>
      <c r="AT28" s="8">
        <f>CEILING('Evolved Spider'!$Z$8/ IF('Evolved Spider'!$X$8&lt; 10.8, Table14[[#This Row],[STR]], Table14[[#This Row],[STR]] / ('Evolved Spider'!$X$8 / 10.8)), 1)</f>
        <v>23</v>
      </c>
      <c r="AU28" s="8">
        <f>CEILING(Arachne!$Z$4/ IF(Arachne!$X$4&lt; 10.8, Table14[[#This Row],[STR]], Table14[[#This Row],[STR]] / (Arachne!$X$4 / 10.8)), 1)</f>
        <v>31</v>
      </c>
      <c r="AV28" s="15">
        <f>CEILING('Earth Elemental'!$Z$6/ IF('Earth Elemental'!$X$6&lt; 10.8, Table14[[#This Row],[STR]], Table14[[#This Row],[STR]] / ('Earth Elemental'!$X$6 / 10.8)), 1)</f>
        <v>26</v>
      </c>
      <c r="AW28" s="15">
        <f>CEILING('Wind Elemental'!$Z$6/ IF('Wind Elemental'!$X$6&lt; 10.8, Table14[[#This Row],[STR]], Table14[[#This Row],[STR]] / ('Wind Elemental'!$X$6 / 10.8)), 1)</f>
        <v>20</v>
      </c>
      <c r="AX28" s="15">
        <f>CEILING('Water Elemental'!$Z$6/ IF('Water Elemental'!$X$6&lt; 10.8, Table14[[#This Row],[STR]], Table14[[#This Row],[STR]] / ('Water Elemental'!$X$6 / 10.8)), 1)</f>
        <v>28</v>
      </c>
      <c r="AY28" s="15">
        <f>CEILING('Fire Elemental'!$Z$4/ IF('Fire Elemental'!$X$4&lt; 10.8, Table14[[#This Row],[STR]], Table14[[#This Row],[STR]] / ('Fire Elemental'!$X$4 / 10.8)), 1)</f>
        <v>45</v>
      </c>
      <c r="AZ28" s="12">
        <f>CEILING(Wyvern!$Z$4/ IF(Wyvern!$X$4&lt; 10.8, Table14[[#This Row],[STR]], Table14[[#This Row],[STR]] / (Wyvern!$X$4 / 10.8)), 1)</f>
        <v>54</v>
      </c>
      <c r="BA28" s="12">
        <f>CEILING('Evolved Wyvern'!$Z$4/ IF('Evolved Wyvern'!$X$4&lt; 10.8, Table14[[#This Row],[STR]], Table14[[#This Row],[STR]] / ('Evolved Wyvern'!$X$4 / 10.8)), 1)</f>
        <v>69</v>
      </c>
      <c r="BB28" s="12">
        <f>CEILING(Dragon!$Z$4/ IF(Dragon!$X$4&lt; 10.8, Table14[[#This Row],[STR]], Table14[[#This Row],[STR]] / (Dragon!$X$4 / 10.8)), 1)</f>
        <v>117</v>
      </c>
    </row>
    <row r="29" spans="1:54" x14ac:dyDescent="0.3">
      <c r="A29" s="1">
        <v>27</v>
      </c>
      <c r="B29" s="1">
        <f>$B$3 + ((Table14[[#This Row],[Level]] / 10) + $B$3 / 8) * Table14[[#This Row],[Level]] + Equipment!$O$26</f>
        <v>141.9</v>
      </c>
      <c r="C29" s="1">
        <f xml:space="preserve"> 2*Table14[[#This Row],[INT]]</f>
        <v>123</v>
      </c>
      <c r="D29" s="1">
        <f>$D$3 + ($D$3 / 4) * Table14[[#This Row],[Level]] + Equipment!$P$26</f>
        <v>64.5</v>
      </c>
      <c r="E29" s="1">
        <f>$E$3 + ($E$3 / 4) * Table14[[#This Row],[Level]] + Equipment!$Q$26</f>
        <v>75.25</v>
      </c>
      <c r="F29" s="1">
        <f>$F$3 + ($F$3 / 4) * Table14[[#This Row],[Level]] + Equipment!$R$26</f>
        <v>53.75</v>
      </c>
      <c r="G29" s="1">
        <f>$G$3 + ($G$3 / 4) * Table14[[#This Row],[Level]] + Equipment!$S$26</f>
        <v>61.5</v>
      </c>
      <c r="H29" s="1">
        <f>$H$3 + ($H$3 / 4) * Table14[[#This Row],[Level]] + Equipment!$T$26</f>
        <v>86</v>
      </c>
      <c r="I29" s="1">
        <f xml:space="preserve"> (4 * (Table14[[#This Row],[Level]] ^ 3))/7 + $I$3</f>
        <v>11347.428571428571</v>
      </c>
      <c r="K29" s="8">
        <f>CEILING('Blue Slime'!$B$5/ IF('Blue Slime'!$D$5&lt; 10.8, Table14[[#This Row],[STR]], Table14[[#This Row],[STR]] / ('Blue Slime'!$D$5 / 10.8)), 1)</f>
        <v>1</v>
      </c>
      <c r="L29" s="8">
        <f>CEILING('Green Slime'!$B$5/ IF('Green Slime'!$D$5&lt; 10.8, Table14[[#This Row],[STR]], Table14[[#This Row],[STR]] / ('Green Slime'!$D$5 / 10.8)), 1)</f>
        <v>1</v>
      </c>
      <c r="M29" s="8">
        <f>CEILING(Wolf!$B$6/ IF(Wolf!$D$6&lt; 10.8, Table14[[#This Row],[STR]], Table14[[#This Row],[STR]] / (Wolf!$D$6 / 10.8)), 1)</f>
        <v>2</v>
      </c>
      <c r="N29" s="8">
        <f>CEILING('Horned Wolf'!$B$5/ IF('Horned Wolf'!$D$5&lt; 10.8, Table14[[#This Row],[STR]], Table14[[#This Row],[STR]] / ('Horned Wolf'!$D$5 / 10.8)), 1)</f>
        <v>4</v>
      </c>
      <c r="O29" s="8">
        <f>CEILING(Spider!$B$7/ IF(Spider!$D$7&lt; 10.8, Table14[[#This Row],[STR]], Table14[[#This Row],[STR]] / (Spider!$D$7 / 10.8)), 1)</f>
        <v>4</v>
      </c>
      <c r="P29" s="8">
        <f>CEILING('Evolved Spider'!$B$8/ IF('Evolved Spider'!$D$8&lt; 10.8, Table14[[#This Row],[STR]], Table14[[#This Row],[STR]] / ('Evolved Spider'!$D$8 / 10.8)), 1)</f>
        <v>7</v>
      </c>
      <c r="Q29" s="8">
        <f>CEILING(Arachne!$B$4/ IF(Arachne!$D$4&lt; 10.8, Table14[[#This Row],[STR]], Table14[[#This Row],[STR]] / (Arachne!$D$4 / 10.8)), 1)</f>
        <v>10</v>
      </c>
      <c r="R29" s="15">
        <f>CEILING('Earth Elemental'!$B$6/ IF('Earth Elemental'!$D$6&lt; 10.8, Table14[[#This Row],[STR]], Table14[[#This Row],[STR]] / ('Earth Elemental'!$D$6 / 10.8)), 1)</f>
        <v>10</v>
      </c>
      <c r="S29" s="15">
        <f>CEILING('Wind Elemental'!$B$6/ IF('Wind Elemental'!$D$6&lt; 10.8, Table14[[#This Row],[STR]], Table14[[#This Row],[STR]] / ('Wind Elemental'!$D$6 / 10.8)), 1)</f>
        <v>9</v>
      </c>
      <c r="T29" s="15">
        <f>CEILING('Water Elemental'!$B$6/ IF('Water Elemental'!$D$6&lt; 10.8, Table14[[#This Row],[STR]], Table14[[#This Row],[STR]] / ('Water Elemental'!$D$6 / 10.8)), 1)</f>
        <v>13</v>
      </c>
      <c r="U29" s="15">
        <f>CEILING('Fire Elemental'!$B$4/ IF('Fire Elemental'!$D$4&lt; 10.8, Table14[[#This Row],[STR]], Table14[[#This Row],[STR]] / ('Fire Elemental'!$D$4 / 10.8)), 1)</f>
        <v>17</v>
      </c>
      <c r="V29" s="12">
        <f>CEILING(Wyvern!$B$4/ IF(Wyvern!$D$4&lt; 10.8, Table14[[#This Row],[STR]], Table14[[#This Row],[STR]] / (Wyvern!$D$4 / 10.8)), 1)</f>
        <v>22</v>
      </c>
      <c r="W29" s="12">
        <f>CEILING('Evolved Wyvern'!$B$4/ IF('Evolved Wyvern'!$D$4&lt; 10.8, Table14[[#This Row],[STR]], Table14[[#This Row],[STR]] / ('Evolved Wyvern'!$D$4 / 10.8)), 1)</f>
        <v>31</v>
      </c>
      <c r="X29" s="12">
        <f>CEILING(Dragon!$B$4/ IF(Dragon!$D$4&lt; 10.8, Table14[[#This Row],[STR]], Table14[[#This Row],[STR]] / (Dragon!$D$4 / 10.8)), 1)</f>
        <v>50</v>
      </c>
      <c r="Z29" s="8">
        <f>CEILING('Blue Slime'!$M$5/ IF('Blue Slime'!$O$5&lt; 10.8, Table14[[#This Row],[STR]], Table14[[#This Row],[STR]] / ('Blue Slime'!$O$5 / 10.8)), 1)</f>
        <v>1</v>
      </c>
      <c r="AA29" s="8">
        <f>CEILING('Green Slime'!$M$5/ IF('Green Slime'!$O$5&lt; 10.8, Table14[[#This Row],[STR]], Table14[[#This Row],[STR]] / ('Green Slime'!$O$5 / 10.8)), 1)</f>
        <v>1</v>
      </c>
      <c r="AB29" s="8">
        <f>CEILING(Wolf!$M$6/ IF(Wolf!$O$6&lt; 10.8, Table14[[#This Row],[STR]], Table14[[#This Row],[STR]] / (Wolf!$O$6 / 10.8)), 1)</f>
        <v>3</v>
      </c>
      <c r="AC29" s="8">
        <f>CEILING('Horned Wolf'!$M$5/ IF('Horned Wolf'!$O$5&lt; 10.8, Table14[[#This Row],[STR]], Table14[[#This Row],[STR]] / ('Horned Wolf'!$O$5 / 10.8)), 1)</f>
        <v>8</v>
      </c>
      <c r="AD29" s="8">
        <f>CEILING(Spider!$M$7/ IF(Spider!$O$7&lt; 10.8, Table14[[#This Row],[STR]], Table14[[#This Row],[STR]] / (Spider!$O$7 / 10.8)), 1)</f>
        <v>8</v>
      </c>
      <c r="AE29" s="8">
        <f>CEILING('Evolved Spider'!$M$8/ IF('Evolved Spider'!$O$8&lt; 10.8, Table14[[#This Row],[STR]], Table14[[#This Row],[STR]] / ('Evolved Spider'!$O$8 / 10.8)), 1)</f>
        <v>14</v>
      </c>
      <c r="AF29" s="8">
        <f>CEILING(Arachne!$M$4/ IF(Arachne!$O$4&lt; 10.8, Table14[[#This Row],[STR]], Table14[[#This Row],[STR]] / (Arachne!$O$4 / 10.8)), 1)</f>
        <v>18</v>
      </c>
      <c r="AG29" s="15">
        <f>CEILING('Earth Elemental'!$M$6/ IF('Earth Elemental'!$O$6&lt; 10.8, Table14[[#This Row],[STR]], Table14[[#This Row],[STR]] / ('Earth Elemental'!$O$6 / 10.8)), 1)</f>
        <v>17</v>
      </c>
      <c r="AH29" s="15">
        <f>CEILING('Wind Elemental'!$M$6/ IF('Wind Elemental'!$O$6&lt; 10.8, Table14[[#This Row],[STR]], Table14[[#This Row],[STR]] / ('Wind Elemental'!$O$6 / 10.8)), 1)</f>
        <v>14</v>
      </c>
      <c r="AI29" s="15">
        <f>CEILING('Water Elemental'!$M$6/ IF('Water Elemental'!$O$6&lt; 10.8, Table14[[#This Row],[STR]], Table14[[#This Row],[STR]] / ('Water Elemental'!$O$6 / 10.8)), 1)</f>
        <v>20</v>
      </c>
      <c r="AJ29" s="15">
        <f>CEILING('Fire Elemental'!$M$4/ IF('Fire Elemental'!$O$4&lt; 10.8, Table14[[#This Row],[STR]], Table14[[#This Row],[STR]] / ('Fire Elemental'!$O$4 / 10.8)), 1)</f>
        <v>29</v>
      </c>
      <c r="AK29" s="12">
        <f>CEILING(Wyvern!$M$4/ IF(Wyvern!$O$4&lt; 10.8, Table14[[#This Row],[STR]], Table14[[#This Row],[STR]] / (Wyvern!$O$4 / 10.8)), 1)</f>
        <v>36</v>
      </c>
      <c r="AL29" s="12">
        <f>CEILING('Evolved Wyvern'!$M$4/ IF('Evolved Wyvern'!$O$4&lt; 10.8, Table14[[#This Row],[STR]], Table14[[#This Row],[STR]] / ('Evolved Wyvern'!$O$4 / 10.8)), 1)</f>
        <v>48</v>
      </c>
      <c r="AM29" s="12">
        <f>CEILING(Dragon!$M$4/ IF(Dragon!$O$4&lt; 10.8, Table14[[#This Row],[STR]], Table14[[#This Row],[STR]] / (Dragon!$O$4 / 10.8)), 1)</f>
        <v>80</v>
      </c>
      <c r="AO29" s="8">
        <f>CEILING('Blue Slime'!$Z$5/ IF('Blue Slime'!$X$5&lt; 10.8, Table14[[#This Row],[STR]], Table14[[#This Row],[STR]] / ('Blue Slime'!$X$5 / 10.8)), 1)</f>
        <v>1</v>
      </c>
      <c r="AP29" s="8">
        <f>CEILING('Green Slime'!$Z$5/ IF('Green Slime'!$X$5&lt; 10.8, Table14[[#This Row],[STR]], Table14[[#This Row],[STR]] / ('Green Slime'!$X$5 / 10.8)), 1)</f>
        <v>2</v>
      </c>
      <c r="AQ29" s="8">
        <f>CEILING(Wolf!$Z$6/ IF(Wolf!$X$6&lt; 10.8, Table14[[#This Row],[STR]], Table14[[#This Row],[STR]] / (Wolf!$X$6 / 10.8)), 1)</f>
        <v>5</v>
      </c>
      <c r="AR29" s="8">
        <f>CEILING('Horned Wolf'!$Z$5/ IF('Horned Wolf'!$X$5&lt; 10.8, Table14[[#This Row],[STR]], Table14[[#This Row],[STR]] / ('Horned Wolf'!$X$5 / 10.8)), 1)</f>
        <v>14</v>
      </c>
      <c r="AS29" s="8">
        <f>CEILING(Spider!$Z$7/ IF(Spider!$X$7&lt; 10.8, Table14[[#This Row],[STR]], Table14[[#This Row],[STR]] / (Spider!$X$7 / 10.8)), 1)</f>
        <v>13</v>
      </c>
      <c r="AT29" s="8">
        <f>CEILING('Evolved Spider'!$Z$8/ IF('Evolved Spider'!$X$8&lt; 10.8, Table14[[#This Row],[STR]], Table14[[#This Row],[STR]] / ('Evolved Spider'!$X$8 / 10.8)), 1)</f>
        <v>22</v>
      </c>
      <c r="AU29" s="8">
        <f>CEILING(Arachne!$Z$4/ IF(Arachne!$X$4&lt; 10.8, Table14[[#This Row],[STR]], Table14[[#This Row],[STR]] / (Arachne!$X$4 / 10.8)), 1)</f>
        <v>30</v>
      </c>
      <c r="AV29" s="15">
        <f>CEILING('Earth Elemental'!$Z$6/ IF('Earth Elemental'!$X$6&lt; 10.8, Table14[[#This Row],[STR]], Table14[[#This Row],[STR]] / ('Earth Elemental'!$X$6 / 10.8)), 1)</f>
        <v>25</v>
      </c>
      <c r="AW29" s="15">
        <f>CEILING('Wind Elemental'!$Z$6/ IF('Wind Elemental'!$X$6&lt; 10.8, Table14[[#This Row],[STR]], Table14[[#This Row],[STR]] / ('Wind Elemental'!$X$6 / 10.8)), 1)</f>
        <v>20</v>
      </c>
      <c r="AX29" s="15">
        <f>CEILING('Water Elemental'!$Z$6/ IF('Water Elemental'!$X$6&lt; 10.8, Table14[[#This Row],[STR]], Table14[[#This Row],[STR]] / ('Water Elemental'!$X$6 / 10.8)), 1)</f>
        <v>27</v>
      </c>
      <c r="AY29" s="15">
        <f>CEILING('Fire Elemental'!$Z$4/ IF('Fire Elemental'!$X$4&lt; 10.8, Table14[[#This Row],[STR]], Table14[[#This Row],[STR]] / ('Fire Elemental'!$X$4 / 10.8)), 1)</f>
        <v>44</v>
      </c>
      <c r="AZ29" s="12">
        <f>CEILING(Wyvern!$Z$4/ IF(Wyvern!$X$4&lt; 10.8, Table14[[#This Row],[STR]], Table14[[#This Row],[STR]] / (Wyvern!$X$4 / 10.8)), 1)</f>
        <v>53</v>
      </c>
      <c r="BA29" s="12">
        <f>CEILING('Evolved Wyvern'!$Z$4/ IF('Evolved Wyvern'!$X$4&lt; 10.8, Table14[[#This Row],[STR]], Table14[[#This Row],[STR]] / ('Evolved Wyvern'!$X$4 / 10.8)), 1)</f>
        <v>68</v>
      </c>
      <c r="BB29" s="12">
        <f>CEILING(Dragon!$Z$4/ IF(Dragon!$X$4&lt; 10.8, Table14[[#This Row],[STR]], Table14[[#This Row],[STR]] / (Dragon!$X$4 / 10.8)), 1)</f>
        <v>114</v>
      </c>
    </row>
    <row r="30" spans="1:54" x14ac:dyDescent="0.3">
      <c r="A30" s="1">
        <v>28</v>
      </c>
      <c r="B30" s="1">
        <f>$B$3 + ((Table14[[#This Row],[Level]] / 10) + $B$3 / 8) * Table14[[#This Row],[Level]] + Equipment!$O$26</f>
        <v>148.39999999999998</v>
      </c>
      <c r="C30" s="1">
        <f xml:space="preserve"> 2*Table14[[#This Row],[INT]]</f>
        <v>126</v>
      </c>
      <c r="D30" s="1">
        <f>$D$3 + ($D$3 / 4) * Table14[[#This Row],[Level]] + Equipment!$P$26</f>
        <v>66</v>
      </c>
      <c r="E30" s="1">
        <f>$E$3 + ($E$3 / 4) * Table14[[#This Row],[Level]] + Equipment!$Q$26</f>
        <v>77</v>
      </c>
      <c r="F30" s="1">
        <f>$F$3 + ($F$3 / 4) * Table14[[#This Row],[Level]] + Equipment!$R$26</f>
        <v>55</v>
      </c>
      <c r="G30" s="1">
        <f>$G$3 + ($G$3 / 4) * Table14[[#This Row],[Level]] + Equipment!$S$26</f>
        <v>63</v>
      </c>
      <c r="H30" s="1">
        <f>$H$3 + ($H$3 / 4) * Table14[[#This Row],[Level]] + Equipment!$T$26</f>
        <v>88</v>
      </c>
      <c r="I30" s="1">
        <f xml:space="preserve"> (4 * (Table14[[#This Row],[Level]] ^ 3))/7 + $I$3</f>
        <v>12644</v>
      </c>
      <c r="K30" s="8">
        <f>CEILING('Blue Slime'!$B$5/ IF('Blue Slime'!$D$5&lt; 10.8, Table14[[#This Row],[STR]], Table14[[#This Row],[STR]] / ('Blue Slime'!$D$5 / 10.8)), 1)</f>
        <v>1</v>
      </c>
      <c r="L30" s="8">
        <f>CEILING('Green Slime'!$B$5/ IF('Green Slime'!$D$5&lt; 10.8, Table14[[#This Row],[STR]], Table14[[#This Row],[STR]] / ('Green Slime'!$D$5 / 10.8)), 1)</f>
        <v>1</v>
      </c>
      <c r="M30" s="8">
        <f>CEILING(Wolf!$B$6/ IF(Wolf!$D$6&lt; 10.8, Table14[[#This Row],[STR]], Table14[[#This Row],[STR]] / (Wolf!$D$6 / 10.8)), 1)</f>
        <v>2</v>
      </c>
      <c r="N30" s="8">
        <f>CEILING('Horned Wolf'!$B$5/ IF('Horned Wolf'!$D$5&lt; 10.8, Table14[[#This Row],[STR]], Table14[[#This Row],[STR]] / ('Horned Wolf'!$D$5 / 10.8)), 1)</f>
        <v>4</v>
      </c>
      <c r="O30" s="8">
        <f>CEILING(Spider!$B$7/ IF(Spider!$D$7&lt; 10.8, Table14[[#This Row],[STR]], Table14[[#This Row],[STR]] / (Spider!$D$7 / 10.8)), 1)</f>
        <v>4</v>
      </c>
      <c r="P30" s="8">
        <f>CEILING('Evolved Spider'!$B$8/ IF('Evolved Spider'!$D$8&lt; 10.8, Table14[[#This Row],[STR]], Table14[[#This Row],[STR]] / ('Evolved Spider'!$D$8 / 10.8)), 1)</f>
        <v>7</v>
      </c>
      <c r="Q30" s="8">
        <f>CEILING(Arachne!$B$4/ IF(Arachne!$D$4&lt; 10.8, Table14[[#This Row],[STR]], Table14[[#This Row],[STR]] / (Arachne!$D$4 / 10.8)), 1)</f>
        <v>9</v>
      </c>
      <c r="R30" s="15">
        <f>CEILING('Earth Elemental'!$B$6/ IF('Earth Elemental'!$D$6&lt; 10.8, Table14[[#This Row],[STR]], Table14[[#This Row],[STR]] / ('Earth Elemental'!$D$6 / 10.8)), 1)</f>
        <v>10</v>
      </c>
      <c r="S30" s="15">
        <f>CEILING('Wind Elemental'!$B$6/ IF('Wind Elemental'!$D$6&lt; 10.8, Table14[[#This Row],[STR]], Table14[[#This Row],[STR]] / ('Wind Elemental'!$D$6 / 10.8)), 1)</f>
        <v>9</v>
      </c>
      <c r="T30" s="15">
        <f>CEILING('Water Elemental'!$B$6/ IF('Water Elemental'!$D$6&lt; 10.8, Table14[[#This Row],[STR]], Table14[[#This Row],[STR]] / ('Water Elemental'!$D$6 / 10.8)), 1)</f>
        <v>13</v>
      </c>
      <c r="U30" s="15">
        <f>CEILING('Fire Elemental'!$B$4/ IF('Fire Elemental'!$D$4&lt; 10.8, Table14[[#This Row],[STR]], Table14[[#This Row],[STR]] / ('Fire Elemental'!$D$4 / 10.8)), 1)</f>
        <v>16</v>
      </c>
      <c r="V30" s="12">
        <f>CEILING(Wyvern!$B$4/ IF(Wyvern!$D$4&lt; 10.8, Table14[[#This Row],[STR]], Table14[[#This Row],[STR]] / (Wyvern!$D$4 / 10.8)), 1)</f>
        <v>22</v>
      </c>
      <c r="W30" s="12">
        <f>CEILING('Evolved Wyvern'!$B$4/ IF('Evolved Wyvern'!$D$4&lt; 10.8, Table14[[#This Row],[STR]], Table14[[#This Row],[STR]] / ('Evolved Wyvern'!$D$4 / 10.8)), 1)</f>
        <v>30</v>
      </c>
      <c r="X30" s="12">
        <f>CEILING(Dragon!$B$4/ IF(Dragon!$D$4&lt; 10.8, Table14[[#This Row],[STR]], Table14[[#This Row],[STR]] / (Dragon!$D$4 / 10.8)), 1)</f>
        <v>49</v>
      </c>
      <c r="Z30" s="8">
        <f>CEILING('Blue Slime'!$M$5/ IF('Blue Slime'!$O$5&lt; 10.8, Table14[[#This Row],[STR]], Table14[[#This Row],[STR]] / ('Blue Slime'!$O$5 / 10.8)), 1)</f>
        <v>1</v>
      </c>
      <c r="AA30" s="8">
        <f>CEILING('Green Slime'!$M$5/ IF('Green Slime'!$O$5&lt; 10.8, Table14[[#This Row],[STR]], Table14[[#This Row],[STR]] / ('Green Slime'!$O$5 / 10.8)), 1)</f>
        <v>1</v>
      </c>
      <c r="AB30" s="8">
        <f>CEILING(Wolf!$M$6/ IF(Wolf!$O$6&lt; 10.8, Table14[[#This Row],[STR]], Table14[[#This Row],[STR]] / (Wolf!$O$6 / 10.8)), 1)</f>
        <v>3</v>
      </c>
      <c r="AC30" s="8">
        <f>CEILING('Horned Wolf'!$M$5/ IF('Horned Wolf'!$O$5&lt; 10.8, Table14[[#This Row],[STR]], Table14[[#This Row],[STR]] / ('Horned Wolf'!$O$5 / 10.8)), 1)</f>
        <v>8</v>
      </c>
      <c r="AD30" s="8">
        <f>CEILING(Spider!$M$7/ IF(Spider!$O$7&lt; 10.8, Table14[[#This Row],[STR]], Table14[[#This Row],[STR]] / (Spider!$O$7 / 10.8)), 1)</f>
        <v>7</v>
      </c>
      <c r="AE30" s="8">
        <f>CEILING('Evolved Spider'!$M$8/ IF('Evolved Spider'!$O$8&lt; 10.8, Table14[[#This Row],[STR]], Table14[[#This Row],[STR]] / ('Evolved Spider'!$O$8 / 10.8)), 1)</f>
        <v>14</v>
      </c>
      <c r="AF30" s="8">
        <f>CEILING(Arachne!$M$4/ IF(Arachne!$O$4&lt; 10.8, Table14[[#This Row],[STR]], Table14[[#This Row],[STR]] / (Arachne!$O$4 / 10.8)), 1)</f>
        <v>18</v>
      </c>
      <c r="AG30" s="15">
        <f>CEILING('Earth Elemental'!$M$6/ IF('Earth Elemental'!$O$6&lt; 10.8, Table14[[#This Row],[STR]], Table14[[#This Row],[STR]] / ('Earth Elemental'!$O$6 / 10.8)), 1)</f>
        <v>16</v>
      </c>
      <c r="AH30" s="15">
        <f>CEILING('Wind Elemental'!$M$6/ IF('Wind Elemental'!$O$6&lt; 10.8, Table14[[#This Row],[STR]], Table14[[#This Row],[STR]] / ('Wind Elemental'!$O$6 / 10.8)), 1)</f>
        <v>14</v>
      </c>
      <c r="AI30" s="15">
        <f>CEILING('Water Elemental'!$M$6/ IF('Water Elemental'!$O$6&lt; 10.8, Table14[[#This Row],[STR]], Table14[[#This Row],[STR]] / ('Water Elemental'!$O$6 / 10.8)), 1)</f>
        <v>19</v>
      </c>
      <c r="AJ30" s="15">
        <f>CEILING('Fire Elemental'!$M$4/ IF('Fire Elemental'!$O$4&lt; 10.8, Table14[[#This Row],[STR]], Table14[[#This Row],[STR]] / ('Fire Elemental'!$O$4 / 10.8)), 1)</f>
        <v>28</v>
      </c>
      <c r="AK30" s="12">
        <f>CEILING(Wyvern!$M$4/ IF(Wyvern!$O$4&lt; 10.8, Table14[[#This Row],[STR]], Table14[[#This Row],[STR]] / (Wyvern!$O$4 / 10.8)), 1)</f>
        <v>36</v>
      </c>
      <c r="AL30" s="12">
        <f>CEILING('Evolved Wyvern'!$M$4/ IF('Evolved Wyvern'!$O$4&lt; 10.8, Table14[[#This Row],[STR]], Table14[[#This Row],[STR]] / ('Evolved Wyvern'!$O$4 / 10.8)), 1)</f>
        <v>47</v>
      </c>
      <c r="AM30" s="12">
        <f>CEILING(Dragon!$M$4/ IF(Dragon!$O$4&lt; 10.8, Table14[[#This Row],[STR]], Table14[[#This Row],[STR]] / (Dragon!$O$4 / 10.8)), 1)</f>
        <v>79</v>
      </c>
      <c r="AO30" s="8">
        <f>CEILING('Blue Slime'!$Z$5/ IF('Blue Slime'!$X$5&lt; 10.8, Table14[[#This Row],[STR]], Table14[[#This Row],[STR]] / ('Blue Slime'!$X$5 / 10.8)), 1)</f>
        <v>1</v>
      </c>
      <c r="AP30" s="8">
        <f>CEILING('Green Slime'!$Z$5/ IF('Green Slime'!$X$5&lt; 10.8, Table14[[#This Row],[STR]], Table14[[#This Row],[STR]] / ('Green Slime'!$X$5 / 10.8)), 1)</f>
        <v>2</v>
      </c>
      <c r="AQ30" s="8">
        <f>CEILING(Wolf!$Z$6/ IF(Wolf!$X$6&lt; 10.8, Table14[[#This Row],[STR]], Table14[[#This Row],[STR]] / (Wolf!$X$6 / 10.8)), 1)</f>
        <v>5</v>
      </c>
      <c r="AR30" s="8">
        <f>CEILING('Horned Wolf'!$Z$5/ IF('Horned Wolf'!$X$5&lt; 10.8, Table14[[#This Row],[STR]], Table14[[#This Row],[STR]] / ('Horned Wolf'!$X$5 / 10.8)), 1)</f>
        <v>14</v>
      </c>
      <c r="AS30" s="8">
        <f>CEILING(Spider!$Z$7/ IF(Spider!$X$7&lt; 10.8, Table14[[#This Row],[STR]], Table14[[#This Row],[STR]] / (Spider!$X$7 / 10.8)), 1)</f>
        <v>12</v>
      </c>
      <c r="AT30" s="8">
        <f>CEILING('Evolved Spider'!$Z$8/ IF('Evolved Spider'!$X$8&lt; 10.8, Table14[[#This Row],[STR]], Table14[[#This Row],[STR]] / ('Evolved Spider'!$X$8 / 10.8)), 1)</f>
        <v>22</v>
      </c>
      <c r="AU30" s="8">
        <f>CEILING(Arachne!$Z$4/ IF(Arachne!$X$4&lt; 10.8, Table14[[#This Row],[STR]], Table14[[#This Row],[STR]] / (Arachne!$X$4 / 10.8)), 1)</f>
        <v>30</v>
      </c>
      <c r="AV30" s="15">
        <f>CEILING('Earth Elemental'!$Z$6/ IF('Earth Elemental'!$X$6&lt; 10.8, Table14[[#This Row],[STR]], Table14[[#This Row],[STR]] / ('Earth Elemental'!$X$6 / 10.8)), 1)</f>
        <v>25</v>
      </c>
      <c r="AW30" s="15">
        <f>CEILING('Wind Elemental'!$Z$6/ IF('Wind Elemental'!$X$6&lt; 10.8, Table14[[#This Row],[STR]], Table14[[#This Row],[STR]] / ('Wind Elemental'!$X$6 / 10.8)), 1)</f>
        <v>19</v>
      </c>
      <c r="AX30" s="15">
        <f>CEILING('Water Elemental'!$Z$6/ IF('Water Elemental'!$X$6&lt; 10.8, Table14[[#This Row],[STR]], Table14[[#This Row],[STR]] / ('Water Elemental'!$X$6 / 10.8)), 1)</f>
        <v>26</v>
      </c>
      <c r="AY30" s="15">
        <f>CEILING('Fire Elemental'!$Z$4/ IF('Fire Elemental'!$X$4&lt; 10.8, Table14[[#This Row],[STR]], Table14[[#This Row],[STR]] / ('Fire Elemental'!$X$4 / 10.8)), 1)</f>
        <v>43</v>
      </c>
      <c r="AZ30" s="12">
        <f>CEILING(Wyvern!$Z$4/ IF(Wyvern!$X$4&lt; 10.8, Table14[[#This Row],[STR]], Table14[[#This Row],[STR]] / (Wyvern!$X$4 / 10.8)), 1)</f>
        <v>52</v>
      </c>
      <c r="BA30" s="12">
        <f>CEILING('Evolved Wyvern'!$Z$4/ IF('Evolved Wyvern'!$X$4&lt; 10.8, Table14[[#This Row],[STR]], Table14[[#This Row],[STR]] / ('Evolved Wyvern'!$X$4 / 10.8)), 1)</f>
        <v>66</v>
      </c>
      <c r="BB30" s="12">
        <f>CEILING(Dragon!$Z$4/ IF(Dragon!$X$4&lt; 10.8, Table14[[#This Row],[STR]], Table14[[#This Row],[STR]] / (Dragon!$X$4 / 10.8)), 1)</f>
        <v>111</v>
      </c>
    </row>
    <row r="31" spans="1:54" x14ac:dyDescent="0.3">
      <c r="A31" s="1">
        <v>29</v>
      </c>
      <c r="B31" s="1">
        <f>$B$3 + ((Table14[[#This Row],[Level]] / 10) + $B$3 / 8) * Table14[[#This Row],[Level]] + Equipment!$O$26</f>
        <v>155.1</v>
      </c>
      <c r="C31" s="1">
        <f xml:space="preserve"> 2*Table14[[#This Row],[INT]]</f>
        <v>129</v>
      </c>
      <c r="D31" s="1">
        <f>$D$3 + ($D$3 / 4) * Table14[[#This Row],[Level]] + Equipment!$P$26</f>
        <v>67.5</v>
      </c>
      <c r="E31" s="1">
        <f>$E$3 + ($E$3 / 4) * Table14[[#This Row],[Level]] + Equipment!$Q$26</f>
        <v>78.75</v>
      </c>
      <c r="F31" s="1">
        <f>$F$3 + ($F$3 / 4) * Table14[[#This Row],[Level]] + Equipment!$R$26</f>
        <v>56.25</v>
      </c>
      <c r="G31" s="1">
        <f>$G$3 + ($G$3 / 4) * Table14[[#This Row],[Level]] + Equipment!$S$26</f>
        <v>64.5</v>
      </c>
      <c r="H31" s="1">
        <f>$H$3 + ($H$3 / 4) * Table14[[#This Row],[Level]] + Equipment!$T$26</f>
        <v>90</v>
      </c>
      <c r="I31" s="1">
        <f xml:space="preserve"> (4 * (Table14[[#This Row],[Level]] ^ 3))/7 + $I$3</f>
        <v>14036.571428571429</v>
      </c>
      <c r="K31" s="8">
        <f>CEILING('Blue Slime'!$B$5/ IF('Blue Slime'!$D$5&lt; 10.8, Table14[[#This Row],[STR]], Table14[[#This Row],[STR]] / ('Blue Slime'!$D$5 / 10.8)), 1)</f>
        <v>1</v>
      </c>
      <c r="L31" s="8">
        <f>CEILING('Green Slime'!$B$5/ IF('Green Slime'!$D$5&lt; 10.8, Table14[[#This Row],[STR]], Table14[[#This Row],[STR]] / ('Green Slime'!$D$5 / 10.8)), 1)</f>
        <v>1</v>
      </c>
      <c r="M31" s="8">
        <f>CEILING(Wolf!$B$6/ IF(Wolf!$D$6&lt; 10.8, Table14[[#This Row],[STR]], Table14[[#This Row],[STR]] / (Wolf!$D$6 / 10.8)), 1)</f>
        <v>2</v>
      </c>
      <c r="N31" s="8">
        <f>CEILING('Horned Wolf'!$B$5/ IF('Horned Wolf'!$D$5&lt; 10.8, Table14[[#This Row],[STR]], Table14[[#This Row],[STR]] / ('Horned Wolf'!$D$5 / 10.8)), 1)</f>
        <v>4</v>
      </c>
      <c r="O31" s="8">
        <f>CEILING(Spider!$B$7/ IF(Spider!$D$7&lt; 10.8, Table14[[#This Row],[STR]], Table14[[#This Row],[STR]] / (Spider!$D$7 / 10.8)), 1)</f>
        <v>4</v>
      </c>
      <c r="P31" s="8">
        <f>CEILING('Evolved Spider'!$B$8/ IF('Evolved Spider'!$D$8&lt; 10.8, Table14[[#This Row],[STR]], Table14[[#This Row],[STR]] / ('Evolved Spider'!$D$8 / 10.8)), 1)</f>
        <v>7</v>
      </c>
      <c r="Q31" s="8">
        <f>CEILING(Arachne!$B$4/ IF(Arachne!$D$4&lt; 10.8, Table14[[#This Row],[STR]], Table14[[#This Row],[STR]] / (Arachne!$D$4 / 10.8)), 1)</f>
        <v>9</v>
      </c>
      <c r="R31" s="15">
        <f>CEILING('Earth Elemental'!$B$6/ IF('Earth Elemental'!$D$6&lt; 10.8, Table14[[#This Row],[STR]], Table14[[#This Row],[STR]] / ('Earth Elemental'!$D$6 / 10.8)), 1)</f>
        <v>9</v>
      </c>
      <c r="S31" s="15">
        <f>CEILING('Wind Elemental'!$B$6/ IF('Wind Elemental'!$D$6&lt; 10.8, Table14[[#This Row],[STR]], Table14[[#This Row],[STR]] / ('Wind Elemental'!$D$6 / 10.8)), 1)</f>
        <v>8</v>
      </c>
      <c r="T31" s="15">
        <f>CEILING('Water Elemental'!$B$6/ IF('Water Elemental'!$D$6&lt; 10.8, Table14[[#This Row],[STR]], Table14[[#This Row],[STR]] / ('Water Elemental'!$D$6 / 10.8)), 1)</f>
        <v>13</v>
      </c>
      <c r="U31" s="15">
        <f>CEILING('Fire Elemental'!$B$4/ IF('Fire Elemental'!$D$4&lt; 10.8, Table14[[#This Row],[STR]], Table14[[#This Row],[STR]] / ('Fire Elemental'!$D$4 / 10.8)), 1)</f>
        <v>16</v>
      </c>
      <c r="V31" s="12">
        <f>CEILING(Wyvern!$B$4/ IF(Wyvern!$D$4&lt; 10.8, Table14[[#This Row],[STR]], Table14[[#This Row],[STR]] / (Wyvern!$D$4 / 10.8)), 1)</f>
        <v>21</v>
      </c>
      <c r="W31" s="12">
        <f>CEILING('Evolved Wyvern'!$B$4/ IF('Evolved Wyvern'!$D$4&lt; 10.8, Table14[[#This Row],[STR]], Table14[[#This Row],[STR]] / ('Evolved Wyvern'!$D$4 / 10.8)), 1)</f>
        <v>29</v>
      </c>
      <c r="X31" s="12">
        <f>CEILING(Dragon!$B$4/ IF(Dragon!$D$4&lt; 10.8, Table14[[#This Row],[STR]], Table14[[#This Row],[STR]] / (Dragon!$D$4 / 10.8)), 1)</f>
        <v>48</v>
      </c>
      <c r="Z31" s="8">
        <f>CEILING('Blue Slime'!$M$5/ IF('Blue Slime'!$O$5&lt; 10.8, Table14[[#This Row],[STR]], Table14[[#This Row],[STR]] / ('Blue Slime'!$O$5 / 10.8)), 1)</f>
        <v>1</v>
      </c>
      <c r="AA31" s="8">
        <f>CEILING('Green Slime'!$M$5/ IF('Green Slime'!$O$5&lt; 10.8, Table14[[#This Row],[STR]], Table14[[#This Row],[STR]] / ('Green Slime'!$O$5 / 10.8)), 1)</f>
        <v>1</v>
      </c>
      <c r="AB31" s="8">
        <f>CEILING(Wolf!$M$6/ IF(Wolf!$O$6&lt; 10.8, Table14[[#This Row],[STR]], Table14[[#This Row],[STR]] / (Wolf!$O$6 / 10.8)), 1)</f>
        <v>3</v>
      </c>
      <c r="AC31" s="8">
        <f>CEILING('Horned Wolf'!$M$5/ IF('Horned Wolf'!$O$5&lt; 10.8, Table14[[#This Row],[STR]], Table14[[#This Row],[STR]] / ('Horned Wolf'!$O$5 / 10.8)), 1)</f>
        <v>8</v>
      </c>
      <c r="AD31" s="8">
        <f>CEILING(Spider!$M$7/ IF(Spider!$O$7&lt; 10.8, Table14[[#This Row],[STR]], Table14[[#This Row],[STR]] / (Spider!$O$7 / 10.8)), 1)</f>
        <v>7</v>
      </c>
      <c r="AE31" s="8">
        <f>CEILING('Evolved Spider'!$M$8/ IF('Evolved Spider'!$O$8&lt; 10.8, Table14[[#This Row],[STR]], Table14[[#This Row],[STR]] / ('Evolved Spider'!$O$8 / 10.8)), 1)</f>
        <v>13</v>
      </c>
      <c r="AF31" s="8">
        <f>CEILING(Arachne!$M$4/ IF(Arachne!$O$4&lt; 10.8, Table14[[#This Row],[STR]], Table14[[#This Row],[STR]] / (Arachne!$O$4 / 10.8)), 1)</f>
        <v>18</v>
      </c>
      <c r="AG31" s="15">
        <f>CEILING('Earth Elemental'!$M$6/ IF('Earth Elemental'!$O$6&lt; 10.8, Table14[[#This Row],[STR]], Table14[[#This Row],[STR]] / ('Earth Elemental'!$O$6 / 10.8)), 1)</f>
        <v>16</v>
      </c>
      <c r="AH31" s="15">
        <f>CEILING('Wind Elemental'!$M$6/ IF('Wind Elemental'!$O$6&lt; 10.8, Table14[[#This Row],[STR]], Table14[[#This Row],[STR]] / ('Wind Elemental'!$O$6 / 10.8)), 1)</f>
        <v>13</v>
      </c>
      <c r="AI31" s="15">
        <f>CEILING('Water Elemental'!$M$6/ IF('Water Elemental'!$O$6&lt; 10.8, Table14[[#This Row],[STR]], Table14[[#This Row],[STR]] / ('Water Elemental'!$O$6 / 10.8)), 1)</f>
        <v>19</v>
      </c>
      <c r="AJ31" s="15">
        <f>CEILING('Fire Elemental'!$M$4/ IF('Fire Elemental'!$O$4&lt; 10.8, Table14[[#This Row],[STR]], Table14[[#This Row],[STR]] / ('Fire Elemental'!$O$4 / 10.8)), 1)</f>
        <v>28</v>
      </c>
      <c r="AK31" s="12">
        <f>CEILING(Wyvern!$M$4/ IF(Wyvern!$O$4&lt; 10.8, Table14[[#This Row],[STR]], Table14[[#This Row],[STR]] / (Wyvern!$O$4 / 10.8)), 1)</f>
        <v>35</v>
      </c>
      <c r="AL31" s="12">
        <f>CEILING('Evolved Wyvern'!$M$4/ IF('Evolved Wyvern'!$O$4&lt; 10.8, Table14[[#This Row],[STR]], Table14[[#This Row],[STR]] / ('Evolved Wyvern'!$O$4 / 10.8)), 1)</f>
        <v>46</v>
      </c>
      <c r="AM31" s="12">
        <f>CEILING(Dragon!$M$4/ IF(Dragon!$O$4&lt; 10.8, Table14[[#This Row],[STR]], Table14[[#This Row],[STR]] / (Dragon!$O$4 / 10.8)), 1)</f>
        <v>77</v>
      </c>
      <c r="AO31" s="8">
        <f>CEILING('Blue Slime'!$Z$5/ IF('Blue Slime'!$X$5&lt; 10.8, Table14[[#This Row],[STR]], Table14[[#This Row],[STR]] / ('Blue Slime'!$X$5 / 10.8)), 1)</f>
        <v>1</v>
      </c>
      <c r="AP31" s="8">
        <f>CEILING('Green Slime'!$Z$5/ IF('Green Slime'!$X$5&lt; 10.8, Table14[[#This Row],[STR]], Table14[[#This Row],[STR]] / ('Green Slime'!$X$5 / 10.8)), 1)</f>
        <v>2</v>
      </c>
      <c r="AQ31" s="8">
        <f>CEILING(Wolf!$Z$6/ IF(Wolf!$X$6&lt; 10.8, Table14[[#This Row],[STR]], Table14[[#This Row],[STR]] / (Wolf!$X$6 / 10.8)), 1)</f>
        <v>5</v>
      </c>
      <c r="AR31" s="8">
        <f>CEILING('Horned Wolf'!$Z$5/ IF('Horned Wolf'!$X$5&lt; 10.8, Table14[[#This Row],[STR]], Table14[[#This Row],[STR]] / ('Horned Wolf'!$X$5 / 10.8)), 1)</f>
        <v>14</v>
      </c>
      <c r="AS31" s="8">
        <f>CEILING(Spider!$Z$7/ IF(Spider!$X$7&lt; 10.8, Table14[[#This Row],[STR]], Table14[[#This Row],[STR]] / (Spider!$X$7 / 10.8)), 1)</f>
        <v>12</v>
      </c>
      <c r="AT31" s="8">
        <f>CEILING('Evolved Spider'!$Z$8/ IF('Evolved Spider'!$X$8&lt; 10.8, Table14[[#This Row],[STR]], Table14[[#This Row],[STR]] / ('Evolved Spider'!$X$8 / 10.8)), 1)</f>
        <v>21</v>
      </c>
      <c r="AU31" s="8">
        <f>CEILING(Arachne!$Z$4/ IF(Arachne!$X$4&lt; 10.8, Table14[[#This Row],[STR]], Table14[[#This Row],[STR]] / (Arachne!$X$4 / 10.8)), 1)</f>
        <v>29</v>
      </c>
      <c r="AV31" s="15">
        <f>CEILING('Earth Elemental'!$Z$6/ IF('Earth Elemental'!$X$6&lt; 10.8, Table14[[#This Row],[STR]], Table14[[#This Row],[STR]] / ('Earth Elemental'!$X$6 / 10.8)), 1)</f>
        <v>24</v>
      </c>
      <c r="AW31" s="15">
        <f>CEILING('Wind Elemental'!$Z$6/ IF('Wind Elemental'!$X$6&lt; 10.8, Table14[[#This Row],[STR]], Table14[[#This Row],[STR]] / ('Wind Elemental'!$X$6 / 10.8)), 1)</f>
        <v>19</v>
      </c>
      <c r="AX31" s="15">
        <f>CEILING('Water Elemental'!$Z$6/ IF('Water Elemental'!$X$6&lt; 10.8, Table14[[#This Row],[STR]], Table14[[#This Row],[STR]] / ('Water Elemental'!$X$6 / 10.8)), 1)</f>
        <v>26</v>
      </c>
      <c r="AY31" s="15">
        <f>CEILING('Fire Elemental'!$Z$4/ IF('Fire Elemental'!$X$4&lt; 10.8, Table14[[#This Row],[STR]], Table14[[#This Row],[STR]] / ('Fire Elemental'!$X$4 / 10.8)), 1)</f>
        <v>42</v>
      </c>
      <c r="AZ31" s="12">
        <f>CEILING(Wyvern!$Z$4/ IF(Wyvern!$X$4&lt; 10.8, Table14[[#This Row],[STR]], Table14[[#This Row],[STR]] / (Wyvern!$X$4 / 10.8)), 1)</f>
        <v>51</v>
      </c>
      <c r="BA31" s="12">
        <f>CEILING('Evolved Wyvern'!$Z$4/ IF('Evolved Wyvern'!$X$4&lt; 10.8, Table14[[#This Row],[STR]], Table14[[#This Row],[STR]] / ('Evolved Wyvern'!$X$4 / 10.8)), 1)</f>
        <v>65</v>
      </c>
      <c r="BB31" s="12">
        <f>CEILING(Dragon!$Z$4/ IF(Dragon!$X$4&lt; 10.8, Table14[[#This Row],[STR]], Table14[[#This Row],[STR]] / (Dragon!$X$4 / 10.8)), 1)</f>
        <v>109</v>
      </c>
    </row>
    <row r="32" spans="1:54" x14ac:dyDescent="0.3">
      <c r="A32" s="1">
        <v>30</v>
      </c>
      <c r="B32" s="1">
        <f>$B$3 + ((Table14[[#This Row],[Level]] / 10) + $B$3 / 8) * Table14[[#This Row],[Level]] + Equipment!$O$26</f>
        <v>162</v>
      </c>
      <c r="C32" s="1">
        <f xml:space="preserve"> 2*Table14[[#This Row],[INT]]</f>
        <v>132</v>
      </c>
      <c r="D32" s="1">
        <f>$D$3 + ($D$3 / 4) * Table14[[#This Row],[Level]] + Equipment!$P$26</f>
        <v>69</v>
      </c>
      <c r="E32" s="1">
        <f>$E$3 + ($E$3 / 4) * Table14[[#This Row],[Level]] + Equipment!$Q$26</f>
        <v>80.5</v>
      </c>
      <c r="F32" s="1">
        <f>$F$3 + ($F$3 / 4) * Table14[[#This Row],[Level]] + Equipment!$R$26</f>
        <v>57.5</v>
      </c>
      <c r="G32" s="1">
        <f>$G$3 + ($G$3 / 4) * Table14[[#This Row],[Level]] + Equipment!$S$26</f>
        <v>66</v>
      </c>
      <c r="H32" s="1">
        <f>$H$3 + ($H$3 / 4) * Table14[[#This Row],[Level]] + Equipment!$T$26</f>
        <v>92</v>
      </c>
      <c r="I32" s="1">
        <f xml:space="preserve"> (4 * (Table14[[#This Row],[Level]] ^ 3))/7 + $I$3</f>
        <v>15528.571428571429</v>
      </c>
      <c r="K32" s="8">
        <f>CEILING('Blue Slime'!$B$5/ IF('Blue Slime'!$D$5&lt; 10.8, Table14[[#This Row],[STR]], Table14[[#This Row],[STR]] / ('Blue Slime'!$D$5 / 10.8)), 1)</f>
        <v>1</v>
      </c>
      <c r="L32" s="8">
        <f>CEILING('Green Slime'!$B$5/ IF('Green Slime'!$D$5&lt; 10.8, Table14[[#This Row],[STR]], Table14[[#This Row],[STR]] / ('Green Slime'!$D$5 / 10.8)), 1)</f>
        <v>1</v>
      </c>
      <c r="M32" s="8">
        <f>CEILING(Wolf!$B$6/ IF(Wolf!$D$6&lt; 10.8, Table14[[#This Row],[STR]], Table14[[#This Row],[STR]] / (Wolf!$D$6 / 10.8)), 1)</f>
        <v>2</v>
      </c>
      <c r="N32" s="8">
        <f>CEILING('Horned Wolf'!$B$5/ IF('Horned Wolf'!$D$5&lt; 10.8, Table14[[#This Row],[STR]], Table14[[#This Row],[STR]] / ('Horned Wolf'!$D$5 / 10.8)), 1)</f>
        <v>4</v>
      </c>
      <c r="O32" s="8">
        <f>CEILING(Spider!$B$7/ IF(Spider!$D$7&lt; 10.8, Table14[[#This Row],[STR]], Table14[[#This Row],[STR]] / (Spider!$D$7 / 10.8)), 1)</f>
        <v>4</v>
      </c>
      <c r="P32" s="8">
        <f>CEILING('Evolved Spider'!$B$8/ IF('Evolved Spider'!$D$8&lt; 10.8, Table14[[#This Row],[STR]], Table14[[#This Row],[STR]] / ('Evolved Spider'!$D$8 / 10.8)), 1)</f>
        <v>7</v>
      </c>
      <c r="Q32" s="8">
        <f>CEILING(Arachne!$B$4/ IF(Arachne!$D$4&lt; 10.8, Table14[[#This Row],[STR]], Table14[[#This Row],[STR]] / (Arachne!$D$4 / 10.8)), 1)</f>
        <v>9</v>
      </c>
      <c r="R32" s="15">
        <f>CEILING('Earth Elemental'!$B$6/ IF('Earth Elemental'!$D$6&lt; 10.8, Table14[[#This Row],[STR]], Table14[[#This Row],[STR]] / ('Earth Elemental'!$D$6 / 10.8)), 1)</f>
        <v>9</v>
      </c>
      <c r="S32" s="15">
        <f>CEILING('Wind Elemental'!$B$6/ IF('Wind Elemental'!$D$6&lt; 10.8, Table14[[#This Row],[STR]], Table14[[#This Row],[STR]] / ('Wind Elemental'!$D$6 / 10.8)), 1)</f>
        <v>8</v>
      </c>
      <c r="T32" s="15">
        <f>CEILING('Water Elemental'!$B$6/ IF('Water Elemental'!$D$6&lt; 10.8, Table14[[#This Row],[STR]], Table14[[#This Row],[STR]] / ('Water Elemental'!$D$6 / 10.8)), 1)</f>
        <v>12</v>
      </c>
      <c r="U32" s="15">
        <f>CEILING('Fire Elemental'!$B$4/ IF('Fire Elemental'!$D$4&lt; 10.8, Table14[[#This Row],[STR]], Table14[[#This Row],[STR]] / ('Fire Elemental'!$D$4 / 10.8)), 1)</f>
        <v>16</v>
      </c>
      <c r="V32" s="12">
        <f>CEILING(Wyvern!$B$4/ IF(Wyvern!$D$4&lt; 10.8, Table14[[#This Row],[STR]], Table14[[#This Row],[STR]] / (Wyvern!$D$4 / 10.8)), 1)</f>
        <v>21</v>
      </c>
      <c r="W32" s="12">
        <f>CEILING('Evolved Wyvern'!$B$4/ IF('Evolved Wyvern'!$D$4&lt; 10.8, Table14[[#This Row],[STR]], Table14[[#This Row],[STR]] / ('Evolved Wyvern'!$D$4 / 10.8)), 1)</f>
        <v>29</v>
      </c>
      <c r="X32" s="12">
        <f>CEILING(Dragon!$B$4/ IF(Dragon!$D$4&lt; 10.8, Table14[[#This Row],[STR]], Table14[[#This Row],[STR]] / (Dragon!$D$4 / 10.8)), 1)</f>
        <v>47</v>
      </c>
      <c r="Z32" s="8">
        <f>CEILING('Blue Slime'!$M$5/ IF('Blue Slime'!$O$5&lt; 10.8, Table14[[#This Row],[STR]], Table14[[#This Row],[STR]] / ('Blue Slime'!$O$5 / 10.8)), 1)</f>
        <v>1</v>
      </c>
      <c r="AA32" s="8">
        <f>CEILING('Green Slime'!$M$5/ IF('Green Slime'!$O$5&lt; 10.8, Table14[[#This Row],[STR]], Table14[[#This Row],[STR]] / ('Green Slime'!$O$5 / 10.8)), 1)</f>
        <v>1</v>
      </c>
      <c r="AB32" s="8">
        <f>CEILING(Wolf!$M$6/ IF(Wolf!$O$6&lt; 10.8, Table14[[#This Row],[STR]], Table14[[#This Row],[STR]] / (Wolf!$O$6 / 10.8)), 1)</f>
        <v>3</v>
      </c>
      <c r="AC32" s="8">
        <f>CEILING('Horned Wolf'!$M$5/ IF('Horned Wolf'!$O$5&lt; 10.8, Table14[[#This Row],[STR]], Table14[[#This Row],[STR]] / ('Horned Wolf'!$O$5 / 10.8)), 1)</f>
        <v>8</v>
      </c>
      <c r="AD32" s="8">
        <f>CEILING(Spider!$M$7/ IF(Spider!$O$7&lt; 10.8, Table14[[#This Row],[STR]], Table14[[#This Row],[STR]] / (Spider!$O$7 / 10.8)), 1)</f>
        <v>7</v>
      </c>
      <c r="AE32" s="8">
        <f>CEILING('Evolved Spider'!$M$8/ IF('Evolved Spider'!$O$8&lt; 10.8, Table14[[#This Row],[STR]], Table14[[#This Row],[STR]] / ('Evolved Spider'!$O$8 / 10.8)), 1)</f>
        <v>13</v>
      </c>
      <c r="AF32" s="8">
        <f>CEILING(Arachne!$M$4/ IF(Arachne!$O$4&lt; 10.8, Table14[[#This Row],[STR]], Table14[[#This Row],[STR]] / (Arachne!$O$4 / 10.8)), 1)</f>
        <v>17</v>
      </c>
      <c r="AG32" s="15">
        <f>CEILING('Earth Elemental'!$M$6/ IF('Earth Elemental'!$O$6&lt; 10.8, Table14[[#This Row],[STR]], Table14[[#This Row],[STR]] / ('Earth Elemental'!$O$6 / 10.8)), 1)</f>
        <v>16</v>
      </c>
      <c r="AH32" s="15">
        <f>CEILING('Wind Elemental'!$M$6/ IF('Wind Elemental'!$O$6&lt; 10.8, Table14[[#This Row],[STR]], Table14[[#This Row],[STR]] / ('Wind Elemental'!$O$6 / 10.8)), 1)</f>
        <v>13</v>
      </c>
      <c r="AI32" s="15">
        <f>CEILING('Water Elemental'!$M$6/ IF('Water Elemental'!$O$6&lt; 10.8, Table14[[#This Row],[STR]], Table14[[#This Row],[STR]] / ('Water Elemental'!$O$6 / 10.8)), 1)</f>
        <v>19</v>
      </c>
      <c r="AJ32" s="15">
        <f>CEILING('Fire Elemental'!$M$4/ IF('Fire Elemental'!$O$4&lt; 10.8, Table14[[#This Row],[STR]], Table14[[#This Row],[STR]] / ('Fire Elemental'!$O$4 / 10.8)), 1)</f>
        <v>27</v>
      </c>
      <c r="AK32" s="12">
        <f>CEILING(Wyvern!$M$4/ IF(Wyvern!$O$4&lt; 10.8, Table14[[#This Row],[STR]], Table14[[#This Row],[STR]] / (Wyvern!$O$4 / 10.8)), 1)</f>
        <v>34</v>
      </c>
      <c r="AL32" s="12">
        <f>CEILING('Evolved Wyvern'!$M$4/ IF('Evolved Wyvern'!$O$4&lt; 10.8, Table14[[#This Row],[STR]], Table14[[#This Row],[STR]] / ('Evolved Wyvern'!$O$4 / 10.8)), 1)</f>
        <v>45</v>
      </c>
      <c r="AM32" s="12">
        <f>CEILING(Dragon!$M$4/ IF(Dragon!$O$4&lt; 10.8, Table14[[#This Row],[STR]], Table14[[#This Row],[STR]] / (Dragon!$O$4 / 10.8)), 1)</f>
        <v>75</v>
      </c>
      <c r="AO32" s="8">
        <f>CEILING('Blue Slime'!$Z$5/ IF('Blue Slime'!$X$5&lt; 10.8, Table14[[#This Row],[STR]], Table14[[#This Row],[STR]] / ('Blue Slime'!$X$5 / 10.8)), 1)</f>
        <v>1</v>
      </c>
      <c r="AP32" s="8">
        <f>CEILING('Green Slime'!$Z$5/ IF('Green Slime'!$X$5&lt; 10.8, Table14[[#This Row],[STR]], Table14[[#This Row],[STR]] / ('Green Slime'!$X$5 / 10.8)), 1)</f>
        <v>2</v>
      </c>
      <c r="AQ32" s="8">
        <f>CEILING(Wolf!$Z$6/ IF(Wolf!$X$6&lt; 10.8, Table14[[#This Row],[STR]], Table14[[#This Row],[STR]] / (Wolf!$X$6 / 10.8)), 1)</f>
        <v>5</v>
      </c>
      <c r="AR32" s="8">
        <f>CEILING('Horned Wolf'!$Z$5/ IF('Horned Wolf'!$X$5&lt; 10.8, Table14[[#This Row],[STR]], Table14[[#This Row],[STR]] / ('Horned Wolf'!$X$5 / 10.8)), 1)</f>
        <v>13</v>
      </c>
      <c r="AS32" s="8">
        <f>CEILING(Spider!$Z$7/ IF(Spider!$X$7&lt; 10.8, Table14[[#This Row],[STR]], Table14[[#This Row],[STR]] / (Spider!$X$7 / 10.8)), 1)</f>
        <v>12</v>
      </c>
      <c r="AT32" s="8">
        <f>CEILING('Evolved Spider'!$Z$8/ IF('Evolved Spider'!$X$8&lt; 10.8, Table14[[#This Row],[STR]], Table14[[#This Row],[STR]] / ('Evolved Spider'!$X$8 / 10.8)), 1)</f>
        <v>21</v>
      </c>
      <c r="AU32" s="8">
        <f>CEILING(Arachne!$Z$4/ IF(Arachne!$X$4&lt; 10.8, Table14[[#This Row],[STR]], Table14[[#This Row],[STR]] / (Arachne!$X$4 / 10.8)), 1)</f>
        <v>28</v>
      </c>
      <c r="AV32" s="15">
        <f>CEILING('Earth Elemental'!$Z$6/ IF('Earth Elemental'!$X$6&lt; 10.8, Table14[[#This Row],[STR]], Table14[[#This Row],[STR]] / ('Earth Elemental'!$X$6 / 10.8)), 1)</f>
        <v>24</v>
      </c>
      <c r="AW32" s="15">
        <f>CEILING('Wind Elemental'!$Z$6/ IF('Wind Elemental'!$X$6&lt; 10.8, Table14[[#This Row],[STR]], Table14[[#This Row],[STR]] / ('Wind Elemental'!$X$6 / 10.8)), 1)</f>
        <v>18</v>
      </c>
      <c r="AX32" s="15">
        <f>CEILING('Water Elemental'!$Z$6/ IF('Water Elemental'!$X$6&lt; 10.8, Table14[[#This Row],[STR]], Table14[[#This Row],[STR]] / ('Water Elemental'!$X$6 / 10.8)), 1)</f>
        <v>25</v>
      </c>
      <c r="AY32" s="15">
        <f>CEILING('Fire Elemental'!$Z$4/ IF('Fire Elemental'!$X$4&lt; 10.8, Table14[[#This Row],[STR]], Table14[[#This Row],[STR]] / ('Fire Elemental'!$X$4 / 10.8)), 1)</f>
        <v>41</v>
      </c>
      <c r="AZ32" s="12">
        <f>CEILING(Wyvern!$Z$4/ IF(Wyvern!$X$4&lt; 10.8, Table14[[#This Row],[STR]], Table14[[#This Row],[STR]] / (Wyvern!$X$4 / 10.8)), 1)</f>
        <v>49</v>
      </c>
      <c r="BA32" s="12">
        <f>CEILING('Evolved Wyvern'!$Z$4/ IF('Evolved Wyvern'!$X$4&lt; 10.8, Table14[[#This Row],[STR]], Table14[[#This Row],[STR]] / ('Evolved Wyvern'!$X$4 / 10.8)), 1)</f>
        <v>63</v>
      </c>
      <c r="BB32" s="12">
        <f>CEILING(Dragon!$Z$4/ IF(Dragon!$X$4&lt; 10.8, Table14[[#This Row],[STR]], Table14[[#This Row],[STR]] / (Dragon!$X$4 / 10.8)), 1)</f>
        <v>107</v>
      </c>
    </row>
    <row r="33" spans="1:54" x14ac:dyDescent="0.3">
      <c r="A33" s="1">
        <v>31</v>
      </c>
      <c r="B33" s="1">
        <f>$B$3 + ((Table14[[#This Row],[Level]] / 10) + $B$3 / 8) * Table14[[#This Row],[Level]] + Equipment!$O$26</f>
        <v>169.1</v>
      </c>
      <c r="C33" s="1">
        <f xml:space="preserve"> 2*Table14[[#This Row],[INT]]</f>
        <v>135</v>
      </c>
      <c r="D33" s="1">
        <f>$D$3 + ($D$3 / 4) * Table14[[#This Row],[Level]] + Equipment!$P$26</f>
        <v>70.5</v>
      </c>
      <c r="E33" s="1">
        <f>$E$3 + ($E$3 / 4) * Table14[[#This Row],[Level]] + Equipment!$Q$26</f>
        <v>82.25</v>
      </c>
      <c r="F33" s="1">
        <f>$F$3 + ($F$3 / 4) * Table14[[#This Row],[Level]] + Equipment!$R$26</f>
        <v>58.75</v>
      </c>
      <c r="G33" s="1">
        <f>$G$3 + ($G$3 / 4) * Table14[[#This Row],[Level]] + Equipment!$S$26</f>
        <v>67.5</v>
      </c>
      <c r="H33" s="1">
        <f>$H$3 + ($H$3 / 4) * Table14[[#This Row],[Level]] + Equipment!$T$26</f>
        <v>94</v>
      </c>
      <c r="I33" s="1">
        <f xml:space="preserve"> (4 * (Table14[[#This Row],[Level]] ^ 3))/7 + $I$3</f>
        <v>17123.428571428572</v>
      </c>
      <c r="K33" s="8">
        <f>CEILING('Blue Slime'!$B$5/ IF('Blue Slime'!$D$5&lt; 10.8, Table14[[#This Row],[STR]], Table14[[#This Row],[STR]] / ('Blue Slime'!$D$5 / 10.8)), 1)</f>
        <v>1</v>
      </c>
      <c r="L33" s="8">
        <f>CEILING('Green Slime'!$B$5/ IF('Green Slime'!$D$5&lt; 10.8, Table14[[#This Row],[STR]], Table14[[#This Row],[STR]] / ('Green Slime'!$D$5 / 10.8)), 1)</f>
        <v>1</v>
      </c>
      <c r="M33" s="8">
        <f>CEILING(Wolf!$B$6/ IF(Wolf!$D$6&lt; 10.8, Table14[[#This Row],[STR]], Table14[[#This Row],[STR]] / (Wolf!$D$6 / 10.8)), 1)</f>
        <v>2</v>
      </c>
      <c r="N33" s="8">
        <f>CEILING('Horned Wolf'!$B$5/ IF('Horned Wolf'!$D$5&lt; 10.8, Table14[[#This Row],[STR]], Table14[[#This Row],[STR]] / ('Horned Wolf'!$D$5 / 10.8)), 1)</f>
        <v>4</v>
      </c>
      <c r="O33" s="8">
        <f>CEILING(Spider!$B$7/ IF(Spider!$D$7&lt; 10.8, Table14[[#This Row],[STR]], Table14[[#This Row],[STR]] / (Spider!$D$7 / 10.8)), 1)</f>
        <v>4</v>
      </c>
      <c r="P33" s="8">
        <f>CEILING('Evolved Spider'!$B$8/ IF('Evolved Spider'!$D$8&lt; 10.8, Table14[[#This Row],[STR]], Table14[[#This Row],[STR]] / ('Evolved Spider'!$D$8 / 10.8)), 1)</f>
        <v>7</v>
      </c>
      <c r="Q33" s="8">
        <f>CEILING(Arachne!$B$4/ IF(Arachne!$D$4&lt; 10.8, Table14[[#This Row],[STR]], Table14[[#This Row],[STR]] / (Arachne!$D$4 / 10.8)), 1)</f>
        <v>9</v>
      </c>
      <c r="R33" s="12">
        <f>CEILING('Earth Elemental'!$B$6/ IF('Earth Elemental'!$D$6&lt; 10.8, Table14[[#This Row],[STR]], Table14[[#This Row],[STR]] / ('Earth Elemental'!$D$6 / 10.8)), 1)</f>
        <v>9</v>
      </c>
      <c r="S33" s="12">
        <f>CEILING('Wind Elemental'!$B$6/ IF('Wind Elemental'!$D$6&lt; 10.8, Table14[[#This Row],[STR]], Table14[[#This Row],[STR]] / ('Wind Elemental'!$D$6 / 10.8)), 1)</f>
        <v>8</v>
      </c>
      <c r="T33" s="12">
        <f>CEILING('Water Elemental'!$B$6/ IF('Water Elemental'!$D$6&lt; 10.8, Table14[[#This Row],[STR]], Table14[[#This Row],[STR]] / ('Water Elemental'!$D$6 / 10.8)), 1)</f>
        <v>12</v>
      </c>
      <c r="U33" s="12">
        <f>CEILING('Fire Elemental'!$B$4/ IF('Fire Elemental'!$D$4&lt; 10.8, Table14[[#This Row],[STR]], Table14[[#This Row],[STR]] / ('Fire Elemental'!$D$4 / 10.8)), 1)</f>
        <v>15</v>
      </c>
      <c r="V33" s="15">
        <f>CEILING(Wyvern!$B$4/ IF(Wyvern!$D$4&lt; 10.8, Table14[[#This Row],[STR]], Table14[[#This Row],[STR]] / (Wyvern!$D$4 / 10.8)), 1)</f>
        <v>20</v>
      </c>
      <c r="W33" s="15">
        <f>CEILING('Evolved Wyvern'!$B$4/ IF('Evolved Wyvern'!$D$4&lt; 10.8, Table14[[#This Row],[STR]], Table14[[#This Row],[STR]] / ('Evolved Wyvern'!$D$4 / 10.8)), 1)</f>
        <v>28</v>
      </c>
      <c r="X33" s="15">
        <f>CEILING(Dragon!$B$4/ IF(Dragon!$D$4&lt; 10.8, Table14[[#This Row],[STR]], Table14[[#This Row],[STR]] / (Dragon!$D$4 / 10.8)), 1)</f>
        <v>46</v>
      </c>
      <c r="Z33" s="8">
        <f>CEILING('Blue Slime'!$M$5/ IF('Blue Slime'!$O$5&lt; 10.8, Table14[[#This Row],[STR]], Table14[[#This Row],[STR]] / ('Blue Slime'!$O$5 / 10.8)), 1)</f>
        <v>1</v>
      </c>
      <c r="AA33" s="8">
        <f>CEILING('Green Slime'!$M$5/ IF('Green Slime'!$O$5&lt; 10.8, Table14[[#This Row],[STR]], Table14[[#This Row],[STR]] / ('Green Slime'!$O$5 / 10.8)), 1)</f>
        <v>1</v>
      </c>
      <c r="AB33" s="8">
        <f>CEILING(Wolf!$M$6/ IF(Wolf!$O$6&lt; 10.8, Table14[[#This Row],[STR]], Table14[[#This Row],[STR]] / (Wolf!$O$6 / 10.8)), 1)</f>
        <v>3</v>
      </c>
      <c r="AC33" s="8">
        <f>CEILING('Horned Wolf'!$M$5/ IF('Horned Wolf'!$O$5&lt; 10.8, Table14[[#This Row],[STR]], Table14[[#This Row],[STR]] / ('Horned Wolf'!$O$5 / 10.8)), 1)</f>
        <v>8</v>
      </c>
      <c r="AD33" s="8">
        <f>CEILING(Spider!$M$7/ IF(Spider!$O$7&lt; 10.8, Table14[[#This Row],[STR]], Table14[[#This Row],[STR]] / (Spider!$O$7 / 10.8)), 1)</f>
        <v>7</v>
      </c>
      <c r="AE33" s="8">
        <f>CEILING('Evolved Spider'!$M$8/ IF('Evolved Spider'!$O$8&lt; 10.8, Table14[[#This Row],[STR]], Table14[[#This Row],[STR]] / ('Evolved Spider'!$O$8 / 10.8)), 1)</f>
        <v>13</v>
      </c>
      <c r="AF33" s="8">
        <f>CEILING(Arachne!$M$4/ IF(Arachne!$O$4&lt; 10.8, Table14[[#This Row],[STR]], Table14[[#This Row],[STR]] / (Arachne!$O$4 / 10.8)), 1)</f>
        <v>17</v>
      </c>
      <c r="AG33" s="12">
        <f>CEILING('Earth Elemental'!$M$6/ IF('Earth Elemental'!$O$6&lt; 10.8, Table14[[#This Row],[STR]], Table14[[#This Row],[STR]] / ('Earth Elemental'!$O$6 / 10.8)), 1)</f>
        <v>15</v>
      </c>
      <c r="AH33" s="12">
        <f>CEILING('Wind Elemental'!$M$6/ IF('Wind Elemental'!$O$6&lt; 10.8, Table14[[#This Row],[STR]], Table14[[#This Row],[STR]] / ('Wind Elemental'!$O$6 / 10.8)), 1)</f>
        <v>13</v>
      </c>
      <c r="AI33" s="12">
        <f>CEILING('Water Elemental'!$M$6/ IF('Water Elemental'!$O$6&lt; 10.8, Table14[[#This Row],[STR]], Table14[[#This Row],[STR]] / ('Water Elemental'!$O$6 / 10.8)), 1)</f>
        <v>18</v>
      </c>
      <c r="AJ33" s="12">
        <f>CEILING('Fire Elemental'!$M$4/ IF('Fire Elemental'!$O$4&lt; 10.8, Table14[[#This Row],[STR]], Table14[[#This Row],[STR]] / ('Fire Elemental'!$O$4 / 10.8)), 1)</f>
        <v>26</v>
      </c>
      <c r="AK33" s="15">
        <f>CEILING(Wyvern!$M$4/ IF(Wyvern!$O$4&lt; 10.8, Table14[[#This Row],[STR]], Table14[[#This Row],[STR]] / (Wyvern!$O$4 / 10.8)), 1)</f>
        <v>33</v>
      </c>
      <c r="AL33" s="15">
        <f>CEILING('Evolved Wyvern'!$M$4/ IF('Evolved Wyvern'!$O$4&lt; 10.8, Table14[[#This Row],[STR]], Table14[[#This Row],[STR]] / ('Evolved Wyvern'!$O$4 / 10.8)), 1)</f>
        <v>44</v>
      </c>
      <c r="AM33" s="15">
        <f>CEILING(Dragon!$M$4/ IF(Dragon!$O$4&lt; 10.8, Table14[[#This Row],[STR]], Table14[[#This Row],[STR]] / (Dragon!$O$4 / 10.8)), 1)</f>
        <v>74</v>
      </c>
      <c r="AO33" s="8">
        <f>CEILING('Blue Slime'!$Z$5/ IF('Blue Slime'!$X$5&lt; 10.8, Table14[[#This Row],[STR]], Table14[[#This Row],[STR]] / ('Blue Slime'!$X$5 / 10.8)), 1)</f>
        <v>1</v>
      </c>
      <c r="AP33" s="8">
        <f>CEILING('Green Slime'!$Z$5/ IF('Green Slime'!$X$5&lt; 10.8, Table14[[#This Row],[STR]], Table14[[#This Row],[STR]] / ('Green Slime'!$X$5 / 10.8)), 1)</f>
        <v>2</v>
      </c>
      <c r="AQ33" s="8">
        <f>CEILING(Wolf!$Z$6/ IF(Wolf!$X$6&lt; 10.8, Table14[[#This Row],[STR]], Table14[[#This Row],[STR]] / (Wolf!$X$6 / 10.8)), 1)</f>
        <v>5</v>
      </c>
      <c r="AR33" s="8">
        <f>CEILING('Horned Wolf'!$Z$5/ IF('Horned Wolf'!$X$5&lt; 10.8, Table14[[#This Row],[STR]], Table14[[#This Row],[STR]] / ('Horned Wolf'!$X$5 / 10.8)), 1)</f>
        <v>13</v>
      </c>
      <c r="AS33" s="8">
        <f>CEILING(Spider!$Z$7/ IF(Spider!$X$7&lt; 10.8, Table14[[#This Row],[STR]], Table14[[#This Row],[STR]] / (Spider!$X$7 / 10.8)), 1)</f>
        <v>12</v>
      </c>
      <c r="AT33" s="8">
        <f>CEILING('Evolved Spider'!$Z$8/ IF('Evolved Spider'!$X$8&lt; 10.8, Table14[[#This Row],[STR]], Table14[[#This Row],[STR]] / ('Evolved Spider'!$X$8 / 10.8)), 1)</f>
        <v>20</v>
      </c>
      <c r="AU33" s="8">
        <f>CEILING(Arachne!$Z$4/ IF(Arachne!$X$4&lt; 10.8, Table14[[#This Row],[STR]], Table14[[#This Row],[STR]] / (Arachne!$X$4 / 10.8)), 1)</f>
        <v>28</v>
      </c>
      <c r="AV33" s="12">
        <f>CEILING('Earth Elemental'!$Z$6/ IF('Earth Elemental'!$X$6&lt; 10.8, Table14[[#This Row],[STR]], Table14[[#This Row],[STR]] / ('Earth Elemental'!$X$6 / 10.8)), 1)</f>
        <v>23</v>
      </c>
      <c r="AW33" s="12">
        <f>CEILING('Wind Elemental'!$Z$6/ IF('Wind Elemental'!$X$6&lt; 10.8, Table14[[#This Row],[STR]], Table14[[#This Row],[STR]] / ('Wind Elemental'!$X$6 / 10.8)), 1)</f>
        <v>18</v>
      </c>
      <c r="AX33" s="12">
        <f>CEILING('Water Elemental'!$Z$6/ IF('Water Elemental'!$X$6&lt; 10.8, Table14[[#This Row],[STR]], Table14[[#This Row],[STR]] / ('Water Elemental'!$X$6 / 10.8)), 1)</f>
        <v>25</v>
      </c>
      <c r="AY33" s="12">
        <f>CEILING('Fire Elemental'!$Z$4/ IF('Fire Elemental'!$X$4&lt; 10.8, Table14[[#This Row],[STR]], Table14[[#This Row],[STR]] / ('Fire Elemental'!$X$4 / 10.8)), 1)</f>
        <v>40</v>
      </c>
      <c r="AZ33" s="15">
        <f>CEILING(Wyvern!$Z$4/ IF(Wyvern!$X$4&lt; 10.8, Table14[[#This Row],[STR]], Table14[[#This Row],[STR]] / (Wyvern!$X$4 / 10.8)), 1)</f>
        <v>48</v>
      </c>
      <c r="BA33" s="15">
        <f>CEILING('Evolved Wyvern'!$Z$4/ IF('Evolved Wyvern'!$X$4&lt; 10.8, Table14[[#This Row],[STR]], Table14[[#This Row],[STR]] / ('Evolved Wyvern'!$X$4 / 10.8)), 1)</f>
        <v>62</v>
      </c>
      <c r="BB33" s="15">
        <f>CEILING(Dragon!$Z$4/ IF(Dragon!$X$4&lt; 10.8, Table14[[#This Row],[STR]], Table14[[#This Row],[STR]] / (Dragon!$X$4 / 10.8)), 1)</f>
        <v>104</v>
      </c>
    </row>
    <row r="34" spans="1:54" x14ac:dyDescent="0.3">
      <c r="A34" s="1">
        <v>32</v>
      </c>
      <c r="B34" s="1">
        <f>$B$3 + ((Table14[[#This Row],[Level]] / 10) + $B$3 / 8) * Table14[[#This Row],[Level]] + Equipment!$O$26</f>
        <v>176.4</v>
      </c>
      <c r="C34" s="1">
        <f xml:space="preserve"> 2*Table14[[#This Row],[INT]]</f>
        <v>138</v>
      </c>
      <c r="D34" s="1">
        <f>$D$3 + ($D$3 / 4) * Table14[[#This Row],[Level]] + Equipment!$P$26</f>
        <v>72</v>
      </c>
      <c r="E34" s="1">
        <f>$E$3 + ($E$3 / 4) * Table14[[#This Row],[Level]] + Equipment!$Q$26</f>
        <v>84</v>
      </c>
      <c r="F34" s="1">
        <f>$F$3 + ($F$3 / 4) * Table14[[#This Row],[Level]] + Equipment!$R$26</f>
        <v>60</v>
      </c>
      <c r="G34" s="1">
        <f>$G$3 + ($G$3 / 4) * Table14[[#This Row],[Level]] + Equipment!$S$26</f>
        <v>69</v>
      </c>
      <c r="H34" s="1">
        <f>$H$3 + ($H$3 / 4) * Table14[[#This Row],[Level]] + Equipment!$T$26</f>
        <v>96</v>
      </c>
      <c r="I34" s="1">
        <f xml:space="preserve"> (4 * (Table14[[#This Row],[Level]] ^ 3))/7 + $I$3</f>
        <v>18824.571428571428</v>
      </c>
      <c r="K34" s="8">
        <f>CEILING('Blue Slime'!$B$5/ IF('Blue Slime'!$D$5&lt; 10.8, Table14[[#This Row],[STR]], Table14[[#This Row],[STR]] / ('Blue Slime'!$D$5 / 10.8)), 1)</f>
        <v>1</v>
      </c>
      <c r="L34" s="8">
        <f>CEILING('Green Slime'!$B$5/ IF('Green Slime'!$D$5&lt; 10.8, Table14[[#This Row],[STR]], Table14[[#This Row],[STR]] / ('Green Slime'!$D$5 / 10.8)), 1)</f>
        <v>1</v>
      </c>
      <c r="M34" s="8">
        <f>CEILING(Wolf!$B$6/ IF(Wolf!$D$6&lt; 10.8, Table14[[#This Row],[STR]], Table14[[#This Row],[STR]] / (Wolf!$D$6 / 10.8)), 1)</f>
        <v>2</v>
      </c>
      <c r="N34" s="8">
        <f>CEILING('Horned Wolf'!$B$5/ IF('Horned Wolf'!$D$5&lt; 10.8, Table14[[#This Row],[STR]], Table14[[#This Row],[STR]] / ('Horned Wolf'!$D$5 / 10.8)), 1)</f>
        <v>4</v>
      </c>
      <c r="O34" s="8">
        <f>CEILING(Spider!$B$7/ IF(Spider!$D$7&lt; 10.8, Table14[[#This Row],[STR]], Table14[[#This Row],[STR]] / (Spider!$D$7 / 10.8)), 1)</f>
        <v>4</v>
      </c>
      <c r="P34" s="8">
        <f>CEILING('Evolved Spider'!$B$8/ IF('Evolved Spider'!$D$8&lt; 10.8, Table14[[#This Row],[STR]], Table14[[#This Row],[STR]] / ('Evolved Spider'!$D$8 / 10.8)), 1)</f>
        <v>7</v>
      </c>
      <c r="Q34" s="8">
        <f>CEILING(Arachne!$B$4/ IF(Arachne!$D$4&lt; 10.8, Table14[[#This Row],[STR]], Table14[[#This Row],[STR]] / (Arachne!$D$4 / 10.8)), 1)</f>
        <v>9</v>
      </c>
      <c r="R34" s="12">
        <f>CEILING('Earth Elemental'!$B$6/ IF('Earth Elemental'!$D$6&lt; 10.8, Table14[[#This Row],[STR]], Table14[[#This Row],[STR]] / ('Earth Elemental'!$D$6 / 10.8)), 1)</f>
        <v>9</v>
      </c>
      <c r="S34" s="12">
        <f>CEILING('Wind Elemental'!$B$6/ IF('Wind Elemental'!$D$6&lt; 10.8, Table14[[#This Row],[STR]], Table14[[#This Row],[STR]] / ('Wind Elemental'!$D$6 / 10.8)), 1)</f>
        <v>8</v>
      </c>
      <c r="T34" s="12">
        <f>CEILING('Water Elemental'!$B$6/ IF('Water Elemental'!$D$6&lt; 10.8, Table14[[#This Row],[STR]], Table14[[#This Row],[STR]] / ('Water Elemental'!$D$6 / 10.8)), 1)</f>
        <v>12</v>
      </c>
      <c r="U34" s="12">
        <f>CEILING('Fire Elemental'!$B$4/ IF('Fire Elemental'!$D$4&lt; 10.8, Table14[[#This Row],[STR]], Table14[[#This Row],[STR]] / ('Fire Elemental'!$D$4 / 10.8)), 1)</f>
        <v>15</v>
      </c>
      <c r="V34" s="15">
        <f>CEILING(Wyvern!$B$4/ IF(Wyvern!$D$4&lt; 10.8, Table14[[#This Row],[STR]], Table14[[#This Row],[STR]] / (Wyvern!$D$4 / 10.8)), 1)</f>
        <v>20</v>
      </c>
      <c r="W34" s="15">
        <f>CEILING('Evolved Wyvern'!$B$4/ IF('Evolved Wyvern'!$D$4&lt; 10.8, Table14[[#This Row],[STR]], Table14[[#This Row],[STR]] / ('Evolved Wyvern'!$D$4 / 10.8)), 1)</f>
        <v>28</v>
      </c>
      <c r="X34" s="15">
        <f>CEILING(Dragon!$B$4/ IF(Dragon!$D$4&lt; 10.8, Table14[[#This Row],[STR]], Table14[[#This Row],[STR]] / (Dragon!$D$4 / 10.8)), 1)</f>
        <v>45</v>
      </c>
      <c r="Z34" s="8">
        <f>CEILING('Blue Slime'!$M$5/ IF('Blue Slime'!$O$5&lt; 10.8, Table14[[#This Row],[STR]], Table14[[#This Row],[STR]] / ('Blue Slime'!$O$5 / 10.8)), 1)</f>
        <v>1</v>
      </c>
      <c r="AA34" s="8">
        <f>CEILING('Green Slime'!$M$5/ IF('Green Slime'!$O$5&lt; 10.8, Table14[[#This Row],[STR]], Table14[[#This Row],[STR]] / ('Green Slime'!$O$5 / 10.8)), 1)</f>
        <v>1</v>
      </c>
      <c r="AB34" s="8">
        <f>CEILING(Wolf!$M$6/ IF(Wolf!$O$6&lt; 10.8, Table14[[#This Row],[STR]], Table14[[#This Row],[STR]] / (Wolf!$O$6 / 10.8)), 1)</f>
        <v>3</v>
      </c>
      <c r="AC34" s="8">
        <f>CEILING('Horned Wolf'!$M$5/ IF('Horned Wolf'!$O$5&lt; 10.8, Table14[[#This Row],[STR]], Table14[[#This Row],[STR]] / ('Horned Wolf'!$O$5 / 10.8)), 1)</f>
        <v>8</v>
      </c>
      <c r="AD34" s="8">
        <f>CEILING(Spider!$M$7/ IF(Spider!$O$7&lt; 10.8, Table14[[#This Row],[STR]], Table14[[#This Row],[STR]] / (Spider!$O$7 / 10.8)), 1)</f>
        <v>7</v>
      </c>
      <c r="AE34" s="8">
        <f>CEILING('Evolved Spider'!$M$8/ IF('Evolved Spider'!$O$8&lt; 10.8, Table14[[#This Row],[STR]], Table14[[#This Row],[STR]] / ('Evolved Spider'!$O$8 / 10.8)), 1)</f>
        <v>12</v>
      </c>
      <c r="AF34" s="8">
        <f>CEILING(Arachne!$M$4/ IF(Arachne!$O$4&lt; 10.8, Table14[[#This Row],[STR]], Table14[[#This Row],[STR]] / (Arachne!$O$4 / 10.8)), 1)</f>
        <v>17</v>
      </c>
      <c r="AG34" s="12">
        <f>CEILING('Earth Elemental'!$M$6/ IF('Earth Elemental'!$O$6&lt; 10.8, Table14[[#This Row],[STR]], Table14[[#This Row],[STR]] / ('Earth Elemental'!$O$6 / 10.8)), 1)</f>
        <v>15</v>
      </c>
      <c r="AH34" s="12">
        <f>CEILING('Wind Elemental'!$M$6/ IF('Wind Elemental'!$O$6&lt; 10.8, Table14[[#This Row],[STR]], Table14[[#This Row],[STR]] / ('Wind Elemental'!$O$6 / 10.8)), 1)</f>
        <v>13</v>
      </c>
      <c r="AI34" s="12">
        <f>CEILING('Water Elemental'!$M$6/ IF('Water Elemental'!$O$6&lt; 10.8, Table14[[#This Row],[STR]], Table14[[#This Row],[STR]] / ('Water Elemental'!$O$6 / 10.8)), 1)</f>
        <v>18</v>
      </c>
      <c r="AJ34" s="12">
        <f>CEILING('Fire Elemental'!$M$4/ IF('Fire Elemental'!$O$4&lt; 10.8, Table14[[#This Row],[STR]], Table14[[#This Row],[STR]] / ('Fire Elemental'!$O$4 / 10.8)), 1)</f>
        <v>26</v>
      </c>
      <c r="AK34" s="15">
        <f>CEILING(Wyvern!$M$4/ IF(Wyvern!$O$4&lt; 10.8, Table14[[#This Row],[STR]], Table14[[#This Row],[STR]] / (Wyvern!$O$4 / 10.8)), 1)</f>
        <v>33</v>
      </c>
      <c r="AL34" s="15">
        <f>CEILING('Evolved Wyvern'!$M$4/ IF('Evolved Wyvern'!$O$4&lt; 10.8, Table14[[#This Row],[STR]], Table14[[#This Row],[STR]] / ('Evolved Wyvern'!$O$4 / 10.8)), 1)</f>
        <v>43</v>
      </c>
      <c r="AM34" s="15">
        <f>CEILING(Dragon!$M$4/ IF(Dragon!$O$4&lt; 10.8, Table14[[#This Row],[STR]], Table14[[#This Row],[STR]] / (Dragon!$O$4 / 10.8)), 1)</f>
        <v>72</v>
      </c>
      <c r="AO34" s="8">
        <f>CEILING('Blue Slime'!$Z$5/ IF('Blue Slime'!$X$5&lt; 10.8, Table14[[#This Row],[STR]], Table14[[#This Row],[STR]] / ('Blue Slime'!$X$5 / 10.8)), 1)</f>
        <v>1</v>
      </c>
      <c r="AP34" s="8">
        <f>CEILING('Green Slime'!$Z$5/ IF('Green Slime'!$X$5&lt; 10.8, Table14[[#This Row],[STR]], Table14[[#This Row],[STR]] / ('Green Slime'!$X$5 / 10.8)), 1)</f>
        <v>2</v>
      </c>
      <c r="AQ34" s="8">
        <f>CEILING(Wolf!$Z$6/ IF(Wolf!$X$6&lt; 10.8, Table14[[#This Row],[STR]], Table14[[#This Row],[STR]] / (Wolf!$X$6 / 10.8)), 1)</f>
        <v>5</v>
      </c>
      <c r="AR34" s="8">
        <f>CEILING('Horned Wolf'!$Z$5/ IF('Horned Wolf'!$X$5&lt; 10.8, Table14[[#This Row],[STR]], Table14[[#This Row],[STR]] / ('Horned Wolf'!$X$5 / 10.8)), 1)</f>
        <v>13</v>
      </c>
      <c r="AS34" s="8">
        <f>CEILING(Spider!$Z$7/ IF(Spider!$X$7&lt; 10.8, Table14[[#This Row],[STR]], Table14[[#This Row],[STR]] / (Spider!$X$7 / 10.8)), 1)</f>
        <v>11</v>
      </c>
      <c r="AT34" s="8">
        <f>CEILING('Evolved Spider'!$Z$8/ IF('Evolved Spider'!$X$8&lt; 10.8, Table14[[#This Row],[STR]], Table14[[#This Row],[STR]] / ('Evolved Spider'!$X$8 / 10.8)), 1)</f>
        <v>20</v>
      </c>
      <c r="AU34" s="8">
        <f>CEILING(Arachne!$Z$4/ IF(Arachne!$X$4&lt; 10.8, Table14[[#This Row],[STR]], Table14[[#This Row],[STR]] / (Arachne!$X$4 / 10.8)), 1)</f>
        <v>27</v>
      </c>
      <c r="AV34" s="12">
        <f>CEILING('Earth Elemental'!$Z$6/ IF('Earth Elemental'!$X$6&lt; 10.8, Table14[[#This Row],[STR]], Table14[[#This Row],[STR]] / ('Earth Elemental'!$X$6 / 10.8)), 1)</f>
        <v>23</v>
      </c>
      <c r="AW34" s="12">
        <f>CEILING('Wind Elemental'!$Z$6/ IF('Wind Elemental'!$X$6&lt; 10.8, Table14[[#This Row],[STR]], Table14[[#This Row],[STR]] / ('Wind Elemental'!$X$6 / 10.8)), 1)</f>
        <v>18</v>
      </c>
      <c r="AX34" s="12">
        <f>CEILING('Water Elemental'!$Z$6/ IF('Water Elemental'!$X$6&lt; 10.8, Table14[[#This Row],[STR]], Table14[[#This Row],[STR]] / ('Water Elemental'!$X$6 / 10.8)), 1)</f>
        <v>24</v>
      </c>
      <c r="AY34" s="12">
        <f>CEILING('Fire Elemental'!$Z$4/ IF('Fire Elemental'!$X$4&lt; 10.8, Table14[[#This Row],[STR]], Table14[[#This Row],[STR]] / ('Fire Elemental'!$X$4 / 10.8)), 1)</f>
        <v>39</v>
      </c>
      <c r="AZ34" s="15">
        <f>CEILING(Wyvern!$Z$4/ IF(Wyvern!$X$4&lt; 10.8, Table14[[#This Row],[STR]], Table14[[#This Row],[STR]] / (Wyvern!$X$4 / 10.8)), 1)</f>
        <v>47</v>
      </c>
      <c r="BA34" s="15">
        <f>CEILING('Evolved Wyvern'!$Z$4/ IF('Evolved Wyvern'!$X$4&lt; 10.8, Table14[[#This Row],[STR]], Table14[[#This Row],[STR]] / ('Evolved Wyvern'!$X$4 / 10.8)), 1)</f>
        <v>61</v>
      </c>
      <c r="BB34" s="15">
        <f>CEILING(Dragon!$Z$4/ IF(Dragon!$X$4&lt; 10.8, Table14[[#This Row],[STR]], Table14[[#This Row],[STR]] / (Dragon!$X$4 / 10.8)), 1)</f>
        <v>102</v>
      </c>
    </row>
    <row r="35" spans="1:54" x14ac:dyDescent="0.3">
      <c r="A35" s="1">
        <v>33</v>
      </c>
      <c r="B35" s="1">
        <f>$B$3 + ((Table14[[#This Row],[Level]] / 10) + $B$3 / 8) * Table14[[#This Row],[Level]] + Equipment!$O$26</f>
        <v>183.9</v>
      </c>
      <c r="C35" s="1">
        <f xml:space="preserve"> 2*Table14[[#This Row],[INT]]</f>
        <v>141</v>
      </c>
      <c r="D35" s="1">
        <f>$D$3 + ($D$3 / 4) * Table14[[#This Row],[Level]] + Equipment!$P$26</f>
        <v>73.5</v>
      </c>
      <c r="E35" s="1">
        <f>$E$3 + ($E$3 / 4) * Table14[[#This Row],[Level]] + Equipment!$Q$26</f>
        <v>85.75</v>
      </c>
      <c r="F35" s="1">
        <f>$F$3 + ($F$3 / 4) * Table14[[#This Row],[Level]] + Equipment!$R$26</f>
        <v>61.25</v>
      </c>
      <c r="G35" s="1">
        <f>$G$3 + ($G$3 / 4) * Table14[[#This Row],[Level]] + Equipment!$S$26</f>
        <v>70.5</v>
      </c>
      <c r="H35" s="1">
        <f>$H$3 + ($H$3 / 4) * Table14[[#This Row],[Level]] + Equipment!$T$26</f>
        <v>98</v>
      </c>
      <c r="I35" s="1">
        <f xml:space="preserve"> (4 * (Table14[[#This Row],[Level]] ^ 3))/7 + $I$3</f>
        <v>20635.428571428572</v>
      </c>
      <c r="K35" s="8">
        <f>CEILING('Blue Slime'!$B$5/ IF('Blue Slime'!$D$5&lt; 10.8, Table14[[#This Row],[STR]], Table14[[#This Row],[STR]] / ('Blue Slime'!$D$5 / 10.8)), 1)</f>
        <v>1</v>
      </c>
      <c r="L35" s="8">
        <f>CEILING('Green Slime'!$B$5/ IF('Green Slime'!$D$5&lt; 10.8, Table14[[#This Row],[STR]], Table14[[#This Row],[STR]] / ('Green Slime'!$D$5 / 10.8)), 1)</f>
        <v>1</v>
      </c>
      <c r="M35" s="8">
        <f>CEILING(Wolf!$B$6/ IF(Wolf!$D$6&lt; 10.8, Table14[[#This Row],[STR]], Table14[[#This Row],[STR]] / (Wolf!$D$6 / 10.8)), 1)</f>
        <v>2</v>
      </c>
      <c r="N35" s="8">
        <f>CEILING('Horned Wolf'!$B$5/ IF('Horned Wolf'!$D$5&lt; 10.8, Table14[[#This Row],[STR]], Table14[[#This Row],[STR]] / ('Horned Wolf'!$D$5 / 10.8)), 1)</f>
        <v>4</v>
      </c>
      <c r="O35" s="8">
        <f>CEILING(Spider!$B$7/ IF(Spider!$D$7&lt; 10.8, Table14[[#This Row],[STR]], Table14[[#This Row],[STR]] / (Spider!$D$7 / 10.8)), 1)</f>
        <v>4</v>
      </c>
      <c r="P35" s="8">
        <f>CEILING('Evolved Spider'!$B$8/ IF('Evolved Spider'!$D$8&lt; 10.8, Table14[[#This Row],[STR]], Table14[[#This Row],[STR]] / ('Evolved Spider'!$D$8 / 10.8)), 1)</f>
        <v>7</v>
      </c>
      <c r="Q35" s="8">
        <f>CEILING(Arachne!$B$4/ IF(Arachne!$D$4&lt; 10.8, Table14[[#This Row],[STR]], Table14[[#This Row],[STR]] / (Arachne!$D$4 / 10.8)), 1)</f>
        <v>8</v>
      </c>
      <c r="R35" s="12">
        <f>CEILING('Earth Elemental'!$B$6/ IF('Earth Elemental'!$D$6&lt; 10.8, Table14[[#This Row],[STR]], Table14[[#This Row],[STR]] / ('Earth Elemental'!$D$6 / 10.8)), 1)</f>
        <v>9</v>
      </c>
      <c r="S35" s="12">
        <f>CEILING('Wind Elemental'!$B$6/ IF('Wind Elemental'!$D$6&lt; 10.8, Table14[[#This Row],[STR]], Table14[[#This Row],[STR]] / ('Wind Elemental'!$D$6 / 10.8)), 1)</f>
        <v>8</v>
      </c>
      <c r="T35" s="12">
        <f>CEILING('Water Elemental'!$B$6/ IF('Water Elemental'!$D$6&lt; 10.8, Table14[[#This Row],[STR]], Table14[[#This Row],[STR]] / ('Water Elemental'!$D$6 / 10.8)), 1)</f>
        <v>12</v>
      </c>
      <c r="U35" s="12">
        <f>CEILING('Fire Elemental'!$B$4/ IF('Fire Elemental'!$D$4&lt; 10.8, Table14[[#This Row],[STR]], Table14[[#This Row],[STR]] / ('Fire Elemental'!$D$4 / 10.8)), 1)</f>
        <v>15</v>
      </c>
      <c r="V35" s="15">
        <f>CEILING(Wyvern!$B$4/ IF(Wyvern!$D$4&lt; 10.8, Table14[[#This Row],[STR]], Table14[[#This Row],[STR]] / (Wyvern!$D$4 / 10.8)), 1)</f>
        <v>20</v>
      </c>
      <c r="W35" s="15">
        <f>CEILING('Evolved Wyvern'!$B$4/ IF('Evolved Wyvern'!$D$4&lt; 10.8, Table14[[#This Row],[STR]], Table14[[#This Row],[STR]] / ('Evolved Wyvern'!$D$4 / 10.8)), 1)</f>
        <v>27</v>
      </c>
      <c r="X35" s="15">
        <f>CEILING(Dragon!$B$4/ IF(Dragon!$D$4&lt; 10.8, Table14[[#This Row],[STR]], Table14[[#This Row],[STR]] / (Dragon!$D$4 / 10.8)), 1)</f>
        <v>44</v>
      </c>
      <c r="Z35" s="8">
        <f>CEILING('Blue Slime'!$M$5/ IF('Blue Slime'!$O$5&lt; 10.8, Table14[[#This Row],[STR]], Table14[[#This Row],[STR]] / ('Blue Slime'!$O$5 / 10.8)), 1)</f>
        <v>1</v>
      </c>
      <c r="AA35" s="8">
        <f>CEILING('Green Slime'!$M$5/ IF('Green Slime'!$O$5&lt; 10.8, Table14[[#This Row],[STR]], Table14[[#This Row],[STR]] / ('Green Slime'!$O$5 / 10.8)), 1)</f>
        <v>1</v>
      </c>
      <c r="AB35" s="8">
        <f>CEILING(Wolf!$M$6/ IF(Wolf!$O$6&lt; 10.8, Table14[[#This Row],[STR]], Table14[[#This Row],[STR]] / (Wolf!$O$6 / 10.8)), 1)</f>
        <v>3</v>
      </c>
      <c r="AC35" s="8">
        <f>CEILING('Horned Wolf'!$M$5/ IF('Horned Wolf'!$O$5&lt; 10.8, Table14[[#This Row],[STR]], Table14[[#This Row],[STR]] / ('Horned Wolf'!$O$5 / 10.8)), 1)</f>
        <v>7</v>
      </c>
      <c r="AD35" s="8">
        <f>CEILING(Spider!$M$7/ IF(Spider!$O$7&lt; 10.8, Table14[[#This Row],[STR]], Table14[[#This Row],[STR]] / (Spider!$O$7 / 10.8)), 1)</f>
        <v>7</v>
      </c>
      <c r="AE35" s="8">
        <f>CEILING('Evolved Spider'!$M$8/ IF('Evolved Spider'!$O$8&lt; 10.8, Table14[[#This Row],[STR]], Table14[[#This Row],[STR]] / ('Evolved Spider'!$O$8 / 10.8)), 1)</f>
        <v>12</v>
      </c>
      <c r="AF35" s="8">
        <f>CEILING(Arachne!$M$4/ IF(Arachne!$O$4&lt; 10.8, Table14[[#This Row],[STR]], Table14[[#This Row],[STR]] / (Arachne!$O$4 / 10.8)), 1)</f>
        <v>16</v>
      </c>
      <c r="AG35" s="12">
        <f>CEILING('Earth Elemental'!$M$6/ IF('Earth Elemental'!$O$6&lt; 10.8, Table14[[#This Row],[STR]], Table14[[#This Row],[STR]] / ('Earth Elemental'!$O$6 / 10.8)), 1)</f>
        <v>15</v>
      </c>
      <c r="AH35" s="12">
        <f>CEILING('Wind Elemental'!$M$6/ IF('Wind Elemental'!$O$6&lt; 10.8, Table14[[#This Row],[STR]], Table14[[#This Row],[STR]] / ('Wind Elemental'!$O$6 / 10.8)), 1)</f>
        <v>12</v>
      </c>
      <c r="AI35" s="12">
        <f>CEILING('Water Elemental'!$M$6/ IF('Water Elemental'!$O$6&lt; 10.8, Table14[[#This Row],[STR]], Table14[[#This Row],[STR]] / ('Water Elemental'!$O$6 / 10.8)), 1)</f>
        <v>18</v>
      </c>
      <c r="AJ35" s="12">
        <f>CEILING('Fire Elemental'!$M$4/ IF('Fire Elemental'!$O$4&lt; 10.8, Table14[[#This Row],[STR]], Table14[[#This Row],[STR]] / ('Fire Elemental'!$O$4 / 10.8)), 1)</f>
        <v>25</v>
      </c>
      <c r="AK35" s="15">
        <f>CEILING(Wyvern!$M$4/ IF(Wyvern!$O$4&lt; 10.8, Table14[[#This Row],[STR]], Table14[[#This Row],[STR]] / (Wyvern!$O$4 / 10.8)), 1)</f>
        <v>32</v>
      </c>
      <c r="AL35" s="15">
        <f>CEILING('Evolved Wyvern'!$M$4/ IF('Evolved Wyvern'!$O$4&lt; 10.8, Table14[[#This Row],[STR]], Table14[[#This Row],[STR]] / ('Evolved Wyvern'!$O$4 / 10.8)), 1)</f>
        <v>42</v>
      </c>
      <c r="AM35" s="15">
        <f>CEILING(Dragon!$M$4/ IF(Dragon!$O$4&lt; 10.8, Table14[[#This Row],[STR]], Table14[[#This Row],[STR]] / (Dragon!$O$4 / 10.8)), 1)</f>
        <v>71</v>
      </c>
      <c r="AO35" s="8">
        <f>CEILING('Blue Slime'!$Z$5/ IF('Blue Slime'!$X$5&lt; 10.8, Table14[[#This Row],[STR]], Table14[[#This Row],[STR]] / ('Blue Slime'!$X$5 / 10.8)), 1)</f>
        <v>1</v>
      </c>
      <c r="AP35" s="8">
        <f>CEILING('Green Slime'!$Z$5/ IF('Green Slime'!$X$5&lt; 10.8, Table14[[#This Row],[STR]], Table14[[#This Row],[STR]] / ('Green Slime'!$X$5 / 10.8)), 1)</f>
        <v>2</v>
      </c>
      <c r="AQ35" s="8">
        <f>CEILING(Wolf!$Z$6/ IF(Wolf!$X$6&lt; 10.8, Table14[[#This Row],[STR]], Table14[[#This Row],[STR]] / (Wolf!$X$6 / 10.8)), 1)</f>
        <v>5</v>
      </c>
      <c r="AR35" s="8">
        <f>CEILING('Horned Wolf'!$Z$5/ IF('Horned Wolf'!$X$5&lt; 10.8, Table14[[#This Row],[STR]], Table14[[#This Row],[STR]] / ('Horned Wolf'!$X$5 / 10.8)), 1)</f>
        <v>13</v>
      </c>
      <c r="AS35" s="8">
        <f>CEILING(Spider!$Z$7/ IF(Spider!$X$7&lt; 10.8, Table14[[#This Row],[STR]], Table14[[#This Row],[STR]] / (Spider!$X$7 / 10.8)), 1)</f>
        <v>11</v>
      </c>
      <c r="AT35" s="8">
        <f>CEILING('Evolved Spider'!$Z$8/ IF('Evolved Spider'!$X$8&lt; 10.8, Table14[[#This Row],[STR]], Table14[[#This Row],[STR]] / ('Evolved Spider'!$X$8 / 10.8)), 1)</f>
        <v>20</v>
      </c>
      <c r="AU35" s="8">
        <f>CEILING(Arachne!$Z$4/ IF(Arachne!$X$4&lt; 10.8, Table14[[#This Row],[STR]], Table14[[#This Row],[STR]] / (Arachne!$X$4 / 10.8)), 1)</f>
        <v>27</v>
      </c>
      <c r="AV35" s="12">
        <f>CEILING('Earth Elemental'!$Z$6/ IF('Earth Elemental'!$X$6&lt; 10.8, Table14[[#This Row],[STR]], Table14[[#This Row],[STR]] / ('Earth Elemental'!$X$6 / 10.8)), 1)</f>
        <v>22</v>
      </c>
      <c r="AW35" s="12">
        <f>CEILING('Wind Elemental'!$Z$6/ IF('Wind Elemental'!$X$6&lt; 10.8, Table14[[#This Row],[STR]], Table14[[#This Row],[STR]] / ('Wind Elemental'!$X$6 / 10.8)), 1)</f>
        <v>17</v>
      </c>
      <c r="AX35" s="12">
        <f>CEILING('Water Elemental'!$Z$6/ IF('Water Elemental'!$X$6&lt; 10.8, Table14[[#This Row],[STR]], Table14[[#This Row],[STR]] / ('Water Elemental'!$X$6 / 10.8)), 1)</f>
        <v>24</v>
      </c>
      <c r="AY35" s="12">
        <f>CEILING('Fire Elemental'!$Z$4/ IF('Fire Elemental'!$X$4&lt; 10.8, Table14[[#This Row],[STR]], Table14[[#This Row],[STR]] / ('Fire Elemental'!$X$4 / 10.8)), 1)</f>
        <v>39</v>
      </c>
      <c r="AZ35" s="15">
        <f>CEILING(Wyvern!$Z$4/ IF(Wyvern!$X$4&lt; 10.8, Table14[[#This Row],[STR]], Table14[[#This Row],[STR]] / (Wyvern!$X$4 / 10.8)), 1)</f>
        <v>46</v>
      </c>
      <c r="BA35" s="15">
        <f>CEILING('Evolved Wyvern'!$Z$4/ IF('Evolved Wyvern'!$X$4&lt; 10.8, Table14[[#This Row],[STR]], Table14[[#This Row],[STR]] / ('Evolved Wyvern'!$X$4 / 10.8)), 1)</f>
        <v>59</v>
      </c>
      <c r="BB35" s="15">
        <f>CEILING(Dragon!$Z$4/ IF(Dragon!$X$4&lt; 10.8, Table14[[#This Row],[STR]], Table14[[#This Row],[STR]] / (Dragon!$X$4 / 10.8)), 1)</f>
        <v>100</v>
      </c>
    </row>
    <row r="36" spans="1:54" x14ac:dyDescent="0.3">
      <c r="A36" s="30">
        <v>34</v>
      </c>
      <c r="B36" s="30">
        <f>$B$3 + ((Table14[[#This Row],[Level]] / 10) + $B$3 / 8) * Table14[[#This Row],[Level]] + Equipment!$O$26</f>
        <v>191.60000000000002</v>
      </c>
      <c r="C36" s="30">
        <f xml:space="preserve"> 2*Table14[[#This Row],[INT]]</f>
        <v>144</v>
      </c>
      <c r="D36" s="30">
        <f>$D$3 + ($D$3 / 4) * Table14[[#This Row],[Level]] + Equipment!$P$26</f>
        <v>75</v>
      </c>
      <c r="E36" s="30">
        <f>$E$3 + ($E$3 / 4) * Table14[[#This Row],[Level]] + Equipment!$Q$26</f>
        <v>87.5</v>
      </c>
      <c r="F36" s="30">
        <f>$F$3 + ($F$3 / 4) * Table14[[#This Row],[Level]] + Equipment!$R$26</f>
        <v>62.5</v>
      </c>
      <c r="G36" s="30">
        <f>$G$3 + ($G$3 / 4) * Table14[[#This Row],[Level]] + Equipment!$S$26</f>
        <v>72</v>
      </c>
      <c r="H36" s="30">
        <f>$H$3 + ($H$3 / 4) * Table14[[#This Row],[Level]] + Equipment!$T$26</f>
        <v>100</v>
      </c>
      <c r="I36" s="30">
        <f xml:space="preserve"> (4 * (Table14[[#This Row],[Level]] ^ 3))/7 + $I$3</f>
        <v>22559.428571428572</v>
      </c>
      <c r="K36" s="8">
        <f>CEILING('Blue Slime'!$B$5/ IF('Blue Slime'!$D$5&lt; 10.8, Table14[[#This Row],[STR]], Table14[[#This Row],[STR]] / ('Blue Slime'!$D$5 / 10.8)), 1)</f>
        <v>1</v>
      </c>
      <c r="L36" s="8">
        <f>CEILING('Green Slime'!$B$5/ IF('Green Slime'!$D$5&lt; 10.8, Table14[[#This Row],[STR]], Table14[[#This Row],[STR]] / ('Green Slime'!$D$5 / 10.8)), 1)</f>
        <v>1</v>
      </c>
      <c r="M36" s="8">
        <f>CEILING(Wolf!$B$6/ IF(Wolf!$D$6&lt; 10.8, Table14[[#This Row],[STR]], Table14[[#This Row],[STR]] / (Wolf!$D$6 / 10.8)), 1)</f>
        <v>2</v>
      </c>
      <c r="N36" s="8">
        <f>CEILING('Horned Wolf'!$B$5/ IF('Horned Wolf'!$D$5&lt; 10.8, Table14[[#This Row],[STR]], Table14[[#This Row],[STR]] / ('Horned Wolf'!$D$5 / 10.8)), 1)</f>
        <v>4</v>
      </c>
      <c r="O36" s="8">
        <f>CEILING(Spider!$B$7/ IF(Spider!$D$7&lt; 10.8, Table14[[#This Row],[STR]], Table14[[#This Row],[STR]] / (Spider!$D$7 / 10.8)), 1)</f>
        <v>3</v>
      </c>
      <c r="P36" s="8">
        <f>CEILING('Evolved Spider'!$B$8/ IF('Evolved Spider'!$D$8&lt; 10.8, Table14[[#This Row],[STR]], Table14[[#This Row],[STR]] / ('Evolved Spider'!$D$8 / 10.8)), 1)</f>
        <v>6</v>
      </c>
      <c r="Q36" s="8">
        <f>CEILING(Arachne!$B$4/ IF(Arachne!$D$4&lt; 10.8, Table14[[#This Row],[STR]], Table14[[#This Row],[STR]] / (Arachne!$D$4 / 10.8)), 1)</f>
        <v>8</v>
      </c>
      <c r="R36" s="12">
        <f>CEILING('Earth Elemental'!$B$6/ IF('Earth Elemental'!$D$6&lt; 10.8, Table14[[#This Row],[STR]], Table14[[#This Row],[STR]] / ('Earth Elemental'!$D$6 / 10.8)), 1)</f>
        <v>9</v>
      </c>
      <c r="S36" s="12">
        <f>CEILING('Wind Elemental'!$B$6/ IF('Wind Elemental'!$D$6&lt; 10.8, Table14[[#This Row],[STR]], Table14[[#This Row],[STR]] / ('Wind Elemental'!$D$6 / 10.8)), 1)</f>
        <v>8</v>
      </c>
      <c r="T36" s="12">
        <f>CEILING('Water Elemental'!$B$6/ IF('Water Elemental'!$D$6&lt; 10.8, Table14[[#This Row],[STR]], Table14[[#This Row],[STR]] / ('Water Elemental'!$D$6 / 10.8)), 1)</f>
        <v>11</v>
      </c>
      <c r="U36" s="12">
        <f>CEILING('Fire Elemental'!$B$4/ IF('Fire Elemental'!$D$4&lt; 10.8, Table14[[#This Row],[STR]], Table14[[#This Row],[STR]] / ('Fire Elemental'!$D$4 / 10.8)), 1)</f>
        <v>14</v>
      </c>
      <c r="V36" s="15">
        <f>CEILING(Wyvern!$B$4/ IF(Wyvern!$D$4&lt; 10.8, Table14[[#This Row],[STR]], Table14[[#This Row],[STR]] / (Wyvern!$D$4 / 10.8)), 1)</f>
        <v>19</v>
      </c>
      <c r="W36" s="15">
        <f>CEILING('Evolved Wyvern'!$B$4/ IF('Evolved Wyvern'!$D$4&lt; 10.8, Table14[[#This Row],[STR]], Table14[[#This Row],[STR]] / ('Evolved Wyvern'!$D$4 / 10.8)), 1)</f>
        <v>26</v>
      </c>
      <c r="X36" s="15">
        <f>CEILING(Dragon!$B$4/ IF(Dragon!$D$4&lt; 10.8, Table14[[#This Row],[STR]], Table14[[#This Row],[STR]] / (Dragon!$D$4 / 10.8)), 1)</f>
        <v>43</v>
      </c>
      <c r="Z36" s="8">
        <f>CEILING('Blue Slime'!$M$5/ IF('Blue Slime'!$O$5&lt; 10.8, Table14[[#This Row],[STR]], Table14[[#This Row],[STR]] / ('Blue Slime'!$O$5 / 10.8)), 1)</f>
        <v>1</v>
      </c>
      <c r="AA36" s="8">
        <f>CEILING('Green Slime'!$M$5/ IF('Green Slime'!$O$5&lt; 10.8, Table14[[#This Row],[STR]], Table14[[#This Row],[STR]] / ('Green Slime'!$O$5 / 10.8)), 1)</f>
        <v>1</v>
      </c>
      <c r="AB36" s="8">
        <f>CEILING(Wolf!$M$6/ IF(Wolf!$O$6&lt; 10.8, Table14[[#This Row],[STR]], Table14[[#This Row],[STR]] / (Wolf!$O$6 / 10.8)), 1)</f>
        <v>3</v>
      </c>
      <c r="AC36" s="8">
        <f>CEILING('Horned Wolf'!$M$5/ IF('Horned Wolf'!$O$5&lt; 10.8, Table14[[#This Row],[STR]], Table14[[#This Row],[STR]] / ('Horned Wolf'!$O$5 / 10.8)), 1)</f>
        <v>7</v>
      </c>
      <c r="AD36" s="8">
        <f>CEILING(Spider!$M$7/ IF(Spider!$O$7&lt; 10.8, Table14[[#This Row],[STR]], Table14[[#This Row],[STR]] / (Spider!$O$7 / 10.8)), 1)</f>
        <v>7</v>
      </c>
      <c r="AE36" s="8">
        <f>CEILING('Evolved Spider'!$M$8/ IF('Evolved Spider'!$O$8&lt; 10.8, Table14[[#This Row],[STR]], Table14[[#This Row],[STR]] / ('Evolved Spider'!$O$8 / 10.8)), 1)</f>
        <v>12</v>
      </c>
      <c r="AF36" s="8">
        <f>CEILING(Arachne!$M$4/ IF(Arachne!$O$4&lt; 10.8, Table14[[#This Row],[STR]], Table14[[#This Row],[STR]] / (Arachne!$O$4 / 10.8)), 1)</f>
        <v>16</v>
      </c>
      <c r="AG36" s="12">
        <f>CEILING('Earth Elemental'!$M$6/ IF('Earth Elemental'!$O$6&lt; 10.8, Table14[[#This Row],[STR]], Table14[[#This Row],[STR]] / ('Earth Elemental'!$O$6 / 10.8)), 1)</f>
        <v>15</v>
      </c>
      <c r="AH36" s="12">
        <f>CEILING('Wind Elemental'!$M$6/ IF('Wind Elemental'!$O$6&lt; 10.8, Table14[[#This Row],[STR]], Table14[[#This Row],[STR]] / ('Wind Elemental'!$O$6 / 10.8)), 1)</f>
        <v>12</v>
      </c>
      <c r="AI36" s="12">
        <f>CEILING('Water Elemental'!$M$6/ IF('Water Elemental'!$O$6&lt; 10.8, Table14[[#This Row],[STR]], Table14[[#This Row],[STR]] / ('Water Elemental'!$O$6 / 10.8)), 1)</f>
        <v>17</v>
      </c>
      <c r="AJ36" s="12">
        <f>CEILING('Fire Elemental'!$M$4/ IF('Fire Elemental'!$O$4&lt; 10.8, Table14[[#This Row],[STR]], Table14[[#This Row],[STR]] / ('Fire Elemental'!$O$4 / 10.8)), 1)</f>
        <v>25</v>
      </c>
      <c r="AK36" s="15">
        <f>CEILING(Wyvern!$M$4/ IF(Wyvern!$O$4&lt; 10.8, Table14[[#This Row],[STR]], Table14[[#This Row],[STR]] / (Wyvern!$O$4 / 10.8)), 1)</f>
        <v>31</v>
      </c>
      <c r="AL36" s="15">
        <f>CEILING('Evolved Wyvern'!$M$4/ IF('Evolved Wyvern'!$O$4&lt; 10.8, Table14[[#This Row],[STR]], Table14[[#This Row],[STR]] / ('Evolved Wyvern'!$O$4 / 10.8)), 1)</f>
        <v>42</v>
      </c>
      <c r="AM36" s="15">
        <f>CEILING(Dragon!$M$4/ IF(Dragon!$O$4&lt; 10.8, Table14[[#This Row],[STR]], Table14[[#This Row],[STR]] / (Dragon!$O$4 / 10.8)), 1)</f>
        <v>69</v>
      </c>
      <c r="AO36" s="8">
        <f>CEILING('Blue Slime'!$Z$5/ IF('Blue Slime'!$X$5&lt; 10.8, Table14[[#This Row],[STR]], Table14[[#This Row],[STR]] / ('Blue Slime'!$X$5 / 10.8)), 1)</f>
        <v>1</v>
      </c>
      <c r="AP36" s="8">
        <f>CEILING('Green Slime'!$Z$5/ IF('Green Slime'!$X$5&lt; 10.8, Table14[[#This Row],[STR]], Table14[[#This Row],[STR]] / ('Green Slime'!$X$5 / 10.8)), 1)</f>
        <v>2</v>
      </c>
      <c r="AQ36" s="8">
        <f>CEILING(Wolf!$Z$6/ IF(Wolf!$X$6&lt; 10.8, Table14[[#This Row],[STR]], Table14[[#This Row],[STR]] / (Wolf!$X$6 / 10.8)), 1)</f>
        <v>5</v>
      </c>
      <c r="AR36" s="8">
        <f>CEILING('Horned Wolf'!$Z$5/ IF('Horned Wolf'!$X$5&lt; 10.8, Table14[[#This Row],[STR]], Table14[[#This Row],[STR]] / ('Horned Wolf'!$X$5 / 10.8)), 1)</f>
        <v>12</v>
      </c>
      <c r="AS36" s="8">
        <f>CEILING(Spider!$Z$7/ IF(Spider!$X$7&lt; 10.8, Table14[[#This Row],[STR]], Table14[[#This Row],[STR]] / (Spider!$X$7 / 10.8)), 1)</f>
        <v>11</v>
      </c>
      <c r="AT36" s="8">
        <f>CEILING('Evolved Spider'!$Z$8/ IF('Evolved Spider'!$X$8&lt; 10.8, Table14[[#This Row],[STR]], Table14[[#This Row],[STR]] / ('Evolved Spider'!$X$8 / 10.8)), 1)</f>
        <v>19</v>
      </c>
      <c r="AU36" s="8">
        <f>CEILING(Arachne!$Z$4/ IF(Arachne!$X$4&lt; 10.8, Table14[[#This Row],[STR]], Table14[[#This Row],[STR]] / (Arachne!$X$4 / 10.8)), 1)</f>
        <v>26</v>
      </c>
      <c r="AV36" s="12">
        <f>CEILING('Earth Elemental'!$Z$6/ IF('Earth Elemental'!$X$6&lt; 10.8, Table14[[#This Row],[STR]], Table14[[#This Row],[STR]] / ('Earth Elemental'!$X$6 / 10.8)), 1)</f>
        <v>22</v>
      </c>
      <c r="AW36" s="12">
        <f>CEILING('Wind Elemental'!$Z$6/ IF('Wind Elemental'!$X$6&lt; 10.8, Table14[[#This Row],[STR]], Table14[[#This Row],[STR]] / ('Wind Elemental'!$X$6 / 10.8)), 1)</f>
        <v>17</v>
      </c>
      <c r="AX36" s="12">
        <f>CEILING('Water Elemental'!$Z$6/ IF('Water Elemental'!$X$6&lt; 10.8, Table14[[#This Row],[STR]], Table14[[#This Row],[STR]] / ('Water Elemental'!$X$6 / 10.8)), 1)</f>
        <v>23</v>
      </c>
      <c r="AY36" s="12">
        <f>CEILING('Fire Elemental'!$Z$4/ IF('Fire Elemental'!$X$4&lt; 10.8, Table14[[#This Row],[STR]], Table14[[#This Row],[STR]] / ('Fire Elemental'!$X$4 / 10.8)), 1)</f>
        <v>38</v>
      </c>
      <c r="AZ36" s="15">
        <f>CEILING(Wyvern!$Z$4/ IF(Wyvern!$X$4&lt; 10.8, Table14[[#This Row],[STR]], Table14[[#This Row],[STR]] / (Wyvern!$X$4 / 10.8)), 1)</f>
        <v>46</v>
      </c>
      <c r="BA36" s="15">
        <f>CEILING('Evolved Wyvern'!$Z$4/ IF('Evolved Wyvern'!$X$4&lt; 10.8, Table14[[#This Row],[STR]], Table14[[#This Row],[STR]] / ('Evolved Wyvern'!$X$4 / 10.8)), 1)</f>
        <v>58</v>
      </c>
      <c r="BB36" s="15">
        <f>CEILING(Dragon!$Z$4/ IF(Dragon!$X$4&lt; 10.8, Table14[[#This Row],[STR]], Table14[[#This Row],[STR]] / (Dragon!$X$4 / 10.8)), 1)</f>
        <v>98</v>
      </c>
    </row>
    <row r="37" spans="1:54" x14ac:dyDescent="0.3">
      <c r="A37" s="1">
        <v>35</v>
      </c>
      <c r="B37" s="1">
        <f>$B$3 + ((Table14[[#This Row],[Level]] / 10) + $B$3 / 8) * Table14[[#This Row],[Level]] + Equipment!$O$34</f>
        <v>229.5</v>
      </c>
      <c r="C37" s="1">
        <f xml:space="preserve"> 2*Table14[[#This Row],[INT]]</f>
        <v>169</v>
      </c>
      <c r="D37" s="1">
        <f>$D$3 + ($D$3 / 4) * Table14[[#This Row],[Level]] + Equipment!$P$34</f>
        <v>84.5</v>
      </c>
      <c r="E37" s="1">
        <f>$E$3 + ($E$3 / 4) * Table14[[#This Row],[Level]] + Equipment!$Q$34</f>
        <v>98.25</v>
      </c>
      <c r="F37" s="1">
        <f>$F$3 + ($F$3 / 4) * Table14[[#This Row],[Level]] + Equipment!$R$34</f>
        <v>69.75</v>
      </c>
      <c r="G37" s="1">
        <f>$G$3 + ($G$3 / 4) * Table14[[#This Row],[Level]] + Equipment!$S$34</f>
        <v>84.5</v>
      </c>
      <c r="H37" s="1">
        <f>$H$3 + ($H$3 / 4) * Table14[[#This Row],[Level]] + Equipment!$T$34</f>
        <v>112</v>
      </c>
      <c r="I37" s="1">
        <f xml:space="preserve"> (4 * (Table14[[#This Row],[Level]] ^ 3))/7 + $I$3</f>
        <v>24600</v>
      </c>
      <c r="K37" s="8">
        <f>CEILING('Blue Slime'!$B$5/ IF('Blue Slime'!$D$5&lt; 10.8, Table14[[#This Row],[STR]], Table14[[#This Row],[STR]] / ('Blue Slime'!$D$5 / 10.8)), 1)</f>
        <v>1</v>
      </c>
      <c r="L37" s="8">
        <f>CEILING('Green Slime'!$B$5/ IF('Green Slime'!$D$5&lt; 10.8, Table14[[#This Row],[STR]], Table14[[#This Row],[STR]] / ('Green Slime'!$D$5 / 10.8)), 1)</f>
        <v>1</v>
      </c>
      <c r="M37" s="8">
        <f>CEILING(Wolf!$B$6/ IF(Wolf!$D$6&lt; 10.8, Table14[[#This Row],[STR]], Table14[[#This Row],[STR]] / (Wolf!$D$6 / 10.8)), 1)</f>
        <v>2</v>
      </c>
      <c r="N37" s="8">
        <f>CEILING('Horned Wolf'!$B$5/ IF('Horned Wolf'!$D$5&lt; 10.8, Table14[[#This Row],[STR]], Table14[[#This Row],[STR]] / ('Horned Wolf'!$D$5 / 10.8)), 1)</f>
        <v>3</v>
      </c>
      <c r="O37" s="8">
        <f>CEILING(Spider!$B$7/ IF(Spider!$D$7&lt; 10.8, Table14[[#This Row],[STR]], Table14[[#This Row],[STR]] / (Spider!$D$7 / 10.8)), 1)</f>
        <v>3</v>
      </c>
      <c r="P37" s="8">
        <f>CEILING('Evolved Spider'!$B$8/ IF('Evolved Spider'!$D$8&lt; 10.8, Table14[[#This Row],[STR]], Table14[[#This Row],[STR]] / ('Evolved Spider'!$D$8 / 10.8)), 1)</f>
        <v>6</v>
      </c>
      <c r="Q37" s="8">
        <f>CEILING(Arachne!$B$4/ IF(Arachne!$D$4&lt; 10.8, Table14[[#This Row],[STR]], Table14[[#This Row],[STR]] / (Arachne!$D$4 / 10.8)), 1)</f>
        <v>8</v>
      </c>
      <c r="R37" s="12">
        <f>CEILING('Earth Elemental'!$B$6/ IF('Earth Elemental'!$D$6&lt; 10.8, Table14[[#This Row],[STR]], Table14[[#This Row],[STR]] / ('Earth Elemental'!$D$6 / 10.8)), 1)</f>
        <v>8</v>
      </c>
      <c r="S37" s="12">
        <f>CEILING('Wind Elemental'!$B$6/ IF('Wind Elemental'!$D$6&lt; 10.8, Table14[[#This Row],[STR]], Table14[[#This Row],[STR]] / ('Wind Elemental'!$D$6 / 10.8)), 1)</f>
        <v>7</v>
      </c>
      <c r="T37" s="12">
        <f>CEILING('Water Elemental'!$B$6/ IF('Water Elemental'!$D$6&lt; 10.8, Table14[[#This Row],[STR]], Table14[[#This Row],[STR]] / ('Water Elemental'!$D$6 / 10.8)), 1)</f>
        <v>10</v>
      </c>
      <c r="U37" s="12">
        <f>CEILING('Fire Elemental'!$B$4/ IF('Fire Elemental'!$D$4&lt; 10.8, Table14[[#This Row],[STR]], Table14[[#This Row],[STR]] / ('Fire Elemental'!$D$4 / 10.8)), 1)</f>
        <v>13</v>
      </c>
      <c r="V37" s="15">
        <f>CEILING(Wyvern!$B$4/ IF(Wyvern!$D$4&lt; 10.8, Table14[[#This Row],[STR]], Table14[[#This Row],[STR]] / (Wyvern!$D$4 / 10.8)), 1)</f>
        <v>17</v>
      </c>
      <c r="W37" s="15">
        <f>CEILING('Evolved Wyvern'!$B$4/ IF('Evolved Wyvern'!$D$4&lt; 10.8, Table14[[#This Row],[STR]], Table14[[#This Row],[STR]] / ('Evolved Wyvern'!$D$4 / 10.8)), 1)</f>
        <v>24</v>
      </c>
      <c r="X37" s="15">
        <f>CEILING(Dragon!$B$4/ IF(Dragon!$D$4&lt; 10.8, Table14[[#This Row],[STR]], Table14[[#This Row],[STR]] / (Dragon!$D$4 / 10.8)), 1)</f>
        <v>39</v>
      </c>
      <c r="Z37" s="8">
        <f>CEILING('Blue Slime'!$M$5/ IF('Blue Slime'!$O$5&lt; 10.8, Table14[[#This Row],[STR]], Table14[[#This Row],[STR]] / ('Blue Slime'!$O$5 / 10.8)), 1)</f>
        <v>1</v>
      </c>
      <c r="AA37" s="8">
        <f>CEILING('Green Slime'!$M$5/ IF('Green Slime'!$O$5&lt; 10.8, Table14[[#This Row],[STR]], Table14[[#This Row],[STR]] / ('Green Slime'!$O$5 / 10.8)), 1)</f>
        <v>1</v>
      </c>
      <c r="AB37" s="8">
        <f>CEILING(Wolf!$M$6/ IF(Wolf!$O$6&lt; 10.8, Table14[[#This Row],[STR]], Table14[[#This Row],[STR]] / (Wolf!$O$6 / 10.8)), 1)</f>
        <v>3</v>
      </c>
      <c r="AC37" s="8">
        <f>CEILING('Horned Wolf'!$M$5/ IF('Horned Wolf'!$O$5&lt; 10.8, Table14[[#This Row],[STR]], Table14[[#This Row],[STR]] / ('Horned Wolf'!$O$5 / 10.8)), 1)</f>
        <v>7</v>
      </c>
      <c r="AD37" s="8">
        <f>CEILING(Spider!$M$7/ IF(Spider!$O$7&lt; 10.8, Table14[[#This Row],[STR]], Table14[[#This Row],[STR]] / (Spider!$O$7 / 10.8)), 1)</f>
        <v>6</v>
      </c>
      <c r="AE37" s="8">
        <f>CEILING('Evolved Spider'!$M$8/ IF('Evolved Spider'!$O$8&lt; 10.8, Table14[[#This Row],[STR]], Table14[[#This Row],[STR]] / ('Evolved Spider'!$O$8 / 10.8)), 1)</f>
        <v>11</v>
      </c>
      <c r="AF37" s="8">
        <f>CEILING(Arachne!$M$4/ IF(Arachne!$O$4&lt; 10.8, Table14[[#This Row],[STR]], Table14[[#This Row],[STR]] / (Arachne!$O$4 / 10.8)), 1)</f>
        <v>14</v>
      </c>
      <c r="AG37" s="12">
        <f>CEILING('Earth Elemental'!$M$6/ IF('Earth Elemental'!$O$6&lt; 10.8, Table14[[#This Row],[STR]], Table14[[#This Row],[STR]] / ('Earth Elemental'!$O$6 / 10.8)), 1)</f>
        <v>13</v>
      </c>
      <c r="AH37" s="12">
        <f>CEILING('Wind Elemental'!$M$6/ IF('Wind Elemental'!$O$6&lt; 10.8, Table14[[#This Row],[STR]], Table14[[#This Row],[STR]] / ('Wind Elemental'!$O$6 / 10.8)), 1)</f>
        <v>11</v>
      </c>
      <c r="AI37" s="12">
        <f>CEILING('Water Elemental'!$M$6/ IF('Water Elemental'!$O$6&lt; 10.8, Table14[[#This Row],[STR]], Table14[[#This Row],[STR]] / ('Water Elemental'!$O$6 / 10.8)), 1)</f>
        <v>15</v>
      </c>
      <c r="AJ37" s="12">
        <f>CEILING('Fire Elemental'!$M$4/ IF('Fire Elemental'!$O$4&lt; 10.8, Table14[[#This Row],[STR]], Table14[[#This Row],[STR]] / ('Fire Elemental'!$O$4 / 10.8)), 1)</f>
        <v>22</v>
      </c>
      <c r="AK37" s="15">
        <f>CEILING(Wyvern!$M$4/ IF(Wyvern!$O$4&lt; 10.8, Table14[[#This Row],[STR]], Table14[[#This Row],[STR]] / (Wyvern!$O$4 / 10.8)), 1)</f>
        <v>28</v>
      </c>
      <c r="AL37" s="15">
        <f>CEILING('Evolved Wyvern'!$M$4/ IF('Evolved Wyvern'!$O$4&lt; 10.8, Table14[[#This Row],[STR]], Table14[[#This Row],[STR]] / ('Evolved Wyvern'!$O$4 / 10.8)), 1)</f>
        <v>37</v>
      </c>
      <c r="AM37" s="15">
        <f>CEILING(Dragon!$M$4/ IF(Dragon!$O$4&lt; 10.8, Table14[[#This Row],[STR]], Table14[[#This Row],[STR]] / (Dragon!$O$4 / 10.8)), 1)</f>
        <v>62</v>
      </c>
      <c r="AO37" s="8">
        <f>CEILING('Blue Slime'!$Z$5/ IF('Blue Slime'!$X$5&lt; 10.8, Table14[[#This Row],[STR]], Table14[[#This Row],[STR]] / ('Blue Slime'!$X$5 / 10.8)), 1)</f>
        <v>1</v>
      </c>
      <c r="AP37" s="8">
        <f>CEILING('Green Slime'!$Z$5/ IF('Green Slime'!$X$5&lt; 10.8, Table14[[#This Row],[STR]], Table14[[#This Row],[STR]] / ('Green Slime'!$X$5 / 10.8)), 1)</f>
        <v>2</v>
      </c>
      <c r="AQ37" s="8">
        <f>CEILING(Wolf!$Z$6/ IF(Wolf!$X$6&lt; 10.8, Table14[[#This Row],[STR]], Table14[[#This Row],[STR]] / (Wolf!$X$6 / 10.8)), 1)</f>
        <v>4</v>
      </c>
      <c r="AR37" s="8">
        <f>CEILING('Horned Wolf'!$Z$5/ IF('Horned Wolf'!$X$5&lt; 10.8, Table14[[#This Row],[STR]], Table14[[#This Row],[STR]] / ('Horned Wolf'!$X$5 / 10.8)), 1)</f>
        <v>11</v>
      </c>
      <c r="AS37" s="8">
        <f>CEILING(Spider!$Z$7/ IF(Spider!$X$7&lt; 10.8, Table14[[#This Row],[STR]], Table14[[#This Row],[STR]] / (Spider!$X$7 / 10.8)), 1)</f>
        <v>10</v>
      </c>
      <c r="AT37" s="8">
        <f>CEILING('Evolved Spider'!$Z$8/ IF('Evolved Spider'!$X$8&lt; 10.8, Table14[[#This Row],[STR]], Table14[[#This Row],[STR]] / ('Evolved Spider'!$X$8 / 10.8)), 1)</f>
        <v>17</v>
      </c>
      <c r="AU37" s="8">
        <f>CEILING(Arachne!$Z$4/ IF(Arachne!$X$4&lt; 10.8, Table14[[#This Row],[STR]], Table14[[#This Row],[STR]] / (Arachne!$X$4 / 10.8)), 1)</f>
        <v>23</v>
      </c>
      <c r="AV37" s="12">
        <f>CEILING('Earth Elemental'!$Z$6/ IF('Earth Elemental'!$X$6&lt; 10.8, Table14[[#This Row],[STR]], Table14[[#This Row],[STR]] / ('Earth Elemental'!$X$6 / 10.8)), 1)</f>
        <v>20</v>
      </c>
      <c r="AW37" s="12">
        <f>CEILING('Wind Elemental'!$Z$6/ IF('Wind Elemental'!$X$6&lt; 10.8, Table14[[#This Row],[STR]], Table14[[#This Row],[STR]] / ('Wind Elemental'!$X$6 / 10.8)), 1)</f>
        <v>15</v>
      </c>
      <c r="AX37" s="12">
        <f>CEILING('Water Elemental'!$Z$6/ IF('Water Elemental'!$X$6&lt; 10.8, Table14[[#This Row],[STR]], Table14[[#This Row],[STR]] / ('Water Elemental'!$X$6 / 10.8)), 1)</f>
        <v>21</v>
      </c>
      <c r="AY37" s="12">
        <f>CEILING('Fire Elemental'!$Z$4/ IF('Fire Elemental'!$X$4&lt; 10.8, Table14[[#This Row],[STR]], Table14[[#This Row],[STR]] / ('Fire Elemental'!$X$4 / 10.8)), 1)</f>
        <v>34</v>
      </c>
      <c r="AZ37" s="15">
        <f>CEILING(Wyvern!$Z$4/ IF(Wyvern!$X$4&lt; 10.8, Table14[[#This Row],[STR]], Table14[[#This Row],[STR]] / (Wyvern!$X$4 / 10.8)), 1)</f>
        <v>41</v>
      </c>
      <c r="BA37" s="15">
        <f>CEILING('Evolved Wyvern'!$Z$4/ IF('Evolved Wyvern'!$X$4&lt; 10.8, Table14[[#This Row],[STR]], Table14[[#This Row],[STR]] / ('Evolved Wyvern'!$X$4 / 10.8)), 1)</f>
        <v>52</v>
      </c>
      <c r="BB37" s="15">
        <f>CEILING(Dragon!$Z$4/ IF(Dragon!$X$4&lt; 10.8, Table14[[#This Row],[STR]], Table14[[#This Row],[STR]] / (Dragon!$X$4 / 10.8)), 1)</f>
        <v>88</v>
      </c>
    </row>
    <row r="38" spans="1:54" x14ac:dyDescent="0.3">
      <c r="A38" s="1">
        <v>36</v>
      </c>
      <c r="B38" s="1">
        <f>$B$3 + ((Table14[[#This Row],[Level]] / 10) + $B$3 / 8) * Table14[[#This Row],[Level]] + Equipment!$O$34</f>
        <v>237.6</v>
      </c>
      <c r="C38" s="1">
        <f xml:space="preserve"> 2*Table14[[#This Row],[INT]]</f>
        <v>172</v>
      </c>
      <c r="D38" s="1">
        <f>$D$3 + ($D$3 / 4) * Table14[[#This Row],[Level]] + Equipment!$P$34</f>
        <v>86</v>
      </c>
      <c r="E38" s="1">
        <f>$E$3 + ($E$3 / 4) * Table14[[#This Row],[Level]] + Equipment!$Q$34</f>
        <v>100</v>
      </c>
      <c r="F38" s="1">
        <f>$F$3 + ($F$3 / 4) * Table14[[#This Row],[Level]] + Equipment!$R$34</f>
        <v>71</v>
      </c>
      <c r="G38" s="1">
        <f>$G$3 + ($G$3 / 4) * Table14[[#This Row],[Level]] + Equipment!$S$34</f>
        <v>86</v>
      </c>
      <c r="H38" s="1">
        <f>$H$3 + ($H$3 / 4) * Table14[[#This Row],[Level]] + Equipment!$T$34</f>
        <v>114</v>
      </c>
      <c r="I38" s="1">
        <f xml:space="preserve"> (4 * (Table14[[#This Row],[Level]] ^ 3))/7 + $I$3</f>
        <v>26760.571428571428</v>
      </c>
      <c r="K38" s="8">
        <f>CEILING('Blue Slime'!$B$5/ IF('Blue Slime'!$D$5&lt; 10.8, Table14[[#This Row],[STR]], Table14[[#This Row],[STR]] / ('Blue Slime'!$D$5 / 10.8)), 1)</f>
        <v>1</v>
      </c>
      <c r="L38" s="8">
        <f>CEILING('Green Slime'!$B$5/ IF('Green Slime'!$D$5&lt; 10.8, Table14[[#This Row],[STR]], Table14[[#This Row],[STR]] / ('Green Slime'!$D$5 / 10.8)), 1)</f>
        <v>1</v>
      </c>
      <c r="M38" s="8">
        <f>CEILING(Wolf!$B$6/ IF(Wolf!$D$6&lt; 10.8, Table14[[#This Row],[STR]], Table14[[#This Row],[STR]] / (Wolf!$D$6 / 10.8)), 1)</f>
        <v>1</v>
      </c>
      <c r="N38" s="8">
        <f>CEILING('Horned Wolf'!$B$5/ IF('Horned Wolf'!$D$5&lt; 10.8, Table14[[#This Row],[STR]], Table14[[#This Row],[STR]] / ('Horned Wolf'!$D$5 / 10.8)), 1)</f>
        <v>3</v>
      </c>
      <c r="O38" s="8">
        <f>CEILING(Spider!$B$7/ IF(Spider!$D$7&lt; 10.8, Table14[[#This Row],[STR]], Table14[[#This Row],[STR]] / (Spider!$D$7 / 10.8)), 1)</f>
        <v>3</v>
      </c>
      <c r="P38" s="8">
        <f>CEILING('Evolved Spider'!$B$8/ IF('Evolved Spider'!$D$8&lt; 10.8, Table14[[#This Row],[STR]], Table14[[#This Row],[STR]] / ('Evolved Spider'!$D$8 / 10.8)), 1)</f>
        <v>6</v>
      </c>
      <c r="Q38" s="8">
        <f>CEILING(Arachne!$B$4/ IF(Arachne!$D$4&lt; 10.8, Table14[[#This Row],[STR]], Table14[[#This Row],[STR]] / (Arachne!$D$4 / 10.8)), 1)</f>
        <v>7</v>
      </c>
      <c r="R38" s="12">
        <f>CEILING('Earth Elemental'!$B$6/ IF('Earth Elemental'!$D$6&lt; 10.8, Table14[[#This Row],[STR]], Table14[[#This Row],[STR]] / ('Earth Elemental'!$D$6 / 10.8)), 1)</f>
        <v>8</v>
      </c>
      <c r="S38" s="12">
        <f>CEILING('Wind Elemental'!$B$6/ IF('Wind Elemental'!$D$6&lt; 10.8, Table14[[#This Row],[STR]], Table14[[#This Row],[STR]] / ('Wind Elemental'!$D$6 / 10.8)), 1)</f>
        <v>7</v>
      </c>
      <c r="T38" s="12">
        <f>CEILING('Water Elemental'!$B$6/ IF('Water Elemental'!$D$6&lt; 10.8, Table14[[#This Row],[STR]], Table14[[#This Row],[STR]] / ('Water Elemental'!$D$6 / 10.8)), 1)</f>
        <v>10</v>
      </c>
      <c r="U38" s="12">
        <f>CEILING('Fire Elemental'!$B$4/ IF('Fire Elemental'!$D$4&lt; 10.8, Table14[[#This Row],[STR]], Table14[[#This Row],[STR]] / ('Fire Elemental'!$D$4 / 10.8)), 1)</f>
        <v>13</v>
      </c>
      <c r="V38" s="15">
        <f>CEILING(Wyvern!$B$4/ IF(Wyvern!$D$4&lt; 10.8, Table14[[#This Row],[STR]], Table14[[#This Row],[STR]] / (Wyvern!$D$4 / 10.8)), 1)</f>
        <v>17</v>
      </c>
      <c r="W38" s="15">
        <f>CEILING('Evolved Wyvern'!$B$4/ IF('Evolved Wyvern'!$D$4&lt; 10.8, Table14[[#This Row],[STR]], Table14[[#This Row],[STR]] / ('Evolved Wyvern'!$D$4 / 10.8)), 1)</f>
        <v>23</v>
      </c>
      <c r="X38" s="15">
        <f>CEILING(Dragon!$B$4/ IF(Dragon!$D$4&lt; 10.8, Table14[[#This Row],[STR]], Table14[[#This Row],[STR]] / (Dragon!$D$4 / 10.8)), 1)</f>
        <v>38</v>
      </c>
      <c r="Z38" s="8">
        <f>CEILING('Blue Slime'!$M$5/ IF('Blue Slime'!$O$5&lt; 10.8, Table14[[#This Row],[STR]], Table14[[#This Row],[STR]] / ('Blue Slime'!$O$5 / 10.8)), 1)</f>
        <v>1</v>
      </c>
      <c r="AA38" s="8">
        <f>CEILING('Green Slime'!$M$5/ IF('Green Slime'!$O$5&lt; 10.8, Table14[[#This Row],[STR]], Table14[[#This Row],[STR]] / ('Green Slime'!$O$5 / 10.8)), 1)</f>
        <v>1</v>
      </c>
      <c r="AB38" s="8">
        <f>CEILING(Wolf!$M$6/ IF(Wolf!$O$6&lt; 10.8, Table14[[#This Row],[STR]], Table14[[#This Row],[STR]] / (Wolf!$O$6 / 10.8)), 1)</f>
        <v>3</v>
      </c>
      <c r="AC38" s="8">
        <f>CEILING('Horned Wolf'!$M$5/ IF('Horned Wolf'!$O$5&lt; 10.8, Table14[[#This Row],[STR]], Table14[[#This Row],[STR]] / ('Horned Wolf'!$O$5 / 10.8)), 1)</f>
        <v>6</v>
      </c>
      <c r="AD38" s="8">
        <f>CEILING(Spider!$M$7/ IF(Spider!$O$7&lt; 10.8, Table14[[#This Row],[STR]], Table14[[#This Row],[STR]] / (Spider!$O$7 / 10.8)), 1)</f>
        <v>6</v>
      </c>
      <c r="AE38" s="8">
        <f>CEILING('Evolved Spider'!$M$8/ IF('Evolved Spider'!$O$8&lt; 10.8, Table14[[#This Row],[STR]], Table14[[#This Row],[STR]] / ('Evolved Spider'!$O$8 / 10.8)), 1)</f>
        <v>11</v>
      </c>
      <c r="AF38" s="8">
        <f>CEILING(Arachne!$M$4/ IF(Arachne!$O$4&lt; 10.8, Table14[[#This Row],[STR]], Table14[[#This Row],[STR]] / (Arachne!$O$4 / 10.8)), 1)</f>
        <v>14</v>
      </c>
      <c r="AG38" s="12">
        <f>CEILING('Earth Elemental'!$M$6/ IF('Earth Elemental'!$O$6&lt; 10.8, Table14[[#This Row],[STR]], Table14[[#This Row],[STR]] / ('Earth Elemental'!$O$6 / 10.8)), 1)</f>
        <v>13</v>
      </c>
      <c r="AH38" s="12">
        <f>CEILING('Wind Elemental'!$M$6/ IF('Wind Elemental'!$O$6&lt; 10.8, Table14[[#This Row],[STR]], Table14[[#This Row],[STR]] / ('Wind Elemental'!$O$6 / 10.8)), 1)</f>
        <v>11</v>
      </c>
      <c r="AI38" s="12">
        <f>CEILING('Water Elemental'!$M$6/ IF('Water Elemental'!$O$6&lt; 10.8, Table14[[#This Row],[STR]], Table14[[#This Row],[STR]] / ('Water Elemental'!$O$6 / 10.8)), 1)</f>
        <v>15</v>
      </c>
      <c r="AJ38" s="12">
        <f>CEILING('Fire Elemental'!$M$4/ IF('Fire Elemental'!$O$4&lt; 10.8, Table14[[#This Row],[STR]], Table14[[#This Row],[STR]] / ('Fire Elemental'!$O$4 / 10.8)), 1)</f>
        <v>22</v>
      </c>
      <c r="AK38" s="15">
        <f>CEILING(Wyvern!$M$4/ IF(Wyvern!$O$4&lt; 10.8, Table14[[#This Row],[STR]], Table14[[#This Row],[STR]] / (Wyvern!$O$4 / 10.8)), 1)</f>
        <v>28</v>
      </c>
      <c r="AL38" s="15">
        <f>CEILING('Evolved Wyvern'!$M$4/ IF('Evolved Wyvern'!$O$4&lt; 10.8, Table14[[#This Row],[STR]], Table14[[#This Row],[STR]] / ('Evolved Wyvern'!$O$4 / 10.8)), 1)</f>
        <v>37</v>
      </c>
      <c r="AM38" s="15">
        <f>CEILING(Dragon!$M$4/ IF(Dragon!$O$4&lt; 10.8, Table14[[#This Row],[STR]], Table14[[#This Row],[STR]] / (Dragon!$O$4 / 10.8)), 1)</f>
        <v>61</v>
      </c>
      <c r="AO38" s="8">
        <f>CEILING('Blue Slime'!$Z$5/ IF('Blue Slime'!$X$5&lt; 10.8, Table14[[#This Row],[STR]], Table14[[#This Row],[STR]] / ('Blue Slime'!$X$5 / 10.8)), 1)</f>
        <v>1</v>
      </c>
      <c r="AP38" s="8">
        <f>CEILING('Green Slime'!$Z$5/ IF('Green Slime'!$X$5&lt; 10.8, Table14[[#This Row],[STR]], Table14[[#This Row],[STR]] / ('Green Slime'!$X$5 / 10.8)), 1)</f>
        <v>2</v>
      </c>
      <c r="AQ38" s="8">
        <f>CEILING(Wolf!$Z$6/ IF(Wolf!$X$6&lt; 10.8, Table14[[#This Row],[STR]], Table14[[#This Row],[STR]] / (Wolf!$X$6 / 10.8)), 1)</f>
        <v>4</v>
      </c>
      <c r="AR38" s="8">
        <f>CEILING('Horned Wolf'!$Z$5/ IF('Horned Wolf'!$X$5&lt; 10.8, Table14[[#This Row],[STR]], Table14[[#This Row],[STR]] / ('Horned Wolf'!$X$5 / 10.8)), 1)</f>
        <v>11</v>
      </c>
      <c r="AS38" s="8">
        <f>CEILING(Spider!$Z$7/ IF(Spider!$X$7&lt; 10.8, Table14[[#This Row],[STR]], Table14[[#This Row],[STR]] / (Spider!$X$7 / 10.8)), 1)</f>
        <v>10</v>
      </c>
      <c r="AT38" s="8">
        <f>CEILING('Evolved Spider'!$Z$8/ IF('Evolved Spider'!$X$8&lt; 10.8, Table14[[#This Row],[STR]], Table14[[#This Row],[STR]] / ('Evolved Spider'!$X$8 / 10.8)), 1)</f>
        <v>17</v>
      </c>
      <c r="AU38" s="8">
        <f>CEILING(Arachne!$Z$4/ IF(Arachne!$X$4&lt; 10.8, Table14[[#This Row],[STR]], Table14[[#This Row],[STR]] / (Arachne!$X$4 / 10.8)), 1)</f>
        <v>23</v>
      </c>
      <c r="AV38" s="12">
        <f>CEILING('Earth Elemental'!$Z$6/ IF('Earth Elemental'!$X$6&lt; 10.8, Table14[[#This Row],[STR]], Table14[[#This Row],[STR]] / ('Earth Elemental'!$X$6 / 10.8)), 1)</f>
        <v>19</v>
      </c>
      <c r="AW38" s="12">
        <f>CEILING('Wind Elemental'!$Z$6/ IF('Wind Elemental'!$X$6&lt; 10.8, Table14[[#This Row],[STR]], Table14[[#This Row],[STR]] / ('Wind Elemental'!$X$6 / 10.8)), 1)</f>
        <v>15</v>
      </c>
      <c r="AX38" s="12">
        <f>CEILING('Water Elemental'!$Z$6/ IF('Water Elemental'!$X$6&lt; 10.8, Table14[[#This Row],[STR]], Table14[[#This Row],[STR]] / ('Water Elemental'!$X$6 / 10.8)), 1)</f>
        <v>21</v>
      </c>
      <c r="AY38" s="12">
        <f>CEILING('Fire Elemental'!$Z$4/ IF('Fire Elemental'!$X$4&lt; 10.8, Table14[[#This Row],[STR]], Table14[[#This Row],[STR]] / ('Fire Elemental'!$X$4 / 10.8)), 1)</f>
        <v>33</v>
      </c>
      <c r="AZ38" s="15">
        <f>CEILING(Wyvern!$Z$4/ IF(Wyvern!$X$4&lt; 10.8, Table14[[#This Row],[STR]], Table14[[#This Row],[STR]] / (Wyvern!$X$4 / 10.8)), 1)</f>
        <v>40</v>
      </c>
      <c r="BA38" s="15">
        <f>CEILING('Evolved Wyvern'!$Z$4/ IF('Evolved Wyvern'!$X$4&lt; 10.8, Table14[[#This Row],[STR]], Table14[[#This Row],[STR]] / ('Evolved Wyvern'!$X$4 / 10.8)), 1)</f>
        <v>51</v>
      </c>
      <c r="BB38" s="15">
        <f>CEILING(Dragon!$Z$4/ IF(Dragon!$X$4&lt; 10.8, Table14[[#This Row],[STR]], Table14[[#This Row],[STR]] / (Dragon!$X$4 / 10.8)), 1)</f>
        <v>86</v>
      </c>
    </row>
    <row r="39" spans="1:54" x14ac:dyDescent="0.3">
      <c r="A39" s="1">
        <v>37</v>
      </c>
      <c r="B39" s="1">
        <f>$B$3 + ((Table14[[#This Row],[Level]] / 10) + $B$3 / 8) * Table14[[#This Row],[Level]] + Equipment!$O$34</f>
        <v>245.9</v>
      </c>
      <c r="C39" s="1">
        <f xml:space="preserve"> 2*Table14[[#This Row],[INT]]</f>
        <v>175</v>
      </c>
      <c r="D39" s="1">
        <f>$D$3 + ($D$3 / 4) * Table14[[#This Row],[Level]] + Equipment!$P$34</f>
        <v>87.5</v>
      </c>
      <c r="E39" s="1">
        <f>$E$3 + ($E$3 / 4) * Table14[[#This Row],[Level]] + Equipment!$Q$34</f>
        <v>101.75</v>
      </c>
      <c r="F39" s="1">
        <f>$F$3 + ($F$3 / 4) * Table14[[#This Row],[Level]] + Equipment!$R$34</f>
        <v>72.25</v>
      </c>
      <c r="G39" s="1">
        <f>$G$3 + ($G$3 / 4) * Table14[[#This Row],[Level]] + Equipment!$S$34</f>
        <v>87.5</v>
      </c>
      <c r="H39" s="1">
        <f>$H$3 + ($H$3 / 4) * Table14[[#This Row],[Level]] + Equipment!$T$34</f>
        <v>116</v>
      </c>
      <c r="I39" s="1">
        <f xml:space="preserve"> (4 * (Table14[[#This Row],[Level]] ^ 3))/7 + $I$3</f>
        <v>29044.571428571428</v>
      </c>
      <c r="K39" s="8">
        <f>CEILING('Blue Slime'!$B$5/ IF('Blue Slime'!$D$5&lt; 10.8, Table14[[#This Row],[STR]], Table14[[#This Row],[STR]] / ('Blue Slime'!$D$5 / 10.8)), 1)</f>
        <v>1</v>
      </c>
      <c r="L39" s="8">
        <f>CEILING('Green Slime'!$B$5/ IF('Green Slime'!$D$5&lt; 10.8, Table14[[#This Row],[STR]], Table14[[#This Row],[STR]] / ('Green Slime'!$D$5 / 10.8)), 1)</f>
        <v>1</v>
      </c>
      <c r="M39" s="8">
        <f>CEILING(Wolf!$B$6/ IF(Wolf!$D$6&lt; 10.8, Table14[[#This Row],[STR]], Table14[[#This Row],[STR]] / (Wolf!$D$6 / 10.8)), 1)</f>
        <v>1</v>
      </c>
      <c r="N39" s="8">
        <f>CEILING('Horned Wolf'!$B$5/ IF('Horned Wolf'!$D$5&lt; 10.8, Table14[[#This Row],[STR]], Table14[[#This Row],[STR]] / ('Horned Wolf'!$D$5 / 10.8)), 1)</f>
        <v>3</v>
      </c>
      <c r="O39" s="8">
        <f>CEILING(Spider!$B$7/ IF(Spider!$D$7&lt; 10.8, Table14[[#This Row],[STR]], Table14[[#This Row],[STR]] / (Spider!$D$7 / 10.8)), 1)</f>
        <v>3</v>
      </c>
      <c r="P39" s="8">
        <f>CEILING('Evolved Spider'!$B$8/ IF('Evolved Spider'!$D$8&lt; 10.8, Table14[[#This Row],[STR]], Table14[[#This Row],[STR]] / ('Evolved Spider'!$D$8 / 10.8)), 1)</f>
        <v>6</v>
      </c>
      <c r="Q39" s="8">
        <f>CEILING(Arachne!$B$4/ IF(Arachne!$D$4&lt; 10.8, Table14[[#This Row],[STR]], Table14[[#This Row],[STR]] / (Arachne!$D$4 / 10.8)), 1)</f>
        <v>7</v>
      </c>
      <c r="R39" s="12">
        <f>CEILING('Earth Elemental'!$B$6/ IF('Earth Elemental'!$D$6&lt; 10.8, Table14[[#This Row],[STR]], Table14[[#This Row],[STR]] / ('Earth Elemental'!$D$6 / 10.8)), 1)</f>
        <v>7</v>
      </c>
      <c r="S39" s="12">
        <f>CEILING('Wind Elemental'!$B$6/ IF('Wind Elemental'!$D$6&lt; 10.8, Table14[[#This Row],[STR]], Table14[[#This Row],[STR]] / ('Wind Elemental'!$D$6 / 10.8)), 1)</f>
        <v>7</v>
      </c>
      <c r="T39" s="12">
        <f>CEILING('Water Elemental'!$B$6/ IF('Water Elemental'!$D$6&lt; 10.8, Table14[[#This Row],[STR]], Table14[[#This Row],[STR]] / ('Water Elemental'!$D$6 / 10.8)), 1)</f>
        <v>10</v>
      </c>
      <c r="U39" s="12">
        <f>CEILING('Fire Elemental'!$B$4/ IF('Fire Elemental'!$D$4&lt; 10.8, Table14[[#This Row],[STR]], Table14[[#This Row],[STR]] / ('Fire Elemental'!$D$4 / 10.8)), 1)</f>
        <v>12</v>
      </c>
      <c r="V39" s="15">
        <f>CEILING(Wyvern!$B$4/ IF(Wyvern!$D$4&lt; 10.8, Table14[[#This Row],[STR]], Table14[[#This Row],[STR]] / (Wyvern!$D$4 / 10.8)), 1)</f>
        <v>17</v>
      </c>
      <c r="W39" s="15">
        <f>CEILING('Evolved Wyvern'!$B$4/ IF('Evolved Wyvern'!$D$4&lt; 10.8, Table14[[#This Row],[STR]], Table14[[#This Row],[STR]] / ('Evolved Wyvern'!$D$4 / 10.8)), 1)</f>
        <v>23</v>
      </c>
      <c r="X39" s="15">
        <f>CEILING(Dragon!$B$4/ IF(Dragon!$D$4&lt; 10.8, Table14[[#This Row],[STR]], Table14[[#This Row],[STR]] / (Dragon!$D$4 / 10.8)), 1)</f>
        <v>37</v>
      </c>
      <c r="Z39" s="8">
        <f>CEILING('Blue Slime'!$M$5/ IF('Blue Slime'!$O$5&lt; 10.8, Table14[[#This Row],[STR]], Table14[[#This Row],[STR]] / ('Blue Slime'!$O$5 / 10.8)), 1)</f>
        <v>1</v>
      </c>
      <c r="AA39" s="8">
        <f>CEILING('Green Slime'!$M$5/ IF('Green Slime'!$O$5&lt; 10.8, Table14[[#This Row],[STR]], Table14[[#This Row],[STR]] / ('Green Slime'!$O$5 / 10.8)), 1)</f>
        <v>1</v>
      </c>
      <c r="AB39" s="8">
        <f>CEILING(Wolf!$M$6/ IF(Wolf!$O$6&lt; 10.8, Table14[[#This Row],[STR]], Table14[[#This Row],[STR]] / (Wolf!$O$6 / 10.8)), 1)</f>
        <v>3</v>
      </c>
      <c r="AC39" s="8">
        <f>CEILING('Horned Wolf'!$M$5/ IF('Horned Wolf'!$O$5&lt; 10.8, Table14[[#This Row],[STR]], Table14[[#This Row],[STR]] / ('Horned Wolf'!$O$5 / 10.8)), 1)</f>
        <v>6</v>
      </c>
      <c r="AD39" s="8">
        <f>CEILING(Spider!$M$7/ IF(Spider!$O$7&lt; 10.8, Table14[[#This Row],[STR]], Table14[[#This Row],[STR]] / (Spider!$O$7 / 10.8)), 1)</f>
        <v>6</v>
      </c>
      <c r="AE39" s="8">
        <f>CEILING('Evolved Spider'!$M$8/ IF('Evolved Spider'!$O$8&lt; 10.8, Table14[[#This Row],[STR]], Table14[[#This Row],[STR]] / ('Evolved Spider'!$O$8 / 10.8)), 1)</f>
        <v>10</v>
      </c>
      <c r="AF39" s="8">
        <f>CEILING(Arachne!$M$4/ IF(Arachne!$O$4&lt; 10.8, Table14[[#This Row],[STR]], Table14[[#This Row],[STR]] / (Arachne!$O$4 / 10.8)), 1)</f>
        <v>14</v>
      </c>
      <c r="AG39" s="12">
        <f>CEILING('Earth Elemental'!$M$6/ IF('Earth Elemental'!$O$6&lt; 10.8, Table14[[#This Row],[STR]], Table14[[#This Row],[STR]] / ('Earth Elemental'!$O$6 / 10.8)), 1)</f>
        <v>13</v>
      </c>
      <c r="AH39" s="12">
        <f>CEILING('Wind Elemental'!$M$6/ IF('Wind Elemental'!$O$6&lt; 10.8, Table14[[#This Row],[STR]], Table14[[#This Row],[STR]] / ('Wind Elemental'!$O$6 / 10.8)), 1)</f>
        <v>11</v>
      </c>
      <c r="AI39" s="12">
        <f>CEILING('Water Elemental'!$M$6/ IF('Water Elemental'!$O$6&lt; 10.8, Table14[[#This Row],[STR]], Table14[[#This Row],[STR]] / ('Water Elemental'!$O$6 / 10.8)), 1)</f>
        <v>15</v>
      </c>
      <c r="AJ39" s="12">
        <f>CEILING('Fire Elemental'!$M$4/ IF('Fire Elemental'!$O$4&lt; 10.8, Table14[[#This Row],[STR]], Table14[[#This Row],[STR]] / ('Fire Elemental'!$O$4 / 10.8)), 1)</f>
        <v>22</v>
      </c>
      <c r="AK39" s="15">
        <f>CEILING(Wyvern!$M$4/ IF(Wyvern!$O$4&lt; 10.8, Table14[[#This Row],[STR]], Table14[[#This Row],[STR]] / (Wyvern!$O$4 / 10.8)), 1)</f>
        <v>27</v>
      </c>
      <c r="AL39" s="15">
        <f>CEILING('Evolved Wyvern'!$M$4/ IF('Evolved Wyvern'!$O$4&lt; 10.8, Table14[[#This Row],[STR]], Table14[[#This Row],[STR]] / ('Evolved Wyvern'!$O$4 / 10.8)), 1)</f>
        <v>36</v>
      </c>
      <c r="AM39" s="15">
        <f>CEILING(Dragon!$M$4/ IF(Dragon!$O$4&lt; 10.8, Table14[[#This Row],[STR]], Table14[[#This Row],[STR]] / (Dragon!$O$4 / 10.8)), 1)</f>
        <v>60</v>
      </c>
      <c r="AO39" s="8">
        <f>CEILING('Blue Slime'!$Z$5/ IF('Blue Slime'!$X$5&lt; 10.8, Table14[[#This Row],[STR]], Table14[[#This Row],[STR]] / ('Blue Slime'!$X$5 / 10.8)), 1)</f>
        <v>1</v>
      </c>
      <c r="AP39" s="8">
        <f>CEILING('Green Slime'!$Z$5/ IF('Green Slime'!$X$5&lt; 10.8, Table14[[#This Row],[STR]], Table14[[#This Row],[STR]] / ('Green Slime'!$X$5 / 10.8)), 1)</f>
        <v>2</v>
      </c>
      <c r="AQ39" s="8">
        <f>CEILING(Wolf!$Z$6/ IF(Wolf!$X$6&lt; 10.8, Table14[[#This Row],[STR]], Table14[[#This Row],[STR]] / (Wolf!$X$6 / 10.8)), 1)</f>
        <v>4</v>
      </c>
      <c r="AR39" s="8">
        <f>CEILING('Horned Wolf'!$Z$5/ IF('Horned Wolf'!$X$5&lt; 10.8, Table14[[#This Row],[STR]], Table14[[#This Row],[STR]] / ('Horned Wolf'!$X$5 / 10.8)), 1)</f>
        <v>11</v>
      </c>
      <c r="AS39" s="8">
        <f>CEILING(Spider!$Z$7/ IF(Spider!$X$7&lt; 10.8, Table14[[#This Row],[STR]], Table14[[#This Row],[STR]] / (Spider!$X$7 / 10.8)), 1)</f>
        <v>9</v>
      </c>
      <c r="AT39" s="8">
        <f>CEILING('Evolved Spider'!$Z$8/ IF('Evolved Spider'!$X$8&lt; 10.8, Table14[[#This Row],[STR]], Table14[[#This Row],[STR]] / ('Evolved Spider'!$X$8 / 10.8)), 1)</f>
        <v>17</v>
      </c>
      <c r="AU39" s="8">
        <f>CEILING(Arachne!$Z$4/ IF(Arachne!$X$4&lt; 10.8, Table14[[#This Row],[STR]], Table14[[#This Row],[STR]] / (Arachne!$X$4 / 10.8)), 1)</f>
        <v>23</v>
      </c>
      <c r="AV39" s="12">
        <f>CEILING('Earth Elemental'!$Z$6/ IF('Earth Elemental'!$X$6&lt; 10.8, Table14[[#This Row],[STR]], Table14[[#This Row],[STR]] / ('Earth Elemental'!$X$6 / 10.8)), 1)</f>
        <v>19</v>
      </c>
      <c r="AW39" s="12">
        <f>CEILING('Wind Elemental'!$Z$6/ IF('Wind Elemental'!$X$6&lt; 10.8, Table14[[#This Row],[STR]], Table14[[#This Row],[STR]] / ('Wind Elemental'!$X$6 / 10.8)), 1)</f>
        <v>15</v>
      </c>
      <c r="AX39" s="12">
        <f>CEILING('Water Elemental'!$Z$6/ IF('Water Elemental'!$X$6&lt; 10.8, Table14[[#This Row],[STR]], Table14[[#This Row],[STR]] / ('Water Elemental'!$X$6 / 10.8)), 1)</f>
        <v>20</v>
      </c>
      <c r="AY39" s="12">
        <f>CEILING('Fire Elemental'!$Z$4/ IF('Fire Elemental'!$X$4&lt; 10.8, Table14[[#This Row],[STR]], Table14[[#This Row],[STR]] / ('Fire Elemental'!$X$4 / 10.8)), 1)</f>
        <v>33</v>
      </c>
      <c r="AZ39" s="15">
        <f>CEILING(Wyvern!$Z$4/ IF(Wyvern!$X$4&lt; 10.8, Table14[[#This Row],[STR]], Table14[[#This Row],[STR]] / (Wyvern!$X$4 / 10.8)), 1)</f>
        <v>39</v>
      </c>
      <c r="BA39" s="15">
        <f>CEILING('Evolved Wyvern'!$Z$4/ IF('Evolved Wyvern'!$X$4&lt; 10.8, Table14[[#This Row],[STR]], Table14[[#This Row],[STR]] / ('Evolved Wyvern'!$X$4 / 10.8)), 1)</f>
        <v>51</v>
      </c>
      <c r="BB39" s="15">
        <f>CEILING(Dragon!$Z$4/ IF(Dragon!$X$4&lt; 10.8, Table14[[#This Row],[STR]], Table14[[#This Row],[STR]] / (Dragon!$X$4 / 10.8)), 1)</f>
        <v>85</v>
      </c>
    </row>
    <row r="40" spans="1:54" x14ac:dyDescent="0.3">
      <c r="A40" s="1">
        <v>38</v>
      </c>
      <c r="B40" s="1">
        <f>$B$3 + ((Table14[[#This Row],[Level]] / 10) + $B$3 / 8) * Table14[[#This Row],[Level]] + Equipment!$O$34</f>
        <v>254.4</v>
      </c>
      <c r="C40" s="1">
        <f xml:space="preserve"> 2*Table14[[#This Row],[INT]]</f>
        <v>178</v>
      </c>
      <c r="D40" s="1">
        <f>$D$3 + ($D$3 / 4) * Table14[[#This Row],[Level]] + Equipment!$P$34</f>
        <v>89</v>
      </c>
      <c r="E40" s="1">
        <f>$E$3 + ($E$3 / 4) * Table14[[#This Row],[Level]] + Equipment!$Q$34</f>
        <v>103.5</v>
      </c>
      <c r="F40" s="1">
        <f>$F$3 + ($F$3 / 4) * Table14[[#This Row],[Level]] + Equipment!$R$34</f>
        <v>73.5</v>
      </c>
      <c r="G40" s="1">
        <f>$G$3 + ($G$3 / 4) * Table14[[#This Row],[Level]] + Equipment!$S$34</f>
        <v>89</v>
      </c>
      <c r="H40" s="1">
        <f>$H$3 + ($H$3 / 4) * Table14[[#This Row],[Level]] + Equipment!$T$34</f>
        <v>118</v>
      </c>
      <c r="I40" s="1">
        <f xml:space="preserve"> (4 * (Table14[[#This Row],[Level]] ^ 3))/7 + $I$3</f>
        <v>31455.428571428572</v>
      </c>
      <c r="K40" s="8">
        <f>CEILING('Blue Slime'!$B$5/ IF('Blue Slime'!$D$5&lt; 10.8, Table14[[#This Row],[STR]], Table14[[#This Row],[STR]] / ('Blue Slime'!$D$5 / 10.8)), 1)</f>
        <v>1</v>
      </c>
      <c r="L40" s="8">
        <f>CEILING('Green Slime'!$B$5/ IF('Green Slime'!$D$5&lt; 10.8, Table14[[#This Row],[STR]], Table14[[#This Row],[STR]] / ('Green Slime'!$D$5 / 10.8)), 1)</f>
        <v>1</v>
      </c>
      <c r="M40" s="8">
        <f>CEILING(Wolf!$B$6/ IF(Wolf!$D$6&lt; 10.8, Table14[[#This Row],[STR]], Table14[[#This Row],[STR]] / (Wolf!$D$6 / 10.8)), 1)</f>
        <v>1</v>
      </c>
      <c r="N40" s="8">
        <f>CEILING('Horned Wolf'!$B$5/ IF('Horned Wolf'!$D$5&lt; 10.8, Table14[[#This Row],[STR]], Table14[[#This Row],[STR]] / ('Horned Wolf'!$D$5 / 10.8)), 1)</f>
        <v>3</v>
      </c>
      <c r="O40" s="8">
        <f>CEILING(Spider!$B$7/ IF(Spider!$D$7&lt; 10.8, Table14[[#This Row],[STR]], Table14[[#This Row],[STR]] / (Spider!$D$7 / 10.8)), 1)</f>
        <v>3</v>
      </c>
      <c r="P40" s="8">
        <f>CEILING('Evolved Spider'!$B$8/ IF('Evolved Spider'!$D$8&lt; 10.8, Table14[[#This Row],[STR]], Table14[[#This Row],[STR]] / ('Evolved Spider'!$D$8 / 10.8)), 1)</f>
        <v>6</v>
      </c>
      <c r="Q40" s="8">
        <f>CEILING(Arachne!$B$4/ IF(Arachne!$D$4&lt; 10.8, Table14[[#This Row],[STR]], Table14[[#This Row],[STR]] / (Arachne!$D$4 / 10.8)), 1)</f>
        <v>7</v>
      </c>
      <c r="R40" s="12">
        <f>CEILING('Earth Elemental'!$B$6/ IF('Earth Elemental'!$D$6&lt; 10.8, Table14[[#This Row],[STR]], Table14[[#This Row],[STR]] / ('Earth Elemental'!$D$6 / 10.8)), 1)</f>
        <v>7</v>
      </c>
      <c r="S40" s="12">
        <f>CEILING('Wind Elemental'!$B$6/ IF('Wind Elemental'!$D$6&lt; 10.8, Table14[[#This Row],[STR]], Table14[[#This Row],[STR]] / ('Wind Elemental'!$D$6 / 10.8)), 1)</f>
        <v>7</v>
      </c>
      <c r="T40" s="12">
        <f>CEILING('Water Elemental'!$B$6/ IF('Water Elemental'!$D$6&lt; 10.8, Table14[[#This Row],[STR]], Table14[[#This Row],[STR]] / ('Water Elemental'!$D$6 / 10.8)), 1)</f>
        <v>10</v>
      </c>
      <c r="U40" s="12">
        <f>CEILING('Fire Elemental'!$B$4/ IF('Fire Elemental'!$D$4&lt; 10.8, Table14[[#This Row],[STR]], Table14[[#This Row],[STR]] / ('Fire Elemental'!$D$4 / 10.8)), 1)</f>
        <v>12</v>
      </c>
      <c r="V40" s="15">
        <f>CEILING(Wyvern!$B$4/ IF(Wyvern!$D$4&lt; 10.8, Table14[[#This Row],[STR]], Table14[[#This Row],[STR]] / (Wyvern!$D$4 / 10.8)), 1)</f>
        <v>16</v>
      </c>
      <c r="W40" s="15">
        <f>CEILING('Evolved Wyvern'!$B$4/ IF('Evolved Wyvern'!$D$4&lt; 10.8, Table14[[#This Row],[STR]], Table14[[#This Row],[STR]] / ('Evolved Wyvern'!$D$4 / 10.8)), 1)</f>
        <v>23</v>
      </c>
      <c r="X40" s="15">
        <f>CEILING(Dragon!$B$4/ IF(Dragon!$D$4&lt; 10.8, Table14[[#This Row],[STR]], Table14[[#This Row],[STR]] / (Dragon!$D$4 / 10.8)), 1)</f>
        <v>37</v>
      </c>
      <c r="Z40" s="8">
        <f>CEILING('Blue Slime'!$M$5/ IF('Blue Slime'!$O$5&lt; 10.8, Table14[[#This Row],[STR]], Table14[[#This Row],[STR]] / ('Blue Slime'!$O$5 / 10.8)), 1)</f>
        <v>1</v>
      </c>
      <c r="AA40" s="8">
        <f>CEILING('Green Slime'!$M$5/ IF('Green Slime'!$O$5&lt; 10.8, Table14[[#This Row],[STR]], Table14[[#This Row],[STR]] / ('Green Slime'!$O$5 / 10.8)), 1)</f>
        <v>1</v>
      </c>
      <c r="AB40" s="8">
        <f>CEILING(Wolf!$M$6/ IF(Wolf!$O$6&lt; 10.8, Table14[[#This Row],[STR]], Table14[[#This Row],[STR]] / (Wolf!$O$6 / 10.8)), 1)</f>
        <v>3</v>
      </c>
      <c r="AC40" s="8">
        <f>CEILING('Horned Wolf'!$M$5/ IF('Horned Wolf'!$O$5&lt; 10.8, Table14[[#This Row],[STR]], Table14[[#This Row],[STR]] / ('Horned Wolf'!$O$5 / 10.8)), 1)</f>
        <v>6</v>
      </c>
      <c r="AD40" s="8">
        <f>CEILING(Spider!$M$7/ IF(Spider!$O$7&lt; 10.8, Table14[[#This Row],[STR]], Table14[[#This Row],[STR]] / (Spider!$O$7 / 10.8)), 1)</f>
        <v>6</v>
      </c>
      <c r="AE40" s="8">
        <f>CEILING('Evolved Spider'!$M$8/ IF('Evolved Spider'!$O$8&lt; 10.8, Table14[[#This Row],[STR]], Table14[[#This Row],[STR]] / ('Evolved Spider'!$O$8 / 10.8)), 1)</f>
        <v>10</v>
      </c>
      <c r="AF40" s="8">
        <f>CEILING(Arachne!$M$4/ IF(Arachne!$O$4&lt; 10.8, Table14[[#This Row],[STR]], Table14[[#This Row],[STR]] / (Arachne!$O$4 / 10.8)), 1)</f>
        <v>14</v>
      </c>
      <c r="AG40" s="12">
        <f>CEILING('Earth Elemental'!$M$6/ IF('Earth Elemental'!$O$6&lt; 10.8, Table14[[#This Row],[STR]], Table14[[#This Row],[STR]] / ('Earth Elemental'!$O$6 / 10.8)), 1)</f>
        <v>12</v>
      </c>
      <c r="AH40" s="12">
        <f>CEILING('Wind Elemental'!$M$6/ IF('Wind Elemental'!$O$6&lt; 10.8, Table14[[#This Row],[STR]], Table14[[#This Row],[STR]] / ('Wind Elemental'!$O$6 / 10.8)), 1)</f>
        <v>10</v>
      </c>
      <c r="AI40" s="12">
        <f>CEILING('Water Elemental'!$M$6/ IF('Water Elemental'!$O$6&lt; 10.8, Table14[[#This Row],[STR]], Table14[[#This Row],[STR]] / ('Water Elemental'!$O$6 / 10.8)), 1)</f>
        <v>15</v>
      </c>
      <c r="AJ40" s="12">
        <f>CEILING('Fire Elemental'!$M$4/ IF('Fire Elemental'!$O$4&lt; 10.8, Table14[[#This Row],[STR]], Table14[[#This Row],[STR]] / ('Fire Elemental'!$O$4 / 10.8)), 1)</f>
        <v>21</v>
      </c>
      <c r="AK40" s="15">
        <f>CEILING(Wyvern!$M$4/ IF(Wyvern!$O$4&lt; 10.8, Table14[[#This Row],[STR]], Table14[[#This Row],[STR]] / (Wyvern!$O$4 / 10.8)), 1)</f>
        <v>27</v>
      </c>
      <c r="AL40" s="15">
        <f>CEILING('Evolved Wyvern'!$M$4/ IF('Evolved Wyvern'!$O$4&lt; 10.8, Table14[[#This Row],[STR]], Table14[[#This Row],[STR]] / ('Evolved Wyvern'!$O$4 / 10.8)), 1)</f>
        <v>35</v>
      </c>
      <c r="AM40" s="15">
        <f>CEILING(Dragon!$M$4/ IF(Dragon!$O$4&lt; 10.8, Table14[[#This Row],[STR]], Table14[[#This Row],[STR]] / (Dragon!$O$4 / 10.8)), 1)</f>
        <v>59</v>
      </c>
      <c r="AO40" s="8">
        <f>CEILING('Blue Slime'!$Z$5/ IF('Blue Slime'!$X$5&lt; 10.8, Table14[[#This Row],[STR]], Table14[[#This Row],[STR]] / ('Blue Slime'!$X$5 / 10.8)), 1)</f>
        <v>1</v>
      </c>
      <c r="AP40" s="8">
        <f>CEILING('Green Slime'!$Z$5/ IF('Green Slime'!$X$5&lt; 10.8, Table14[[#This Row],[STR]], Table14[[#This Row],[STR]] / ('Green Slime'!$X$5 / 10.8)), 1)</f>
        <v>2</v>
      </c>
      <c r="AQ40" s="8">
        <f>CEILING(Wolf!$Z$6/ IF(Wolf!$X$6&lt; 10.8, Table14[[#This Row],[STR]], Table14[[#This Row],[STR]] / (Wolf!$X$6 / 10.8)), 1)</f>
        <v>4</v>
      </c>
      <c r="AR40" s="8">
        <f>CEILING('Horned Wolf'!$Z$5/ IF('Horned Wolf'!$X$5&lt; 10.8, Table14[[#This Row],[STR]], Table14[[#This Row],[STR]] / ('Horned Wolf'!$X$5 / 10.8)), 1)</f>
        <v>11</v>
      </c>
      <c r="AS40" s="8">
        <f>CEILING(Spider!$Z$7/ IF(Spider!$X$7&lt; 10.8, Table14[[#This Row],[STR]], Table14[[#This Row],[STR]] / (Spider!$X$7 / 10.8)), 1)</f>
        <v>9</v>
      </c>
      <c r="AT40" s="8">
        <f>CEILING('Evolved Spider'!$Z$8/ IF('Evolved Spider'!$X$8&lt; 10.8, Table14[[#This Row],[STR]], Table14[[#This Row],[STR]] / ('Evolved Spider'!$X$8 / 10.8)), 1)</f>
        <v>16</v>
      </c>
      <c r="AU40" s="8">
        <f>CEILING(Arachne!$Z$4/ IF(Arachne!$X$4&lt; 10.8, Table14[[#This Row],[STR]], Table14[[#This Row],[STR]] / (Arachne!$X$4 / 10.8)), 1)</f>
        <v>22</v>
      </c>
      <c r="AV40" s="12">
        <f>CEILING('Earth Elemental'!$Z$6/ IF('Earth Elemental'!$X$6&lt; 10.8, Table14[[#This Row],[STR]], Table14[[#This Row],[STR]] / ('Earth Elemental'!$X$6 / 10.8)), 1)</f>
        <v>19</v>
      </c>
      <c r="AW40" s="12">
        <f>CEILING('Wind Elemental'!$Z$6/ IF('Wind Elemental'!$X$6&lt; 10.8, Table14[[#This Row],[STR]], Table14[[#This Row],[STR]] / ('Wind Elemental'!$X$6 / 10.8)), 1)</f>
        <v>15</v>
      </c>
      <c r="AX40" s="12">
        <f>CEILING('Water Elemental'!$Z$6/ IF('Water Elemental'!$X$6&lt; 10.8, Table14[[#This Row],[STR]], Table14[[#This Row],[STR]] / ('Water Elemental'!$X$6 / 10.8)), 1)</f>
        <v>20</v>
      </c>
      <c r="AY40" s="12">
        <f>CEILING('Fire Elemental'!$Z$4/ IF('Fire Elemental'!$X$4&lt; 10.8, Table14[[#This Row],[STR]], Table14[[#This Row],[STR]] / ('Fire Elemental'!$X$4 / 10.8)), 1)</f>
        <v>32</v>
      </c>
      <c r="AZ40" s="15">
        <f>CEILING(Wyvern!$Z$4/ IF(Wyvern!$X$4&lt; 10.8, Table14[[#This Row],[STR]], Table14[[#This Row],[STR]] / (Wyvern!$X$4 / 10.8)), 1)</f>
        <v>39</v>
      </c>
      <c r="BA40" s="15">
        <f>CEILING('Evolved Wyvern'!$Z$4/ IF('Evolved Wyvern'!$X$4&lt; 10.8, Table14[[#This Row],[STR]], Table14[[#This Row],[STR]] / ('Evolved Wyvern'!$X$4 / 10.8)), 1)</f>
        <v>50</v>
      </c>
      <c r="BB40" s="15">
        <f>CEILING(Dragon!$Z$4/ IF(Dragon!$X$4&lt; 10.8, Table14[[#This Row],[STR]], Table14[[#This Row],[STR]] / (Dragon!$X$4 / 10.8)), 1)</f>
        <v>83</v>
      </c>
    </row>
    <row r="41" spans="1:54" x14ac:dyDescent="0.3">
      <c r="A41" s="1">
        <v>39</v>
      </c>
      <c r="B41" s="1">
        <f>$B$3 + ((Table14[[#This Row],[Level]] / 10) + $B$3 / 8) * Table14[[#This Row],[Level]] + Equipment!$O$34</f>
        <v>263.10000000000002</v>
      </c>
      <c r="C41" s="1">
        <f xml:space="preserve"> 2*Table14[[#This Row],[INT]]</f>
        <v>181</v>
      </c>
      <c r="D41" s="1">
        <f>$D$3 + ($D$3 / 4) * Table14[[#This Row],[Level]] + Equipment!$P$34</f>
        <v>90.5</v>
      </c>
      <c r="E41" s="1">
        <f>$E$3 + ($E$3 / 4) * Table14[[#This Row],[Level]] + Equipment!$Q$34</f>
        <v>105.25</v>
      </c>
      <c r="F41" s="1">
        <f>$F$3 + ($F$3 / 4) * Table14[[#This Row],[Level]] + Equipment!$R$34</f>
        <v>74.75</v>
      </c>
      <c r="G41" s="1">
        <f>$G$3 + ($G$3 / 4) * Table14[[#This Row],[Level]] + Equipment!$S$34</f>
        <v>90.5</v>
      </c>
      <c r="H41" s="1">
        <f>$H$3 + ($H$3 / 4) * Table14[[#This Row],[Level]] + Equipment!$T$34</f>
        <v>120</v>
      </c>
      <c r="I41" s="1">
        <f xml:space="preserve"> (4 * (Table14[[#This Row],[Level]] ^ 3))/7 + $I$3</f>
        <v>33996.571428571428</v>
      </c>
      <c r="K41" s="8">
        <f>CEILING('Blue Slime'!$B$5/ IF('Blue Slime'!$D$5&lt; 10.8, Table14[[#This Row],[STR]], Table14[[#This Row],[STR]] / ('Blue Slime'!$D$5 / 10.8)), 1)</f>
        <v>1</v>
      </c>
      <c r="L41" s="8">
        <f>CEILING('Green Slime'!$B$5/ IF('Green Slime'!$D$5&lt; 10.8, Table14[[#This Row],[STR]], Table14[[#This Row],[STR]] / ('Green Slime'!$D$5 / 10.8)), 1)</f>
        <v>1</v>
      </c>
      <c r="M41" s="8">
        <f>CEILING(Wolf!$B$6/ IF(Wolf!$D$6&lt; 10.8, Table14[[#This Row],[STR]], Table14[[#This Row],[STR]] / (Wolf!$D$6 / 10.8)), 1)</f>
        <v>1</v>
      </c>
      <c r="N41" s="8">
        <f>CEILING('Horned Wolf'!$B$5/ IF('Horned Wolf'!$D$5&lt; 10.8, Table14[[#This Row],[STR]], Table14[[#This Row],[STR]] / ('Horned Wolf'!$D$5 / 10.8)), 1)</f>
        <v>3</v>
      </c>
      <c r="O41" s="8">
        <f>CEILING(Spider!$B$7/ IF(Spider!$D$7&lt; 10.8, Table14[[#This Row],[STR]], Table14[[#This Row],[STR]] / (Spider!$D$7 / 10.8)), 1)</f>
        <v>3</v>
      </c>
      <c r="P41" s="8">
        <f>CEILING('Evolved Spider'!$B$8/ IF('Evolved Spider'!$D$8&lt; 10.8, Table14[[#This Row],[STR]], Table14[[#This Row],[STR]] / ('Evolved Spider'!$D$8 / 10.8)), 1)</f>
        <v>5</v>
      </c>
      <c r="Q41" s="8">
        <f>CEILING(Arachne!$B$4/ IF(Arachne!$D$4&lt; 10.8, Table14[[#This Row],[STR]], Table14[[#This Row],[STR]] / (Arachne!$D$4 / 10.8)), 1)</f>
        <v>7</v>
      </c>
      <c r="R41" s="12">
        <f>CEILING('Earth Elemental'!$B$6/ IF('Earth Elemental'!$D$6&lt; 10.8, Table14[[#This Row],[STR]], Table14[[#This Row],[STR]] / ('Earth Elemental'!$D$6 / 10.8)), 1)</f>
        <v>7</v>
      </c>
      <c r="S41" s="12">
        <f>CEILING('Wind Elemental'!$B$6/ IF('Wind Elemental'!$D$6&lt; 10.8, Table14[[#This Row],[STR]], Table14[[#This Row],[STR]] / ('Wind Elemental'!$D$6 / 10.8)), 1)</f>
        <v>6</v>
      </c>
      <c r="T41" s="12">
        <f>CEILING('Water Elemental'!$B$6/ IF('Water Elemental'!$D$6&lt; 10.8, Table14[[#This Row],[STR]], Table14[[#This Row],[STR]] / ('Water Elemental'!$D$6 / 10.8)), 1)</f>
        <v>10</v>
      </c>
      <c r="U41" s="12">
        <f>CEILING('Fire Elemental'!$B$4/ IF('Fire Elemental'!$D$4&lt; 10.8, Table14[[#This Row],[STR]], Table14[[#This Row],[STR]] / ('Fire Elemental'!$D$4 / 10.8)), 1)</f>
        <v>12</v>
      </c>
      <c r="V41" s="15">
        <f>CEILING(Wyvern!$B$4/ IF(Wyvern!$D$4&lt; 10.8, Table14[[#This Row],[STR]], Table14[[#This Row],[STR]] / (Wyvern!$D$4 / 10.8)), 1)</f>
        <v>16</v>
      </c>
      <c r="W41" s="15">
        <f>CEILING('Evolved Wyvern'!$B$4/ IF('Evolved Wyvern'!$D$4&lt; 10.8, Table14[[#This Row],[STR]], Table14[[#This Row],[STR]] / ('Evolved Wyvern'!$D$4 / 10.8)), 1)</f>
        <v>22</v>
      </c>
      <c r="X41" s="15">
        <f>CEILING(Dragon!$B$4/ IF(Dragon!$D$4&lt; 10.8, Table14[[#This Row],[STR]], Table14[[#This Row],[STR]] / (Dragon!$D$4 / 10.8)), 1)</f>
        <v>36</v>
      </c>
      <c r="Z41" s="8">
        <f>CEILING('Blue Slime'!$M$5/ IF('Blue Slime'!$O$5&lt; 10.8, Table14[[#This Row],[STR]], Table14[[#This Row],[STR]] / ('Blue Slime'!$O$5 / 10.8)), 1)</f>
        <v>1</v>
      </c>
      <c r="AA41" s="8">
        <f>CEILING('Green Slime'!$M$5/ IF('Green Slime'!$O$5&lt; 10.8, Table14[[#This Row],[STR]], Table14[[#This Row],[STR]] / ('Green Slime'!$O$5 / 10.8)), 1)</f>
        <v>1</v>
      </c>
      <c r="AB41" s="8">
        <f>CEILING(Wolf!$M$6/ IF(Wolf!$O$6&lt; 10.8, Table14[[#This Row],[STR]], Table14[[#This Row],[STR]] / (Wolf!$O$6 / 10.8)), 1)</f>
        <v>3</v>
      </c>
      <c r="AC41" s="8">
        <f>CEILING('Horned Wolf'!$M$5/ IF('Horned Wolf'!$O$5&lt; 10.8, Table14[[#This Row],[STR]], Table14[[#This Row],[STR]] / ('Horned Wolf'!$O$5 / 10.8)), 1)</f>
        <v>6</v>
      </c>
      <c r="AD41" s="8">
        <f>CEILING(Spider!$M$7/ IF(Spider!$O$7&lt; 10.8, Table14[[#This Row],[STR]], Table14[[#This Row],[STR]] / (Spider!$O$7 / 10.8)), 1)</f>
        <v>6</v>
      </c>
      <c r="AE41" s="8">
        <f>CEILING('Evolved Spider'!$M$8/ IF('Evolved Spider'!$O$8&lt; 10.8, Table14[[#This Row],[STR]], Table14[[#This Row],[STR]] / ('Evolved Spider'!$O$8 / 10.8)), 1)</f>
        <v>10</v>
      </c>
      <c r="AF41" s="8">
        <f>CEILING(Arachne!$M$4/ IF(Arachne!$O$4&lt; 10.8, Table14[[#This Row],[STR]], Table14[[#This Row],[STR]] / (Arachne!$O$4 / 10.8)), 1)</f>
        <v>13</v>
      </c>
      <c r="AG41" s="12">
        <f>CEILING('Earth Elemental'!$M$6/ IF('Earth Elemental'!$O$6&lt; 10.8, Table14[[#This Row],[STR]], Table14[[#This Row],[STR]] / ('Earth Elemental'!$O$6 / 10.8)), 1)</f>
        <v>12</v>
      </c>
      <c r="AH41" s="12">
        <f>CEILING('Wind Elemental'!$M$6/ IF('Wind Elemental'!$O$6&lt; 10.8, Table14[[#This Row],[STR]], Table14[[#This Row],[STR]] / ('Wind Elemental'!$O$6 / 10.8)), 1)</f>
        <v>10</v>
      </c>
      <c r="AI41" s="12">
        <f>CEILING('Water Elemental'!$M$6/ IF('Water Elemental'!$O$6&lt; 10.8, Table14[[#This Row],[STR]], Table14[[#This Row],[STR]] / ('Water Elemental'!$O$6 / 10.8)), 1)</f>
        <v>14</v>
      </c>
      <c r="AJ41" s="12">
        <f>CEILING('Fire Elemental'!$M$4/ IF('Fire Elemental'!$O$4&lt; 10.8, Table14[[#This Row],[STR]], Table14[[#This Row],[STR]] / ('Fire Elemental'!$O$4 / 10.8)), 1)</f>
        <v>21</v>
      </c>
      <c r="AK41" s="15">
        <f>CEILING(Wyvern!$M$4/ IF(Wyvern!$O$4&lt; 10.8, Table14[[#This Row],[STR]], Table14[[#This Row],[STR]] / (Wyvern!$O$4 / 10.8)), 1)</f>
        <v>26</v>
      </c>
      <c r="AL41" s="15">
        <f>CEILING('Evolved Wyvern'!$M$4/ IF('Evolved Wyvern'!$O$4&lt; 10.8, Table14[[#This Row],[STR]], Table14[[#This Row],[STR]] / ('Evolved Wyvern'!$O$4 / 10.8)), 1)</f>
        <v>35</v>
      </c>
      <c r="AM41" s="15">
        <f>CEILING(Dragon!$M$4/ IF(Dragon!$O$4&lt; 10.8, Table14[[#This Row],[STR]], Table14[[#This Row],[STR]] / (Dragon!$O$4 / 10.8)), 1)</f>
        <v>58</v>
      </c>
      <c r="AO41" s="8">
        <f>CEILING('Blue Slime'!$Z$5/ IF('Blue Slime'!$X$5&lt; 10.8, Table14[[#This Row],[STR]], Table14[[#This Row],[STR]] / ('Blue Slime'!$X$5 / 10.8)), 1)</f>
        <v>1</v>
      </c>
      <c r="AP41" s="8">
        <f>CEILING('Green Slime'!$Z$5/ IF('Green Slime'!$X$5&lt; 10.8, Table14[[#This Row],[STR]], Table14[[#This Row],[STR]] / ('Green Slime'!$X$5 / 10.8)), 1)</f>
        <v>2</v>
      </c>
      <c r="AQ41" s="8">
        <f>CEILING(Wolf!$Z$6/ IF(Wolf!$X$6&lt; 10.8, Table14[[#This Row],[STR]], Table14[[#This Row],[STR]] / (Wolf!$X$6 / 10.8)), 1)</f>
        <v>4</v>
      </c>
      <c r="AR41" s="8">
        <f>CEILING('Horned Wolf'!$Z$5/ IF('Horned Wolf'!$X$5&lt; 10.8, Table14[[#This Row],[STR]], Table14[[#This Row],[STR]] / ('Horned Wolf'!$X$5 / 10.8)), 1)</f>
        <v>10</v>
      </c>
      <c r="AS41" s="8">
        <f>CEILING(Spider!$Z$7/ IF(Spider!$X$7&lt; 10.8, Table14[[#This Row],[STR]], Table14[[#This Row],[STR]] / (Spider!$X$7 / 10.8)), 1)</f>
        <v>9</v>
      </c>
      <c r="AT41" s="8">
        <f>CEILING('Evolved Spider'!$Z$8/ IF('Evolved Spider'!$X$8&lt; 10.8, Table14[[#This Row],[STR]], Table14[[#This Row],[STR]] / ('Evolved Spider'!$X$8 / 10.8)), 1)</f>
        <v>16</v>
      </c>
      <c r="AU41" s="8">
        <f>CEILING(Arachne!$Z$4/ IF(Arachne!$X$4&lt; 10.8, Table14[[#This Row],[STR]], Table14[[#This Row],[STR]] / (Arachne!$X$4 / 10.8)), 1)</f>
        <v>22</v>
      </c>
      <c r="AV41" s="12">
        <f>CEILING('Earth Elemental'!$Z$6/ IF('Earth Elemental'!$X$6&lt; 10.8, Table14[[#This Row],[STR]], Table14[[#This Row],[STR]] / ('Earth Elemental'!$X$6 / 10.8)), 1)</f>
        <v>18</v>
      </c>
      <c r="AW41" s="12">
        <f>CEILING('Wind Elemental'!$Z$6/ IF('Wind Elemental'!$X$6&lt; 10.8, Table14[[#This Row],[STR]], Table14[[#This Row],[STR]] / ('Wind Elemental'!$X$6 / 10.8)), 1)</f>
        <v>14</v>
      </c>
      <c r="AX41" s="12">
        <f>CEILING('Water Elemental'!$Z$6/ IF('Water Elemental'!$X$6&lt; 10.8, Table14[[#This Row],[STR]], Table14[[#This Row],[STR]] / ('Water Elemental'!$X$6 / 10.8)), 1)</f>
        <v>20</v>
      </c>
      <c r="AY41" s="12">
        <f>CEILING('Fire Elemental'!$Z$4/ IF('Fire Elemental'!$X$4&lt; 10.8, Table14[[#This Row],[STR]], Table14[[#This Row],[STR]] / ('Fire Elemental'!$X$4 / 10.8)), 1)</f>
        <v>32</v>
      </c>
      <c r="AZ41" s="15">
        <f>CEILING(Wyvern!$Z$4/ IF(Wyvern!$X$4&lt; 10.8, Table14[[#This Row],[STR]], Table14[[#This Row],[STR]] / (Wyvern!$X$4 / 10.8)), 1)</f>
        <v>38</v>
      </c>
      <c r="BA41" s="15">
        <f>CEILING('Evolved Wyvern'!$Z$4/ IF('Evolved Wyvern'!$X$4&lt; 10.8, Table14[[#This Row],[STR]], Table14[[#This Row],[STR]] / ('Evolved Wyvern'!$X$4 / 10.8)), 1)</f>
        <v>49</v>
      </c>
      <c r="BB41" s="15">
        <f>CEILING(Dragon!$Z$4/ IF(Dragon!$X$4&lt; 10.8, Table14[[#This Row],[STR]], Table14[[#This Row],[STR]] / (Dragon!$X$4 / 10.8)), 1)</f>
        <v>82</v>
      </c>
    </row>
    <row r="42" spans="1:54" x14ac:dyDescent="0.3">
      <c r="A42" s="1">
        <v>40</v>
      </c>
      <c r="B42" s="1">
        <f>$B$3 + ((Table14[[#This Row],[Level]] / 10) + $B$3 / 8) * Table14[[#This Row],[Level]] + Equipment!$O$34</f>
        <v>272</v>
      </c>
      <c r="C42" s="1">
        <f xml:space="preserve"> 2*Table14[[#This Row],[INT]]</f>
        <v>184</v>
      </c>
      <c r="D42" s="1">
        <f>$D$3 + ($D$3 / 4) * Table14[[#This Row],[Level]] + Equipment!$P$34</f>
        <v>92</v>
      </c>
      <c r="E42" s="1">
        <f>$E$3 + ($E$3 / 4) * Table14[[#This Row],[Level]] + Equipment!$Q$34</f>
        <v>107</v>
      </c>
      <c r="F42" s="1">
        <f>$F$3 + ($F$3 / 4) * Table14[[#This Row],[Level]] + Equipment!$R$34</f>
        <v>76</v>
      </c>
      <c r="G42" s="1">
        <f>$G$3 + ($G$3 / 4) * Table14[[#This Row],[Level]] + Equipment!$S$34</f>
        <v>92</v>
      </c>
      <c r="H42" s="1">
        <f>$H$3 + ($H$3 / 4) * Table14[[#This Row],[Level]] + Equipment!$T$34</f>
        <v>122</v>
      </c>
      <c r="I42" s="1">
        <f xml:space="preserve"> (4 * (Table14[[#This Row],[Level]] ^ 3))/7 + $I$3</f>
        <v>36671.428571428572</v>
      </c>
      <c r="K42" s="8">
        <f>CEILING('Blue Slime'!$B$5/ IF('Blue Slime'!$D$5&lt; 10.8, Table14[[#This Row],[STR]], Table14[[#This Row],[STR]] / ('Blue Slime'!$D$5 / 10.8)), 1)</f>
        <v>1</v>
      </c>
      <c r="L42" s="8">
        <f>CEILING('Green Slime'!$B$5/ IF('Green Slime'!$D$5&lt; 10.8, Table14[[#This Row],[STR]], Table14[[#This Row],[STR]] / ('Green Slime'!$D$5 / 10.8)), 1)</f>
        <v>1</v>
      </c>
      <c r="M42" s="8">
        <f>CEILING(Wolf!$B$6/ IF(Wolf!$D$6&lt; 10.8, Table14[[#This Row],[STR]], Table14[[#This Row],[STR]] / (Wolf!$D$6 / 10.8)), 1)</f>
        <v>1</v>
      </c>
      <c r="N42" s="8">
        <f>CEILING('Horned Wolf'!$B$5/ IF('Horned Wolf'!$D$5&lt; 10.8, Table14[[#This Row],[STR]], Table14[[#This Row],[STR]] / ('Horned Wolf'!$D$5 / 10.8)), 1)</f>
        <v>3</v>
      </c>
      <c r="O42" s="8">
        <f>CEILING(Spider!$B$7/ IF(Spider!$D$7&lt; 10.8, Table14[[#This Row],[STR]], Table14[[#This Row],[STR]] / (Spider!$D$7 / 10.8)), 1)</f>
        <v>3</v>
      </c>
      <c r="P42" s="8">
        <f>CEILING('Evolved Spider'!$B$8/ IF('Evolved Spider'!$D$8&lt; 10.8, Table14[[#This Row],[STR]], Table14[[#This Row],[STR]] / ('Evolved Spider'!$D$8 / 10.8)), 1)</f>
        <v>5</v>
      </c>
      <c r="Q42" s="8">
        <f>CEILING(Arachne!$B$4/ IF(Arachne!$D$4&lt; 10.8, Table14[[#This Row],[STR]], Table14[[#This Row],[STR]] / (Arachne!$D$4 / 10.8)), 1)</f>
        <v>7</v>
      </c>
      <c r="R42" s="12">
        <f>CEILING('Earth Elemental'!$B$6/ IF('Earth Elemental'!$D$6&lt; 10.8, Table14[[#This Row],[STR]], Table14[[#This Row],[STR]] / ('Earth Elemental'!$D$6 / 10.8)), 1)</f>
        <v>7</v>
      </c>
      <c r="S42" s="12">
        <f>CEILING('Wind Elemental'!$B$6/ IF('Wind Elemental'!$D$6&lt; 10.8, Table14[[#This Row],[STR]], Table14[[#This Row],[STR]] / ('Wind Elemental'!$D$6 / 10.8)), 1)</f>
        <v>6</v>
      </c>
      <c r="T42" s="12">
        <f>CEILING('Water Elemental'!$B$6/ IF('Water Elemental'!$D$6&lt; 10.8, Table14[[#This Row],[STR]], Table14[[#This Row],[STR]] / ('Water Elemental'!$D$6 / 10.8)), 1)</f>
        <v>9</v>
      </c>
      <c r="U42" s="12">
        <f>CEILING('Fire Elemental'!$B$4/ IF('Fire Elemental'!$D$4&lt; 10.8, Table14[[#This Row],[STR]], Table14[[#This Row],[STR]] / ('Fire Elemental'!$D$4 / 10.8)), 1)</f>
        <v>12</v>
      </c>
      <c r="V42" s="15">
        <f>CEILING(Wyvern!$B$4/ IF(Wyvern!$D$4&lt; 10.8, Table14[[#This Row],[STR]], Table14[[#This Row],[STR]] / (Wyvern!$D$4 / 10.8)), 1)</f>
        <v>16</v>
      </c>
      <c r="W42" s="15">
        <f>CEILING('Evolved Wyvern'!$B$4/ IF('Evolved Wyvern'!$D$4&lt; 10.8, Table14[[#This Row],[STR]], Table14[[#This Row],[STR]] / ('Evolved Wyvern'!$D$4 / 10.8)), 1)</f>
        <v>22</v>
      </c>
      <c r="X42" s="15">
        <f>CEILING(Dragon!$B$4/ IF(Dragon!$D$4&lt; 10.8, Table14[[#This Row],[STR]], Table14[[#This Row],[STR]] / (Dragon!$D$4 / 10.8)), 1)</f>
        <v>36</v>
      </c>
      <c r="Z42" s="8">
        <f>CEILING('Blue Slime'!$M$5/ IF('Blue Slime'!$O$5&lt; 10.8, Table14[[#This Row],[STR]], Table14[[#This Row],[STR]] / ('Blue Slime'!$O$5 / 10.8)), 1)</f>
        <v>1</v>
      </c>
      <c r="AA42" s="8">
        <f>CEILING('Green Slime'!$M$5/ IF('Green Slime'!$O$5&lt; 10.8, Table14[[#This Row],[STR]], Table14[[#This Row],[STR]] / ('Green Slime'!$O$5 / 10.8)), 1)</f>
        <v>1</v>
      </c>
      <c r="AB42" s="8">
        <f>CEILING(Wolf!$M$6/ IF(Wolf!$O$6&lt; 10.8, Table14[[#This Row],[STR]], Table14[[#This Row],[STR]] / (Wolf!$O$6 / 10.8)), 1)</f>
        <v>2</v>
      </c>
      <c r="AC42" s="8">
        <f>CEILING('Horned Wolf'!$M$5/ IF('Horned Wolf'!$O$5&lt; 10.8, Table14[[#This Row],[STR]], Table14[[#This Row],[STR]] / ('Horned Wolf'!$O$5 / 10.8)), 1)</f>
        <v>6</v>
      </c>
      <c r="AD42" s="8">
        <f>CEILING(Spider!$M$7/ IF(Spider!$O$7&lt; 10.8, Table14[[#This Row],[STR]], Table14[[#This Row],[STR]] / (Spider!$O$7 / 10.8)), 1)</f>
        <v>6</v>
      </c>
      <c r="AE42" s="8">
        <f>CEILING('Evolved Spider'!$M$8/ IF('Evolved Spider'!$O$8&lt; 10.8, Table14[[#This Row],[STR]], Table14[[#This Row],[STR]] / ('Evolved Spider'!$O$8 / 10.8)), 1)</f>
        <v>10</v>
      </c>
      <c r="AF42" s="8">
        <f>CEILING(Arachne!$M$4/ IF(Arachne!$O$4&lt; 10.8, Table14[[#This Row],[STR]], Table14[[#This Row],[STR]] / (Arachne!$O$4 / 10.8)), 1)</f>
        <v>13</v>
      </c>
      <c r="AG42" s="12">
        <f>CEILING('Earth Elemental'!$M$6/ IF('Earth Elemental'!$O$6&lt; 10.8, Table14[[#This Row],[STR]], Table14[[#This Row],[STR]] / ('Earth Elemental'!$O$6 / 10.8)), 1)</f>
        <v>12</v>
      </c>
      <c r="AH42" s="12">
        <f>CEILING('Wind Elemental'!$M$6/ IF('Wind Elemental'!$O$6&lt; 10.8, Table14[[#This Row],[STR]], Table14[[#This Row],[STR]] / ('Wind Elemental'!$O$6 / 10.8)), 1)</f>
        <v>10</v>
      </c>
      <c r="AI42" s="12">
        <f>CEILING('Water Elemental'!$M$6/ IF('Water Elemental'!$O$6&lt; 10.8, Table14[[#This Row],[STR]], Table14[[#This Row],[STR]] / ('Water Elemental'!$O$6 / 10.8)), 1)</f>
        <v>14</v>
      </c>
      <c r="AJ42" s="12">
        <f>CEILING('Fire Elemental'!$M$4/ IF('Fire Elemental'!$O$4&lt; 10.8, Table14[[#This Row],[STR]], Table14[[#This Row],[STR]] / ('Fire Elemental'!$O$4 / 10.8)), 1)</f>
        <v>21</v>
      </c>
      <c r="AK42" s="15">
        <f>CEILING(Wyvern!$M$4/ IF(Wyvern!$O$4&lt; 10.8, Table14[[#This Row],[STR]], Table14[[#This Row],[STR]] / (Wyvern!$O$4 / 10.8)), 1)</f>
        <v>26</v>
      </c>
      <c r="AL42" s="15">
        <f>CEILING('Evolved Wyvern'!$M$4/ IF('Evolved Wyvern'!$O$4&lt; 10.8, Table14[[#This Row],[STR]], Table14[[#This Row],[STR]] / ('Evolved Wyvern'!$O$4 / 10.8)), 1)</f>
        <v>34</v>
      </c>
      <c r="AM42" s="15">
        <f>CEILING(Dragon!$M$4/ IF(Dragon!$O$4&lt; 10.8, Table14[[#This Row],[STR]], Table14[[#This Row],[STR]] / (Dragon!$O$4 / 10.8)), 1)</f>
        <v>57</v>
      </c>
      <c r="AO42" s="8">
        <f>CEILING('Blue Slime'!$Z$5/ IF('Blue Slime'!$X$5&lt; 10.8, Table14[[#This Row],[STR]], Table14[[#This Row],[STR]] / ('Blue Slime'!$X$5 / 10.8)), 1)</f>
        <v>1</v>
      </c>
      <c r="AP42" s="8">
        <f>CEILING('Green Slime'!$Z$5/ IF('Green Slime'!$X$5&lt; 10.8, Table14[[#This Row],[STR]], Table14[[#This Row],[STR]] / ('Green Slime'!$X$5 / 10.8)), 1)</f>
        <v>2</v>
      </c>
      <c r="AQ42" s="8">
        <f>CEILING(Wolf!$Z$6/ IF(Wolf!$X$6&lt; 10.8, Table14[[#This Row],[STR]], Table14[[#This Row],[STR]] / (Wolf!$X$6 / 10.8)), 1)</f>
        <v>4</v>
      </c>
      <c r="AR42" s="8">
        <f>CEILING('Horned Wolf'!$Z$5/ IF('Horned Wolf'!$X$5&lt; 10.8, Table14[[#This Row],[STR]], Table14[[#This Row],[STR]] / ('Horned Wolf'!$X$5 / 10.8)), 1)</f>
        <v>10</v>
      </c>
      <c r="AS42" s="8">
        <f>CEILING(Spider!$Z$7/ IF(Spider!$X$7&lt; 10.8, Table14[[#This Row],[STR]], Table14[[#This Row],[STR]] / (Spider!$X$7 / 10.8)), 1)</f>
        <v>9</v>
      </c>
      <c r="AT42" s="8">
        <f>CEILING('Evolved Spider'!$Z$8/ IF('Evolved Spider'!$X$8&lt; 10.8, Table14[[#This Row],[STR]], Table14[[#This Row],[STR]] / ('Evolved Spider'!$X$8 / 10.8)), 1)</f>
        <v>16</v>
      </c>
      <c r="AU42" s="8">
        <f>CEILING(Arachne!$Z$4/ IF(Arachne!$X$4&lt; 10.8, Table14[[#This Row],[STR]], Table14[[#This Row],[STR]] / (Arachne!$X$4 / 10.8)), 1)</f>
        <v>22</v>
      </c>
      <c r="AV42" s="12">
        <f>CEILING('Earth Elemental'!$Z$6/ IF('Earth Elemental'!$X$6&lt; 10.8, Table14[[#This Row],[STR]], Table14[[#This Row],[STR]] / ('Earth Elemental'!$X$6 / 10.8)), 1)</f>
        <v>18</v>
      </c>
      <c r="AW42" s="12">
        <f>CEILING('Wind Elemental'!$Z$6/ IF('Wind Elemental'!$X$6&lt; 10.8, Table14[[#This Row],[STR]], Table14[[#This Row],[STR]] / ('Wind Elemental'!$X$6 / 10.8)), 1)</f>
        <v>14</v>
      </c>
      <c r="AX42" s="12">
        <f>CEILING('Water Elemental'!$Z$6/ IF('Water Elemental'!$X$6&lt; 10.8, Table14[[#This Row],[STR]], Table14[[#This Row],[STR]] / ('Water Elemental'!$X$6 / 10.8)), 1)</f>
        <v>19</v>
      </c>
      <c r="AY42" s="12">
        <f>CEILING('Fire Elemental'!$Z$4/ IF('Fire Elemental'!$X$4&lt; 10.8, Table14[[#This Row],[STR]], Table14[[#This Row],[STR]] / ('Fire Elemental'!$X$4 / 10.8)), 1)</f>
        <v>31</v>
      </c>
      <c r="AZ42" s="15">
        <f>CEILING(Wyvern!$Z$4/ IF(Wyvern!$X$4&lt; 10.8, Table14[[#This Row],[STR]], Table14[[#This Row],[STR]] / (Wyvern!$X$4 / 10.8)), 1)</f>
        <v>38</v>
      </c>
      <c r="BA42" s="15">
        <f>CEILING('Evolved Wyvern'!$Z$4/ IF('Evolved Wyvern'!$X$4&lt; 10.8, Table14[[#This Row],[STR]], Table14[[#This Row],[STR]] / ('Evolved Wyvern'!$X$4 / 10.8)), 1)</f>
        <v>48</v>
      </c>
      <c r="BB42" s="15">
        <f>CEILING(Dragon!$Z$4/ IF(Dragon!$X$4&lt; 10.8, Table14[[#This Row],[STR]], Table14[[#This Row],[STR]] / (Dragon!$X$4 / 10.8)), 1)</f>
        <v>81</v>
      </c>
    </row>
    <row r="43" spans="1:54" x14ac:dyDescent="0.3">
      <c r="A43" s="1">
        <v>41</v>
      </c>
      <c r="B43" s="1">
        <f>$B$3 + ((Table14[[#This Row],[Level]] / 10) + $B$3 / 8) * Table14[[#This Row],[Level]] + Equipment!$O$34</f>
        <v>281.10000000000002</v>
      </c>
      <c r="C43" s="1">
        <f xml:space="preserve"> 2*Table14[[#This Row],[INT]]</f>
        <v>187</v>
      </c>
      <c r="D43" s="1">
        <f>$D$3 + ($D$3 / 4) * Table14[[#This Row],[Level]] + Equipment!$P$34</f>
        <v>93.5</v>
      </c>
      <c r="E43" s="1">
        <f>$E$3 + ($E$3 / 4) * Table14[[#This Row],[Level]] + Equipment!$Q$34</f>
        <v>108.75</v>
      </c>
      <c r="F43" s="1">
        <f>$F$3 + ($F$3 / 4) * Table14[[#This Row],[Level]] + Equipment!$R$34</f>
        <v>77.25</v>
      </c>
      <c r="G43" s="1">
        <f>$G$3 + ($G$3 / 4) * Table14[[#This Row],[Level]] + Equipment!$S$34</f>
        <v>93.5</v>
      </c>
      <c r="H43" s="1">
        <f>$H$3 + ($H$3 / 4) * Table14[[#This Row],[Level]] + Equipment!$T$34</f>
        <v>124</v>
      </c>
      <c r="I43" s="1">
        <f xml:space="preserve"> (4 * (Table14[[#This Row],[Level]] ^ 3))/7 + $I$3</f>
        <v>39483.428571428572</v>
      </c>
      <c r="K43" s="8">
        <f>CEILING('Blue Slime'!$B$5/ IF('Blue Slime'!$D$5&lt; 10.8, Table14[[#This Row],[STR]], Table14[[#This Row],[STR]] / ('Blue Slime'!$D$5 / 10.8)), 1)</f>
        <v>1</v>
      </c>
      <c r="L43" s="8">
        <f>CEILING('Green Slime'!$B$5/ IF('Green Slime'!$D$5&lt; 10.8, Table14[[#This Row],[STR]], Table14[[#This Row],[STR]] / ('Green Slime'!$D$5 / 10.8)), 1)</f>
        <v>1</v>
      </c>
      <c r="M43" s="8">
        <f>CEILING(Wolf!$B$6/ IF(Wolf!$D$6&lt; 10.8, Table14[[#This Row],[STR]], Table14[[#This Row],[STR]] / (Wolf!$D$6 / 10.8)), 1)</f>
        <v>1</v>
      </c>
      <c r="N43" s="8">
        <f>CEILING('Horned Wolf'!$B$5/ IF('Horned Wolf'!$D$5&lt; 10.8, Table14[[#This Row],[STR]], Table14[[#This Row],[STR]] / ('Horned Wolf'!$D$5 / 10.8)), 1)</f>
        <v>3</v>
      </c>
      <c r="O43" s="8">
        <f>CEILING(Spider!$B$7/ IF(Spider!$D$7&lt; 10.8, Table14[[#This Row],[STR]], Table14[[#This Row],[STR]] / (Spider!$D$7 / 10.8)), 1)</f>
        <v>3</v>
      </c>
      <c r="P43" s="8">
        <f>CEILING('Evolved Spider'!$B$8/ IF('Evolved Spider'!$D$8&lt; 10.8, Table14[[#This Row],[STR]], Table14[[#This Row],[STR]] / ('Evolved Spider'!$D$8 / 10.8)), 1)</f>
        <v>5</v>
      </c>
      <c r="Q43" s="8">
        <f>CEILING(Arachne!$B$4/ IF(Arachne!$D$4&lt; 10.8, Table14[[#This Row],[STR]], Table14[[#This Row],[STR]] / (Arachne!$D$4 / 10.8)), 1)</f>
        <v>7</v>
      </c>
      <c r="R43" s="12">
        <f>CEILING('Earth Elemental'!$B$6/ IF('Earth Elemental'!$D$6&lt; 10.8, Table14[[#This Row],[STR]], Table14[[#This Row],[STR]] / ('Earth Elemental'!$D$6 / 10.8)), 1)</f>
        <v>7</v>
      </c>
      <c r="S43" s="12">
        <f>CEILING('Wind Elemental'!$B$6/ IF('Wind Elemental'!$D$6&lt; 10.8, Table14[[#This Row],[STR]], Table14[[#This Row],[STR]] / ('Wind Elemental'!$D$6 / 10.8)), 1)</f>
        <v>6</v>
      </c>
      <c r="T43" s="12">
        <f>CEILING('Water Elemental'!$B$6/ IF('Water Elemental'!$D$6&lt; 10.8, Table14[[#This Row],[STR]], Table14[[#This Row],[STR]] / ('Water Elemental'!$D$6 / 10.8)), 1)</f>
        <v>9</v>
      </c>
      <c r="U43" s="12">
        <f>CEILING('Fire Elemental'!$B$4/ IF('Fire Elemental'!$D$4&lt; 10.8, Table14[[#This Row],[STR]], Table14[[#This Row],[STR]] / ('Fire Elemental'!$D$4 / 10.8)), 1)</f>
        <v>12</v>
      </c>
      <c r="V43" s="15">
        <f>CEILING(Wyvern!$B$4/ IF(Wyvern!$D$4&lt; 10.8, Table14[[#This Row],[STR]], Table14[[#This Row],[STR]] / (Wyvern!$D$4 / 10.8)), 1)</f>
        <v>16</v>
      </c>
      <c r="W43" s="15">
        <f>CEILING('Evolved Wyvern'!$B$4/ IF('Evolved Wyvern'!$D$4&lt; 10.8, Table14[[#This Row],[STR]], Table14[[#This Row],[STR]] / ('Evolved Wyvern'!$D$4 / 10.8)), 1)</f>
        <v>22</v>
      </c>
      <c r="X43" s="15">
        <f>CEILING(Dragon!$B$4/ IF(Dragon!$D$4&lt; 10.8, Table14[[#This Row],[STR]], Table14[[#This Row],[STR]] / (Dragon!$D$4 / 10.8)), 1)</f>
        <v>35</v>
      </c>
      <c r="Z43" s="8">
        <f>CEILING('Blue Slime'!$M$5/ IF('Blue Slime'!$O$5&lt; 10.8, Table14[[#This Row],[STR]], Table14[[#This Row],[STR]] / ('Blue Slime'!$O$5 / 10.8)), 1)</f>
        <v>1</v>
      </c>
      <c r="AA43" s="8">
        <f>CEILING('Green Slime'!$M$5/ IF('Green Slime'!$O$5&lt; 10.8, Table14[[#This Row],[STR]], Table14[[#This Row],[STR]] / ('Green Slime'!$O$5 / 10.8)), 1)</f>
        <v>1</v>
      </c>
      <c r="AB43" s="8">
        <f>CEILING(Wolf!$M$6/ IF(Wolf!$O$6&lt; 10.8, Table14[[#This Row],[STR]], Table14[[#This Row],[STR]] / (Wolf!$O$6 / 10.8)), 1)</f>
        <v>2</v>
      </c>
      <c r="AC43" s="8">
        <f>CEILING('Horned Wolf'!$M$5/ IF('Horned Wolf'!$O$5&lt; 10.8, Table14[[#This Row],[STR]], Table14[[#This Row],[STR]] / ('Horned Wolf'!$O$5 / 10.8)), 1)</f>
        <v>6</v>
      </c>
      <c r="AD43" s="8">
        <f>CEILING(Spider!$M$7/ IF(Spider!$O$7&lt; 10.8, Table14[[#This Row],[STR]], Table14[[#This Row],[STR]] / (Spider!$O$7 / 10.8)), 1)</f>
        <v>5</v>
      </c>
      <c r="AE43" s="8">
        <f>CEILING('Evolved Spider'!$M$8/ IF('Evolved Spider'!$O$8&lt; 10.8, Table14[[#This Row],[STR]], Table14[[#This Row],[STR]] / ('Evolved Spider'!$O$8 / 10.8)), 1)</f>
        <v>10</v>
      </c>
      <c r="AF43" s="8">
        <f>CEILING(Arachne!$M$4/ IF(Arachne!$O$4&lt; 10.8, Table14[[#This Row],[STR]], Table14[[#This Row],[STR]] / (Arachne!$O$4 / 10.8)), 1)</f>
        <v>13</v>
      </c>
      <c r="AG43" s="12">
        <f>CEILING('Earth Elemental'!$M$6/ IF('Earth Elemental'!$O$6&lt; 10.8, Table14[[#This Row],[STR]], Table14[[#This Row],[STR]] / ('Earth Elemental'!$O$6 / 10.8)), 1)</f>
        <v>12</v>
      </c>
      <c r="AH43" s="12">
        <f>CEILING('Wind Elemental'!$M$6/ IF('Wind Elemental'!$O$6&lt; 10.8, Table14[[#This Row],[STR]], Table14[[#This Row],[STR]] / ('Wind Elemental'!$O$6 / 10.8)), 1)</f>
        <v>10</v>
      </c>
      <c r="AI43" s="12">
        <f>CEILING('Water Elemental'!$M$6/ IF('Water Elemental'!$O$6&lt; 10.8, Table14[[#This Row],[STR]], Table14[[#This Row],[STR]] / ('Water Elemental'!$O$6 / 10.8)), 1)</f>
        <v>14</v>
      </c>
      <c r="AJ43" s="12">
        <f>CEILING('Fire Elemental'!$M$4/ IF('Fire Elemental'!$O$4&lt; 10.8, Table14[[#This Row],[STR]], Table14[[#This Row],[STR]] / ('Fire Elemental'!$O$4 / 10.8)), 1)</f>
        <v>20</v>
      </c>
      <c r="AK43" s="15">
        <f>CEILING(Wyvern!$M$4/ IF(Wyvern!$O$4&lt; 10.8, Table14[[#This Row],[STR]], Table14[[#This Row],[STR]] / (Wyvern!$O$4 / 10.8)), 1)</f>
        <v>26</v>
      </c>
      <c r="AL43" s="15">
        <f>CEILING('Evolved Wyvern'!$M$4/ IF('Evolved Wyvern'!$O$4&lt; 10.8, Table14[[#This Row],[STR]], Table14[[#This Row],[STR]] / ('Evolved Wyvern'!$O$4 / 10.8)), 1)</f>
        <v>34</v>
      </c>
      <c r="AM43" s="15">
        <f>CEILING(Dragon!$M$4/ IF(Dragon!$O$4&lt; 10.8, Table14[[#This Row],[STR]], Table14[[#This Row],[STR]] / (Dragon!$O$4 / 10.8)), 1)</f>
        <v>56</v>
      </c>
      <c r="AO43" s="8">
        <f>CEILING('Blue Slime'!$Z$5/ IF('Blue Slime'!$X$5&lt; 10.8, Table14[[#This Row],[STR]], Table14[[#This Row],[STR]] / ('Blue Slime'!$X$5 / 10.8)), 1)</f>
        <v>1</v>
      </c>
      <c r="AP43" s="8">
        <f>CEILING('Green Slime'!$Z$5/ IF('Green Slime'!$X$5&lt; 10.8, Table14[[#This Row],[STR]], Table14[[#This Row],[STR]] / ('Green Slime'!$X$5 / 10.8)), 1)</f>
        <v>2</v>
      </c>
      <c r="AQ43" s="8">
        <f>CEILING(Wolf!$Z$6/ IF(Wolf!$X$6&lt; 10.8, Table14[[#This Row],[STR]], Table14[[#This Row],[STR]] / (Wolf!$X$6 / 10.8)), 1)</f>
        <v>4</v>
      </c>
      <c r="AR43" s="8">
        <f>CEILING('Horned Wolf'!$Z$5/ IF('Horned Wolf'!$X$5&lt; 10.8, Table14[[#This Row],[STR]], Table14[[#This Row],[STR]] / ('Horned Wolf'!$X$5 / 10.8)), 1)</f>
        <v>10</v>
      </c>
      <c r="AS43" s="8">
        <f>CEILING(Spider!$Z$7/ IF(Spider!$X$7&lt; 10.8, Table14[[#This Row],[STR]], Table14[[#This Row],[STR]] / (Spider!$X$7 / 10.8)), 1)</f>
        <v>9</v>
      </c>
      <c r="AT43" s="8">
        <f>CEILING('Evolved Spider'!$Z$8/ IF('Evolved Spider'!$X$8&lt; 10.8, Table14[[#This Row],[STR]], Table14[[#This Row],[STR]] / ('Evolved Spider'!$X$8 / 10.8)), 1)</f>
        <v>16</v>
      </c>
      <c r="AU43" s="8">
        <f>CEILING(Arachne!$Z$4/ IF(Arachne!$X$4&lt; 10.8, Table14[[#This Row],[STR]], Table14[[#This Row],[STR]] / (Arachne!$X$4 / 10.8)), 1)</f>
        <v>21</v>
      </c>
      <c r="AV43" s="12">
        <f>CEILING('Earth Elemental'!$Z$6/ IF('Earth Elemental'!$X$6&lt; 10.8, Table14[[#This Row],[STR]], Table14[[#This Row],[STR]] / ('Earth Elemental'!$X$6 / 10.8)), 1)</f>
        <v>18</v>
      </c>
      <c r="AW43" s="12">
        <f>CEILING('Wind Elemental'!$Z$6/ IF('Wind Elemental'!$X$6&lt; 10.8, Table14[[#This Row],[STR]], Table14[[#This Row],[STR]] / ('Wind Elemental'!$X$6 / 10.8)), 1)</f>
        <v>14</v>
      </c>
      <c r="AX43" s="12">
        <f>CEILING('Water Elemental'!$Z$6/ IF('Water Elemental'!$X$6&lt; 10.8, Table14[[#This Row],[STR]], Table14[[#This Row],[STR]] / ('Water Elemental'!$X$6 / 10.8)), 1)</f>
        <v>19</v>
      </c>
      <c r="AY43" s="12">
        <f>CEILING('Fire Elemental'!$Z$4/ IF('Fire Elemental'!$X$4&lt; 10.8, Table14[[#This Row],[STR]], Table14[[#This Row],[STR]] / ('Fire Elemental'!$X$4 / 10.8)), 1)</f>
        <v>31</v>
      </c>
      <c r="AZ43" s="15">
        <f>CEILING(Wyvern!$Z$4/ IF(Wyvern!$X$4&lt; 10.8, Table14[[#This Row],[STR]], Table14[[#This Row],[STR]] / (Wyvern!$X$4 / 10.8)), 1)</f>
        <v>37</v>
      </c>
      <c r="BA43" s="15">
        <f>CEILING('Evolved Wyvern'!$Z$4/ IF('Evolved Wyvern'!$X$4&lt; 10.8, Table14[[#This Row],[STR]], Table14[[#This Row],[STR]] / ('Evolved Wyvern'!$X$4 / 10.8)), 1)</f>
        <v>47</v>
      </c>
      <c r="BB43" s="15">
        <f>CEILING(Dragon!$Z$4/ IF(Dragon!$X$4&lt; 10.8, Table14[[#This Row],[STR]], Table14[[#This Row],[STR]] / (Dragon!$X$4 / 10.8)), 1)</f>
        <v>79</v>
      </c>
    </row>
    <row r="44" spans="1:54" x14ac:dyDescent="0.3">
      <c r="A44" s="1">
        <v>42</v>
      </c>
      <c r="B44" s="1">
        <f>$B$3 + ((Table14[[#This Row],[Level]] / 10) + $B$3 / 8) * Table14[[#This Row],[Level]] + Equipment!$O$34</f>
        <v>290.39999999999998</v>
      </c>
      <c r="C44" s="1">
        <f xml:space="preserve"> 2*Table14[[#This Row],[INT]]</f>
        <v>190</v>
      </c>
      <c r="D44" s="1">
        <f>$D$3 + ($D$3 / 4) * Table14[[#This Row],[Level]] + Equipment!$P$34</f>
        <v>95</v>
      </c>
      <c r="E44" s="1">
        <f>$E$3 + ($E$3 / 4) * Table14[[#This Row],[Level]] + Equipment!$Q$34</f>
        <v>110.5</v>
      </c>
      <c r="F44" s="1">
        <f>$F$3 + ($F$3 / 4) * Table14[[#This Row],[Level]] + Equipment!$R$34</f>
        <v>78.5</v>
      </c>
      <c r="G44" s="1">
        <f>$G$3 + ($G$3 / 4) * Table14[[#This Row],[Level]] + Equipment!$S$34</f>
        <v>95</v>
      </c>
      <c r="H44" s="1">
        <f>$H$3 + ($H$3 / 4) * Table14[[#This Row],[Level]] + Equipment!$T$34</f>
        <v>126</v>
      </c>
      <c r="I44" s="1">
        <f xml:space="preserve"> (4 * (Table14[[#This Row],[Level]] ^ 3))/7 + $I$3</f>
        <v>42436</v>
      </c>
      <c r="K44" s="8">
        <f>CEILING('Blue Slime'!$B$5/ IF('Blue Slime'!$D$5&lt; 10.8, Table14[[#This Row],[STR]], Table14[[#This Row],[STR]] / ('Blue Slime'!$D$5 / 10.8)), 1)</f>
        <v>1</v>
      </c>
      <c r="L44" s="8">
        <f>CEILING('Green Slime'!$B$5/ IF('Green Slime'!$D$5&lt; 10.8, Table14[[#This Row],[STR]], Table14[[#This Row],[STR]] / ('Green Slime'!$D$5 / 10.8)), 1)</f>
        <v>1</v>
      </c>
      <c r="M44" s="8">
        <f>CEILING(Wolf!$B$6/ IF(Wolf!$D$6&lt; 10.8, Table14[[#This Row],[STR]], Table14[[#This Row],[STR]] / (Wolf!$D$6 / 10.8)), 1)</f>
        <v>1</v>
      </c>
      <c r="N44" s="8">
        <f>CEILING('Horned Wolf'!$B$5/ IF('Horned Wolf'!$D$5&lt; 10.8, Table14[[#This Row],[STR]], Table14[[#This Row],[STR]] / ('Horned Wolf'!$D$5 / 10.8)), 1)</f>
        <v>3</v>
      </c>
      <c r="O44" s="8">
        <f>CEILING(Spider!$B$7/ IF(Spider!$D$7&lt; 10.8, Table14[[#This Row],[STR]], Table14[[#This Row],[STR]] / (Spider!$D$7 / 10.8)), 1)</f>
        <v>3</v>
      </c>
      <c r="P44" s="8">
        <f>CEILING('Evolved Spider'!$B$8/ IF('Evolved Spider'!$D$8&lt; 10.8, Table14[[#This Row],[STR]], Table14[[#This Row],[STR]] / ('Evolved Spider'!$D$8 / 10.8)), 1)</f>
        <v>5</v>
      </c>
      <c r="Q44" s="8">
        <f>CEILING(Arachne!$B$4/ IF(Arachne!$D$4&lt; 10.8, Table14[[#This Row],[STR]], Table14[[#This Row],[STR]] / (Arachne!$D$4 / 10.8)), 1)</f>
        <v>7</v>
      </c>
      <c r="R44" s="12">
        <f>CEILING('Earth Elemental'!$B$6/ IF('Earth Elemental'!$D$6&lt; 10.8, Table14[[#This Row],[STR]], Table14[[#This Row],[STR]] / ('Earth Elemental'!$D$6 / 10.8)), 1)</f>
        <v>7</v>
      </c>
      <c r="S44" s="12">
        <f>CEILING('Wind Elemental'!$B$6/ IF('Wind Elemental'!$D$6&lt; 10.8, Table14[[#This Row],[STR]], Table14[[#This Row],[STR]] / ('Wind Elemental'!$D$6 / 10.8)), 1)</f>
        <v>6</v>
      </c>
      <c r="T44" s="12">
        <f>CEILING('Water Elemental'!$B$6/ IF('Water Elemental'!$D$6&lt; 10.8, Table14[[#This Row],[STR]], Table14[[#This Row],[STR]] / ('Water Elemental'!$D$6 / 10.8)), 1)</f>
        <v>9</v>
      </c>
      <c r="U44" s="12">
        <f>CEILING('Fire Elemental'!$B$4/ IF('Fire Elemental'!$D$4&lt; 10.8, Table14[[#This Row],[STR]], Table14[[#This Row],[STR]] / ('Fire Elemental'!$D$4 / 10.8)), 1)</f>
        <v>12</v>
      </c>
      <c r="V44" s="15">
        <f>CEILING(Wyvern!$B$4/ IF(Wyvern!$D$4&lt; 10.8, Table14[[#This Row],[STR]], Table14[[#This Row],[STR]] / (Wyvern!$D$4 / 10.8)), 1)</f>
        <v>15</v>
      </c>
      <c r="W44" s="15">
        <f>CEILING('Evolved Wyvern'!$B$4/ IF('Evolved Wyvern'!$D$4&lt; 10.8, Table14[[#This Row],[STR]], Table14[[#This Row],[STR]] / ('Evolved Wyvern'!$D$4 / 10.8)), 1)</f>
        <v>21</v>
      </c>
      <c r="X44" s="15">
        <f>CEILING(Dragon!$B$4/ IF(Dragon!$D$4&lt; 10.8, Table14[[#This Row],[STR]], Table14[[#This Row],[STR]] / (Dragon!$D$4 / 10.8)), 1)</f>
        <v>35</v>
      </c>
      <c r="Z44" s="8">
        <f>CEILING('Blue Slime'!$M$5/ IF('Blue Slime'!$O$5&lt; 10.8, Table14[[#This Row],[STR]], Table14[[#This Row],[STR]] / ('Blue Slime'!$O$5 / 10.8)), 1)</f>
        <v>1</v>
      </c>
      <c r="AA44" s="8">
        <f>CEILING('Green Slime'!$M$5/ IF('Green Slime'!$O$5&lt; 10.8, Table14[[#This Row],[STR]], Table14[[#This Row],[STR]] / ('Green Slime'!$O$5 / 10.8)), 1)</f>
        <v>1</v>
      </c>
      <c r="AB44" s="8">
        <f>CEILING(Wolf!$M$6/ IF(Wolf!$O$6&lt; 10.8, Table14[[#This Row],[STR]], Table14[[#This Row],[STR]] / (Wolf!$O$6 / 10.8)), 1)</f>
        <v>2</v>
      </c>
      <c r="AC44" s="8">
        <f>CEILING('Horned Wolf'!$M$5/ IF('Horned Wolf'!$O$5&lt; 10.8, Table14[[#This Row],[STR]], Table14[[#This Row],[STR]] / ('Horned Wolf'!$O$5 / 10.8)), 1)</f>
        <v>6</v>
      </c>
      <c r="AD44" s="8">
        <f>CEILING(Spider!$M$7/ IF(Spider!$O$7&lt; 10.8, Table14[[#This Row],[STR]], Table14[[#This Row],[STR]] / (Spider!$O$7 / 10.8)), 1)</f>
        <v>5</v>
      </c>
      <c r="AE44" s="8">
        <f>CEILING('Evolved Spider'!$M$8/ IF('Evolved Spider'!$O$8&lt; 10.8, Table14[[#This Row],[STR]], Table14[[#This Row],[STR]] / ('Evolved Spider'!$O$8 / 10.8)), 1)</f>
        <v>10</v>
      </c>
      <c r="AF44" s="8">
        <f>CEILING(Arachne!$M$4/ IF(Arachne!$O$4&lt; 10.8, Table14[[#This Row],[STR]], Table14[[#This Row],[STR]] / (Arachne!$O$4 / 10.8)), 1)</f>
        <v>13</v>
      </c>
      <c r="AG44" s="12">
        <f>CEILING('Earth Elemental'!$M$6/ IF('Earth Elemental'!$O$6&lt; 10.8, Table14[[#This Row],[STR]], Table14[[#This Row],[STR]] / ('Earth Elemental'!$O$6 / 10.8)), 1)</f>
        <v>12</v>
      </c>
      <c r="AH44" s="12">
        <f>CEILING('Wind Elemental'!$M$6/ IF('Wind Elemental'!$O$6&lt; 10.8, Table14[[#This Row],[STR]], Table14[[#This Row],[STR]] / ('Wind Elemental'!$O$6 / 10.8)), 1)</f>
        <v>10</v>
      </c>
      <c r="AI44" s="12">
        <f>CEILING('Water Elemental'!$M$6/ IF('Water Elemental'!$O$6&lt; 10.8, Table14[[#This Row],[STR]], Table14[[#This Row],[STR]] / ('Water Elemental'!$O$6 / 10.8)), 1)</f>
        <v>14</v>
      </c>
      <c r="AJ44" s="12">
        <f>CEILING('Fire Elemental'!$M$4/ IF('Fire Elemental'!$O$4&lt; 10.8, Table14[[#This Row],[STR]], Table14[[#This Row],[STR]] / ('Fire Elemental'!$O$4 / 10.8)), 1)</f>
        <v>20</v>
      </c>
      <c r="AK44" s="15">
        <f>CEILING(Wyvern!$M$4/ IF(Wyvern!$O$4&lt; 10.8, Table14[[#This Row],[STR]], Table14[[#This Row],[STR]] / (Wyvern!$O$4 / 10.8)), 1)</f>
        <v>25</v>
      </c>
      <c r="AL44" s="15">
        <f>CEILING('Evolved Wyvern'!$M$4/ IF('Evolved Wyvern'!$O$4&lt; 10.8, Table14[[#This Row],[STR]], Table14[[#This Row],[STR]] / ('Evolved Wyvern'!$O$4 / 10.8)), 1)</f>
        <v>33</v>
      </c>
      <c r="AM44" s="15">
        <f>CEILING(Dragon!$M$4/ IF(Dragon!$O$4&lt; 10.8, Table14[[#This Row],[STR]], Table14[[#This Row],[STR]] / (Dragon!$O$4 / 10.8)), 1)</f>
        <v>55</v>
      </c>
      <c r="AO44" s="8">
        <f>CEILING('Blue Slime'!$Z$5/ IF('Blue Slime'!$X$5&lt; 10.8, Table14[[#This Row],[STR]], Table14[[#This Row],[STR]] / ('Blue Slime'!$X$5 / 10.8)), 1)</f>
        <v>1</v>
      </c>
      <c r="AP44" s="8">
        <f>CEILING('Green Slime'!$Z$5/ IF('Green Slime'!$X$5&lt; 10.8, Table14[[#This Row],[STR]], Table14[[#This Row],[STR]] / ('Green Slime'!$X$5 / 10.8)), 1)</f>
        <v>2</v>
      </c>
      <c r="AQ44" s="8">
        <f>CEILING(Wolf!$Z$6/ IF(Wolf!$X$6&lt; 10.8, Table14[[#This Row],[STR]], Table14[[#This Row],[STR]] / (Wolf!$X$6 / 10.8)), 1)</f>
        <v>4</v>
      </c>
      <c r="AR44" s="8">
        <f>CEILING('Horned Wolf'!$Z$5/ IF('Horned Wolf'!$X$5&lt; 10.8, Table14[[#This Row],[STR]], Table14[[#This Row],[STR]] / ('Horned Wolf'!$X$5 / 10.8)), 1)</f>
        <v>10</v>
      </c>
      <c r="AS44" s="8">
        <f>CEILING(Spider!$Z$7/ IF(Spider!$X$7&lt; 10.8, Table14[[#This Row],[STR]], Table14[[#This Row],[STR]] / (Spider!$X$7 / 10.8)), 1)</f>
        <v>9</v>
      </c>
      <c r="AT44" s="8">
        <f>CEILING('Evolved Spider'!$Z$8/ IF('Evolved Spider'!$X$8&lt; 10.8, Table14[[#This Row],[STR]], Table14[[#This Row],[STR]] / ('Evolved Spider'!$X$8 / 10.8)), 1)</f>
        <v>15</v>
      </c>
      <c r="AU44" s="8">
        <f>CEILING(Arachne!$Z$4/ IF(Arachne!$X$4&lt; 10.8, Table14[[#This Row],[STR]], Table14[[#This Row],[STR]] / (Arachne!$X$4 / 10.8)), 1)</f>
        <v>21</v>
      </c>
      <c r="AV44" s="12">
        <f>CEILING('Earth Elemental'!$Z$6/ IF('Earth Elemental'!$X$6&lt; 10.8, Table14[[#This Row],[STR]], Table14[[#This Row],[STR]] / ('Earth Elemental'!$X$6 / 10.8)), 1)</f>
        <v>18</v>
      </c>
      <c r="AW44" s="12">
        <f>CEILING('Wind Elemental'!$Z$6/ IF('Wind Elemental'!$X$6&lt; 10.8, Table14[[#This Row],[STR]], Table14[[#This Row],[STR]] / ('Wind Elemental'!$X$6 / 10.8)), 1)</f>
        <v>14</v>
      </c>
      <c r="AX44" s="12">
        <f>CEILING('Water Elemental'!$Z$6/ IF('Water Elemental'!$X$6&lt; 10.8, Table14[[#This Row],[STR]], Table14[[#This Row],[STR]] / ('Water Elemental'!$X$6 / 10.8)), 1)</f>
        <v>19</v>
      </c>
      <c r="AY44" s="12">
        <f>CEILING('Fire Elemental'!$Z$4/ IF('Fire Elemental'!$X$4&lt; 10.8, Table14[[#This Row],[STR]], Table14[[#This Row],[STR]] / ('Fire Elemental'!$X$4 / 10.8)), 1)</f>
        <v>30</v>
      </c>
      <c r="AZ44" s="15">
        <f>CEILING(Wyvern!$Z$4/ IF(Wyvern!$X$4&lt; 10.8, Table14[[#This Row],[STR]], Table14[[#This Row],[STR]] / (Wyvern!$X$4 / 10.8)), 1)</f>
        <v>36</v>
      </c>
      <c r="BA44" s="15">
        <f>CEILING('Evolved Wyvern'!$Z$4/ IF('Evolved Wyvern'!$X$4&lt; 10.8, Table14[[#This Row],[STR]], Table14[[#This Row],[STR]] / ('Evolved Wyvern'!$X$4 / 10.8)), 1)</f>
        <v>47</v>
      </c>
      <c r="BB44" s="15">
        <f>CEILING(Dragon!$Z$4/ IF(Dragon!$X$4&lt; 10.8, Table14[[#This Row],[STR]], Table14[[#This Row],[STR]] / (Dragon!$X$4 / 10.8)), 1)</f>
        <v>78</v>
      </c>
    </row>
    <row r="45" spans="1:54" x14ac:dyDescent="0.3">
      <c r="A45" s="1">
        <v>43</v>
      </c>
      <c r="B45" s="1">
        <f>$B$3 + ((Table14[[#This Row],[Level]] / 10) + $B$3 / 8) * Table14[[#This Row],[Level]] + Equipment!$O$34</f>
        <v>299.89999999999998</v>
      </c>
      <c r="C45" s="1">
        <f xml:space="preserve"> 2*Table14[[#This Row],[INT]]</f>
        <v>193</v>
      </c>
      <c r="D45" s="1">
        <f>$D$3 + ($D$3 / 4) * Table14[[#This Row],[Level]] + Equipment!$P$34</f>
        <v>96.5</v>
      </c>
      <c r="E45" s="1">
        <f>$E$3 + ($E$3 / 4) * Table14[[#This Row],[Level]] + Equipment!$Q$34</f>
        <v>112.25</v>
      </c>
      <c r="F45" s="1">
        <f>$F$3 + ($F$3 / 4) * Table14[[#This Row],[Level]] + Equipment!$R$34</f>
        <v>79.75</v>
      </c>
      <c r="G45" s="1">
        <f>$G$3 + ($G$3 / 4) * Table14[[#This Row],[Level]] + Equipment!$S$34</f>
        <v>96.5</v>
      </c>
      <c r="H45" s="1">
        <f>$H$3 + ($H$3 / 4) * Table14[[#This Row],[Level]] + Equipment!$T$34</f>
        <v>128</v>
      </c>
      <c r="I45" s="1">
        <f xml:space="preserve"> (4 * (Table14[[#This Row],[Level]] ^ 3))/7 + $I$3</f>
        <v>45532.571428571428</v>
      </c>
      <c r="K45" s="8">
        <f>CEILING('Blue Slime'!$B$5/ IF('Blue Slime'!$D$5&lt; 10.8, Table14[[#This Row],[STR]], Table14[[#This Row],[STR]] / ('Blue Slime'!$D$5 / 10.8)), 1)</f>
        <v>1</v>
      </c>
      <c r="L45" s="8">
        <f>CEILING('Green Slime'!$B$5/ IF('Green Slime'!$D$5&lt; 10.8, Table14[[#This Row],[STR]], Table14[[#This Row],[STR]] / ('Green Slime'!$D$5 / 10.8)), 1)</f>
        <v>1</v>
      </c>
      <c r="M45" s="8">
        <f>CEILING(Wolf!$B$6/ IF(Wolf!$D$6&lt; 10.8, Table14[[#This Row],[STR]], Table14[[#This Row],[STR]] / (Wolf!$D$6 / 10.8)), 1)</f>
        <v>1</v>
      </c>
      <c r="N45" s="8">
        <f>CEILING('Horned Wolf'!$B$5/ IF('Horned Wolf'!$D$5&lt; 10.8, Table14[[#This Row],[STR]], Table14[[#This Row],[STR]] / ('Horned Wolf'!$D$5 / 10.8)), 1)</f>
        <v>3</v>
      </c>
      <c r="O45" s="8">
        <f>CEILING(Spider!$B$7/ IF(Spider!$D$7&lt; 10.8, Table14[[#This Row],[STR]], Table14[[#This Row],[STR]] / (Spider!$D$7 / 10.8)), 1)</f>
        <v>3</v>
      </c>
      <c r="P45" s="8">
        <f>CEILING('Evolved Spider'!$B$8/ IF('Evolved Spider'!$D$8&lt; 10.8, Table14[[#This Row],[STR]], Table14[[#This Row],[STR]] / ('Evolved Spider'!$D$8 / 10.8)), 1)</f>
        <v>5</v>
      </c>
      <c r="Q45" s="8">
        <f>CEILING(Arachne!$B$4/ IF(Arachne!$D$4&lt; 10.8, Table14[[#This Row],[STR]], Table14[[#This Row],[STR]] / (Arachne!$D$4 / 10.8)), 1)</f>
        <v>7</v>
      </c>
      <c r="R45" s="12">
        <f>CEILING('Earth Elemental'!$B$6/ IF('Earth Elemental'!$D$6&lt; 10.8, Table14[[#This Row],[STR]], Table14[[#This Row],[STR]] / ('Earth Elemental'!$D$6 / 10.8)), 1)</f>
        <v>7</v>
      </c>
      <c r="S45" s="12">
        <f>CEILING('Wind Elemental'!$B$6/ IF('Wind Elemental'!$D$6&lt; 10.8, Table14[[#This Row],[STR]], Table14[[#This Row],[STR]] / ('Wind Elemental'!$D$6 / 10.8)), 1)</f>
        <v>6</v>
      </c>
      <c r="T45" s="12">
        <f>CEILING('Water Elemental'!$B$6/ IF('Water Elemental'!$D$6&lt; 10.8, Table14[[#This Row],[STR]], Table14[[#This Row],[STR]] / ('Water Elemental'!$D$6 / 10.8)), 1)</f>
        <v>9</v>
      </c>
      <c r="U45" s="12">
        <f>CEILING('Fire Elemental'!$B$4/ IF('Fire Elemental'!$D$4&lt; 10.8, Table14[[#This Row],[STR]], Table14[[#This Row],[STR]] / ('Fire Elemental'!$D$4 / 10.8)), 1)</f>
        <v>11</v>
      </c>
      <c r="V45" s="15">
        <f>CEILING(Wyvern!$B$4/ IF(Wyvern!$D$4&lt; 10.8, Table14[[#This Row],[STR]], Table14[[#This Row],[STR]] / (Wyvern!$D$4 / 10.8)), 1)</f>
        <v>15</v>
      </c>
      <c r="W45" s="15">
        <f>CEILING('Evolved Wyvern'!$B$4/ IF('Evolved Wyvern'!$D$4&lt; 10.8, Table14[[#This Row],[STR]], Table14[[#This Row],[STR]] / ('Evolved Wyvern'!$D$4 / 10.8)), 1)</f>
        <v>21</v>
      </c>
      <c r="X45" s="15">
        <f>CEILING(Dragon!$B$4/ IF(Dragon!$D$4&lt; 10.8, Table14[[#This Row],[STR]], Table14[[#This Row],[STR]] / (Dragon!$D$4 / 10.8)), 1)</f>
        <v>34</v>
      </c>
      <c r="Z45" s="8">
        <f>CEILING('Blue Slime'!$M$5/ IF('Blue Slime'!$O$5&lt; 10.8, Table14[[#This Row],[STR]], Table14[[#This Row],[STR]] / ('Blue Slime'!$O$5 / 10.8)), 1)</f>
        <v>1</v>
      </c>
      <c r="AA45" s="8">
        <f>CEILING('Green Slime'!$M$5/ IF('Green Slime'!$O$5&lt; 10.8, Table14[[#This Row],[STR]], Table14[[#This Row],[STR]] / ('Green Slime'!$O$5 / 10.8)), 1)</f>
        <v>1</v>
      </c>
      <c r="AB45" s="8">
        <f>CEILING(Wolf!$M$6/ IF(Wolf!$O$6&lt; 10.8, Table14[[#This Row],[STR]], Table14[[#This Row],[STR]] / (Wolf!$O$6 / 10.8)), 1)</f>
        <v>2</v>
      </c>
      <c r="AC45" s="8">
        <f>CEILING('Horned Wolf'!$M$5/ IF('Horned Wolf'!$O$5&lt; 10.8, Table14[[#This Row],[STR]], Table14[[#This Row],[STR]] / ('Horned Wolf'!$O$5 / 10.8)), 1)</f>
        <v>6</v>
      </c>
      <c r="AD45" s="8">
        <f>CEILING(Spider!$M$7/ IF(Spider!$O$7&lt; 10.8, Table14[[#This Row],[STR]], Table14[[#This Row],[STR]] / (Spider!$O$7 / 10.8)), 1)</f>
        <v>5</v>
      </c>
      <c r="AE45" s="8">
        <f>CEILING('Evolved Spider'!$M$8/ IF('Evolved Spider'!$O$8&lt; 10.8, Table14[[#This Row],[STR]], Table14[[#This Row],[STR]] / ('Evolved Spider'!$O$8 / 10.8)), 1)</f>
        <v>9</v>
      </c>
      <c r="AF45" s="8">
        <f>CEILING(Arachne!$M$4/ IF(Arachne!$O$4&lt; 10.8, Table14[[#This Row],[STR]], Table14[[#This Row],[STR]] / (Arachne!$O$4 / 10.8)), 1)</f>
        <v>13</v>
      </c>
      <c r="AG45" s="12">
        <f>CEILING('Earth Elemental'!$M$6/ IF('Earth Elemental'!$O$6&lt; 10.8, Table14[[#This Row],[STR]], Table14[[#This Row],[STR]] / ('Earth Elemental'!$O$6 / 10.8)), 1)</f>
        <v>12</v>
      </c>
      <c r="AH45" s="12">
        <f>CEILING('Wind Elemental'!$M$6/ IF('Wind Elemental'!$O$6&lt; 10.8, Table14[[#This Row],[STR]], Table14[[#This Row],[STR]] / ('Wind Elemental'!$O$6 / 10.8)), 1)</f>
        <v>10</v>
      </c>
      <c r="AI45" s="12">
        <f>CEILING('Water Elemental'!$M$6/ IF('Water Elemental'!$O$6&lt; 10.8, Table14[[#This Row],[STR]], Table14[[#This Row],[STR]] / ('Water Elemental'!$O$6 / 10.8)), 1)</f>
        <v>14</v>
      </c>
      <c r="AJ45" s="12">
        <f>CEILING('Fire Elemental'!$M$4/ IF('Fire Elemental'!$O$4&lt; 10.8, Table14[[#This Row],[STR]], Table14[[#This Row],[STR]] / ('Fire Elemental'!$O$4 / 10.8)), 1)</f>
        <v>20</v>
      </c>
      <c r="AK45" s="15">
        <f>CEILING(Wyvern!$M$4/ IF(Wyvern!$O$4&lt; 10.8, Table14[[#This Row],[STR]], Table14[[#This Row],[STR]] / (Wyvern!$O$4 / 10.8)), 1)</f>
        <v>25</v>
      </c>
      <c r="AL45" s="15">
        <f>CEILING('Evolved Wyvern'!$M$4/ IF('Evolved Wyvern'!$O$4&lt; 10.8, Table14[[#This Row],[STR]], Table14[[#This Row],[STR]] / ('Evolved Wyvern'!$O$4 / 10.8)), 1)</f>
        <v>33</v>
      </c>
      <c r="AM45" s="15">
        <f>CEILING(Dragon!$M$4/ IF(Dragon!$O$4&lt; 10.8, Table14[[#This Row],[STR]], Table14[[#This Row],[STR]] / (Dragon!$O$4 / 10.8)), 1)</f>
        <v>54</v>
      </c>
      <c r="AO45" s="8">
        <f>CEILING('Blue Slime'!$Z$5/ IF('Blue Slime'!$X$5&lt; 10.8, Table14[[#This Row],[STR]], Table14[[#This Row],[STR]] / ('Blue Slime'!$X$5 / 10.8)), 1)</f>
        <v>1</v>
      </c>
      <c r="AP45" s="8">
        <f>CEILING('Green Slime'!$Z$5/ IF('Green Slime'!$X$5&lt; 10.8, Table14[[#This Row],[STR]], Table14[[#This Row],[STR]] / ('Green Slime'!$X$5 / 10.8)), 1)</f>
        <v>2</v>
      </c>
      <c r="AQ45" s="8">
        <f>CEILING(Wolf!$Z$6/ IF(Wolf!$X$6&lt; 10.8, Table14[[#This Row],[STR]], Table14[[#This Row],[STR]] / (Wolf!$X$6 / 10.8)), 1)</f>
        <v>4</v>
      </c>
      <c r="AR45" s="8">
        <f>CEILING('Horned Wolf'!$Z$5/ IF('Horned Wolf'!$X$5&lt; 10.8, Table14[[#This Row],[STR]], Table14[[#This Row],[STR]] / ('Horned Wolf'!$X$5 / 10.8)), 1)</f>
        <v>10</v>
      </c>
      <c r="AS45" s="8">
        <f>CEILING(Spider!$Z$7/ IF(Spider!$X$7&lt; 10.8, Table14[[#This Row],[STR]], Table14[[#This Row],[STR]] / (Spider!$X$7 / 10.8)), 1)</f>
        <v>9</v>
      </c>
      <c r="AT45" s="8">
        <f>CEILING('Evolved Spider'!$Z$8/ IF('Evolved Spider'!$X$8&lt; 10.8, Table14[[#This Row],[STR]], Table14[[#This Row],[STR]] / ('Evolved Spider'!$X$8 / 10.8)), 1)</f>
        <v>15</v>
      </c>
      <c r="AU45" s="8">
        <f>CEILING(Arachne!$Z$4/ IF(Arachne!$X$4&lt; 10.8, Table14[[#This Row],[STR]], Table14[[#This Row],[STR]] / (Arachne!$X$4 / 10.8)), 1)</f>
        <v>21</v>
      </c>
      <c r="AV45" s="12">
        <f>CEILING('Earth Elemental'!$Z$6/ IF('Earth Elemental'!$X$6&lt; 10.8, Table14[[#This Row],[STR]], Table14[[#This Row],[STR]] / ('Earth Elemental'!$X$6 / 10.8)), 1)</f>
        <v>17</v>
      </c>
      <c r="AW45" s="12">
        <f>CEILING('Wind Elemental'!$Z$6/ IF('Wind Elemental'!$X$6&lt; 10.8, Table14[[#This Row],[STR]], Table14[[#This Row],[STR]] / ('Wind Elemental'!$X$6 / 10.8)), 1)</f>
        <v>13</v>
      </c>
      <c r="AX45" s="12">
        <f>CEILING('Water Elemental'!$Z$6/ IF('Water Elemental'!$X$6&lt; 10.8, Table14[[#This Row],[STR]], Table14[[#This Row],[STR]] / ('Water Elemental'!$X$6 / 10.8)), 1)</f>
        <v>18</v>
      </c>
      <c r="AY45" s="12">
        <f>CEILING('Fire Elemental'!$Z$4/ IF('Fire Elemental'!$X$4&lt; 10.8, Table14[[#This Row],[STR]], Table14[[#This Row],[STR]] / ('Fire Elemental'!$X$4 / 10.8)), 1)</f>
        <v>30</v>
      </c>
      <c r="AZ45" s="15">
        <f>CEILING(Wyvern!$Z$4/ IF(Wyvern!$X$4&lt; 10.8, Table14[[#This Row],[STR]], Table14[[#This Row],[STR]] / (Wyvern!$X$4 / 10.8)), 1)</f>
        <v>36</v>
      </c>
      <c r="BA45" s="15">
        <f>CEILING('Evolved Wyvern'!$Z$4/ IF('Evolved Wyvern'!$X$4&lt; 10.8, Table14[[#This Row],[STR]], Table14[[#This Row],[STR]] / ('Evolved Wyvern'!$X$4 / 10.8)), 1)</f>
        <v>46</v>
      </c>
      <c r="BB45" s="15">
        <f>CEILING(Dragon!$Z$4/ IF(Dragon!$X$4&lt; 10.8, Table14[[#This Row],[STR]], Table14[[#This Row],[STR]] / (Dragon!$X$4 / 10.8)), 1)</f>
        <v>77</v>
      </c>
    </row>
    <row r="46" spans="1:54" x14ac:dyDescent="0.3">
      <c r="A46" s="30">
        <v>44</v>
      </c>
      <c r="B46" s="30">
        <f>$B$3 + ((Table14[[#This Row],[Level]] / 10) + $B$3 / 8) * Table14[[#This Row],[Level]] + Equipment!$O$34</f>
        <v>309.60000000000002</v>
      </c>
      <c r="C46" s="30">
        <f xml:space="preserve"> 2*Table14[[#This Row],[INT]]</f>
        <v>196</v>
      </c>
      <c r="D46" s="30">
        <f>$D$3 + ($D$3 / 4) * Table14[[#This Row],[Level]] + Equipment!$P$34</f>
        <v>98</v>
      </c>
      <c r="E46" s="30">
        <f>$E$3 + ($E$3 / 4) * Table14[[#This Row],[Level]] + Equipment!$Q$34</f>
        <v>114</v>
      </c>
      <c r="F46" s="30">
        <f>$F$3 + ($F$3 / 4) * Table14[[#This Row],[Level]] + Equipment!$R$34</f>
        <v>81</v>
      </c>
      <c r="G46" s="30">
        <f>$G$3 + ($G$3 / 4) * Table14[[#This Row],[Level]] + Equipment!$S$34</f>
        <v>98</v>
      </c>
      <c r="H46" s="30">
        <f>$H$3 + ($H$3 / 4) * Table14[[#This Row],[Level]] + Equipment!$T$34</f>
        <v>130</v>
      </c>
      <c r="I46" s="30">
        <f xml:space="preserve"> (4 * (Table14[[#This Row],[Level]] ^ 3))/7 + $I$3</f>
        <v>48776.571428571428</v>
      </c>
      <c r="K46" s="8">
        <f>CEILING('Blue Slime'!$B$5/ IF('Blue Slime'!$D$5&lt; 10.8, Table14[[#This Row],[STR]], Table14[[#This Row],[STR]] / ('Blue Slime'!$D$5 / 10.8)), 1)</f>
        <v>1</v>
      </c>
      <c r="L46" s="8">
        <f>CEILING('Green Slime'!$B$5/ IF('Green Slime'!$D$5&lt; 10.8, Table14[[#This Row],[STR]], Table14[[#This Row],[STR]] / ('Green Slime'!$D$5 / 10.8)), 1)</f>
        <v>1</v>
      </c>
      <c r="M46" s="8">
        <f>CEILING(Wolf!$B$6/ IF(Wolf!$D$6&lt; 10.8, Table14[[#This Row],[STR]], Table14[[#This Row],[STR]] / (Wolf!$D$6 / 10.8)), 1)</f>
        <v>1</v>
      </c>
      <c r="N46" s="8">
        <f>CEILING('Horned Wolf'!$B$5/ IF('Horned Wolf'!$D$5&lt; 10.8, Table14[[#This Row],[STR]], Table14[[#This Row],[STR]] / ('Horned Wolf'!$D$5 / 10.8)), 1)</f>
        <v>3</v>
      </c>
      <c r="O46" s="8">
        <f>CEILING(Spider!$B$7/ IF(Spider!$D$7&lt; 10.8, Table14[[#This Row],[STR]], Table14[[#This Row],[STR]] / (Spider!$D$7 / 10.8)), 1)</f>
        <v>3</v>
      </c>
      <c r="P46" s="8">
        <f>CEILING('Evolved Spider'!$B$8/ IF('Evolved Spider'!$D$8&lt; 10.8, Table14[[#This Row],[STR]], Table14[[#This Row],[STR]] / ('Evolved Spider'!$D$8 / 10.8)), 1)</f>
        <v>5</v>
      </c>
      <c r="Q46" s="8">
        <f>CEILING(Arachne!$B$4/ IF(Arachne!$D$4&lt; 10.8, Table14[[#This Row],[STR]], Table14[[#This Row],[STR]] / (Arachne!$D$4 / 10.8)), 1)</f>
        <v>7</v>
      </c>
      <c r="R46" s="12">
        <f>CEILING('Earth Elemental'!$B$6/ IF('Earth Elemental'!$D$6&lt; 10.8, Table14[[#This Row],[STR]], Table14[[#This Row],[STR]] / ('Earth Elemental'!$D$6 / 10.8)), 1)</f>
        <v>7</v>
      </c>
      <c r="S46" s="12">
        <f>CEILING('Wind Elemental'!$B$6/ IF('Wind Elemental'!$D$6&lt; 10.8, Table14[[#This Row],[STR]], Table14[[#This Row],[STR]] / ('Wind Elemental'!$D$6 / 10.8)), 1)</f>
        <v>6</v>
      </c>
      <c r="T46" s="12">
        <f>CEILING('Water Elemental'!$B$6/ IF('Water Elemental'!$D$6&lt; 10.8, Table14[[#This Row],[STR]], Table14[[#This Row],[STR]] / ('Water Elemental'!$D$6 / 10.8)), 1)</f>
        <v>9</v>
      </c>
      <c r="U46" s="12">
        <f>CEILING('Fire Elemental'!$B$4/ IF('Fire Elemental'!$D$4&lt; 10.8, Table14[[#This Row],[STR]], Table14[[#This Row],[STR]] / ('Fire Elemental'!$D$4 / 10.8)), 1)</f>
        <v>11</v>
      </c>
      <c r="V46" s="15">
        <f>CEILING(Wyvern!$B$4/ IF(Wyvern!$D$4&lt; 10.8, Table14[[#This Row],[STR]], Table14[[#This Row],[STR]] / (Wyvern!$D$4 / 10.8)), 1)</f>
        <v>15</v>
      </c>
      <c r="W46" s="15">
        <f>CEILING('Evolved Wyvern'!$B$4/ IF('Evolved Wyvern'!$D$4&lt; 10.8, Table14[[#This Row],[STR]], Table14[[#This Row],[STR]] / ('Evolved Wyvern'!$D$4 / 10.8)), 1)</f>
        <v>21</v>
      </c>
      <c r="X46" s="15">
        <f>CEILING(Dragon!$B$4/ IF(Dragon!$D$4&lt; 10.8, Table14[[#This Row],[STR]], Table14[[#This Row],[STR]] / (Dragon!$D$4 / 10.8)), 1)</f>
        <v>33</v>
      </c>
      <c r="Z46" s="8">
        <f>CEILING('Blue Slime'!$M$5/ IF('Blue Slime'!$O$5&lt; 10.8, Table14[[#This Row],[STR]], Table14[[#This Row],[STR]] / ('Blue Slime'!$O$5 / 10.8)), 1)</f>
        <v>1</v>
      </c>
      <c r="AA46" s="8">
        <f>CEILING('Green Slime'!$M$5/ IF('Green Slime'!$O$5&lt; 10.8, Table14[[#This Row],[STR]], Table14[[#This Row],[STR]] / ('Green Slime'!$O$5 / 10.8)), 1)</f>
        <v>1</v>
      </c>
      <c r="AB46" s="8">
        <f>CEILING(Wolf!$M$6/ IF(Wolf!$O$6&lt; 10.8, Table14[[#This Row],[STR]], Table14[[#This Row],[STR]] / (Wolf!$O$6 / 10.8)), 1)</f>
        <v>2</v>
      </c>
      <c r="AC46" s="8">
        <f>CEILING('Horned Wolf'!$M$5/ IF('Horned Wolf'!$O$5&lt; 10.8, Table14[[#This Row],[STR]], Table14[[#This Row],[STR]] / ('Horned Wolf'!$O$5 / 10.8)), 1)</f>
        <v>6</v>
      </c>
      <c r="AD46" s="8">
        <f>CEILING(Spider!$M$7/ IF(Spider!$O$7&lt; 10.8, Table14[[#This Row],[STR]], Table14[[#This Row],[STR]] / (Spider!$O$7 / 10.8)), 1)</f>
        <v>5</v>
      </c>
      <c r="AE46" s="8">
        <f>CEILING('Evolved Spider'!$M$8/ IF('Evolved Spider'!$O$8&lt; 10.8, Table14[[#This Row],[STR]], Table14[[#This Row],[STR]] / ('Evolved Spider'!$O$8 / 10.8)), 1)</f>
        <v>9</v>
      </c>
      <c r="AF46" s="8">
        <f>CEILING(Arachne!$M$4/ IF(Arachne!$O$4&lt; 10.8, Table14[[#This Row],[STR]], Table14[[#This Row],[STR]] / (Arachne!$O$4 / 10.8)), 1)</f>
        <v>12</v>
      </c>
      <c r="AG46" s="12">
        <f>CEILING('Earth Elemental'!$M$6/ IF('Earth Elemental'!$O$6&lt; 10.8, Table14[[#This Row],[STR]], Table14[[#This Row],[STR]] / ('Earth Elemental'!$O$6 / 10.8)), 1)</f>
        <v>11</v>
      </c>
      <c r="AH46" s="12">
        <f>CEILING('Wind Elemental'!$M$6/ IF('Wind Elemental'!$O$6&lt; 10.8, Table14[[#This Row],[STR]], Table14[[#This Row],[STR]] / ('Wind Elemental'!$O$6 / 10.8)), 1)</f>
        <v>9</v>
      </c>
      <c r="AI46" s="12">
        <f>CEILING('Water Elemental'!$M$6/ IF('Water Elemental'!$O$6&lt; 10.8, Table14[[#This Row],[STR]], Table14[[#This Row],[STR]] / ('Water Elemental'!$O$6 / 10.8)), 1)</f>
        <v>13</v>
      </c>
      <c r="AJ46" s="12">
        <f>CEILING('Fire Elemental'!$M$4/ IF('Fire Elemental'!$O$4&lt; 10.8, Table14[[#This Row],[STR]], Table14[[#This Row],[STR]] / ('Fire Elemental'!$O$4 / 10.8)), 1)</f>
        <v>19</v>
      </c>
      <c r="AK46" s="15">
        <f>CEILING(Wyvern!$M$4/ IF(Wyvern!$O$4&lt; 10.8, Table14[[#This Row],[STR]], Table14[[#This Row],[STR]] / (Wyvern!$O$4 / 10.8)), 1)</f>
        <v>24</v>
      </c>
      <c r="AL46" s="15">
        <f>CEILING('Evolved Wyvern'!$M$4/ IF('Evolved Wyvern'!$O$4&lt; 10.8, Table14[[#This Row],[STR]], Table14[[#This Row],[STR]] / ('Evolved Wyvern'!$O$4 / 10.8)), 1)</f>
        <v>32</v>
      </c>
      <c r="AM46" s="15">
        <f>CEILING(Dragon!$M$4/ IF(Dragon!$O$4&lt; 10.8, Table14[[#This Row],[STR]], Table14[[#This Row],[STR]] / (Dragon!$O$4 / 10.8)), 1)</f>
        <v>53</v>
      </c>
      <c r="AO46" s="8">
        <f>CEILING('Blue Slime'!$Z$5/ IF('Blue Slime'!$X$5&lt; 10.8, Table14[[#This Row],[STR]], Table14[[#This Row],[STR]] / ('Blue Slime'!$X$5 / 10.8)), 1)</f>
        <v>1</v>
      </c>
      <c r="AP46" s="8">
        <f>CEILING('Green Slime'!$Z$5/ IF('Green Slime'!$X$5&lt; 10.8, Table14[[#This Row],[STR]], Table14[[#This Row],[STR]] / ('Green Slime'!$X$5 / 10.8)), 1)</f>
        <v>2</v>
      </c>
      <c r="AQ46" s="8">
        <f>CEILING(Wolf!$Z$6/ IF(Wolf!$X$6&lt; 10.8, Table14[[#This Row],[STR]], Table14[[#This Row],[STR]] / (Wolf!$X$6 / 10.8)), 1)</f>
        <v>4</v>
      </c>
      <c r="AR46" s="8">
        <f>CEILING('Horned Wolf'!$Z$5/ IF('Horned Wolf'!$X$5&lt; 10.8, Table14[[#This Row],[STR]], Table14[[#This Row],[STR]] / ('Horned Wolf'!$X$5 / 10.8)), 1)</f>
        <v>10</v>
      </c>
      <c r="AS46" s="8">
        <f>CEILING(Spider!$Z$7/ IF(Spider!$X$7&lt; 10.8, Table14[[#This Row],[STR]], Table14[[#This Row],[STR]] / (Spider!$X$7 / 10.8)), 1)</f>
        <v>8</v>
      </c>
      <c r="AT46" s="8">
        <f>CEILING('Evolved Spider'!$Z$8/ IF('Evolved Spider'!$X$8&lt; 10.8, Table14[[#This Row],[STR]], Table14[[#This Row],[STR]] / ('Evolved Spider'!$X$8 / 10.8)), 1)</f>
        <v>15</v>
      </c>
      <c r="AU46" s="8">
        <f>CEILING(Arachne!$Z$4/ IF(Arachne!$X$4&lt; 10.8, Table14[[#This Row],[STR]], Table14[[#This Row],[STR]] / (Arachne!$X$4 / 10.8)), 1)</f>
        <v>20</v>
      </c>
      <c r="AV46" s="12">
        <f>CEILING('Earth Elemental'!$Z$6/ IF('Earth Elemental'!$X$6&lt; 10.8, Table14[[#This Row],[STR]], Table14[[#This Row],[STR]] / ('Earth Elemental'!$X$6 / 10.8)), 1)</f>
        <v>17</v>
      </c>
      <c r="AW46" s="12">
        <f>CEILING('Wind Elemental'!$Z$6/ IF('Wind Elemental'!$X$6&lt; 10.8, Table14[[#This Row],[STR]], Table14[[#This Row],[STR]] / ('Wind Elemental'!$X$6 / 10.8)), 1)</f>
        <v>13</v>
      </c>
      <c r="AX46" s="12">
        <f>CEILING('Water Elemental'!$Z$6/ IF('Water Elemental'!$X$6&lt; 10.8, Table14[[#This Row],[STR]], Table14[[#This Row],[STR]] / ('Water Elemental'!$X$6 / 10.8)), 1)</f>
        <v>18</v>
      </c>
      <c r="AY46" s="12">
        <f>CEILING('Fire Elemental'!$Z$4/ IF('Fire Elemental'!$X$4&lt; 10.8, Table14[[#This Row],[STR]], Table14[[#This Row],[STR]] / ('Fire Elemental'!$X$4 / 10.8)), 1)</f>
        <v>29</v>
      </c>
      <c r="AZ46" s="15">
        <f>CEILING(Wyvern!$Z$4/ IF(Wyvern!$X$4&lt; 10.8, Table14[[#This Row],[STR]], Table14[[#This Row],[STR]] / (Wyvern!$X$4 / 10.8)), 1)</f>
        <v>35</v>
      </c>
      <c r="BA46" s="15">
        <f>CEILING('Evolved Wyvern'!$Z$4/ IF('Evolved Wyvern'!$X$4&lt; 10.8, Table14[[#This Row],[STR]], Table14[[#This Row],[STR]] / ('Evolved Wyvern'!$X$4 / 10.8)), 1)</f>
        <v>45</v>
      </c>
      <c r="BB46" s="15">
        <f>CEILING(Dragon!$Z$4/ IF(Dragon!$X$4&lt; 10.8, Table14[[#This Row],[STR]], Table14[[#This Row],[STR]] / (Dragon!$X$4 / 10.8)), 1)</f>
        <v>76</v>
      </c>
    </row>
    <row r="47" spans="1:54" x14ac:dyDescent="0.3">
      <c r="A47" s="1">
        <v>45</v>
      </c>
      <c r="B47" s="1">
        <f>$B$3 + ((Table14[[#This Row],[Level]] / 10) + $B$3 / 8) * Table14[[#This Row],[Level]] + Equipment!$O$42</f>
        <v>359.5</v>
      </c>
      <c r="C47" s="1">
        <f xml:space="preserve"> 2*Table14[[#This Row],[INT]]</f>
        <v>213</v>
      </c>
      <c r="D47" s="1">
        <f>$D$3 + ($D$3 / 4) * Table14[[#This Row],[Level]] + Equipment!$P$42</f>
        <v>106.5</v>
      </c>
      <c r="E47" s="1">
        <f>$E$3 + ($E$3 / 4) * Table14[[#This Row],[Level]] + Equipment!$Q$42</f>
        <v>124.75</v>
      </c>
      <c r="F47" s="1">
        <f>$F$3 + ($F$3 / 4) * Table14[[#This Row],[Level]] + Equipment!$R$42</f>
        <v>89.25</v>
      </c>
      <c r="G47" s="1">
        <f>$G$3 + ($G$3 / 4) * Table14[[#This Row],[Level]] + Equipment!$S$42</f>
        <v>106.5</v>
      </c>
      <c r="H47" s="1">
        <f>$H$3 + ($H$3 / 4) * Table14[[#This Row],[Level]] + Equipment!$T$42</f>
        <v>142</v>
      </c>
      <c r="I47" s="1">
        <f xml:space="preserve"> (4 * (Table14[[#This Row],[Level]] ^ 3))/7 + $I$3</f>
        <v>52171.428571428572</v>
      </c>
      <c r="K47" s="8">
        <f>CEILING('Blue Slime'!$B$5/ IF('Blue Slime'!$D$5&lt; 10.8, Table14[[#This Row],[STR]], Table14[[#This Row],[STR]] / ('Blue Slime'!$D$5 / 10.8)), 1)</f>
        <v>1</v>
      </c>
      <c r="L47" s="8">
        <f>CEILING('Green Slime'!$B$5/ IF('Green Slime'!$D$5&lt; 10.8, Table14[[#This Row],[STR]], Table14[[#This Row],[STR]] / ('Green Slime'!$D$5 / 10.8)), 1)</f>
        <v>1</v>
      </c>
      <c r="M47" s="8">
        <f>CEILING(Wolf!$B$6/ IF(Wolf!$D$6&lt; 10.8, Table14[[#This Row],[STR]], Table14[[#This Row],[STR]] / (Wolf!$D$6 / 10.8)), 1)</f>
        <v>1</v>
      </c>
      <c r="N47" s="8">
        <f>CEILING('Horned Wolf'!$B$5/ IF('Horned Wolf'!$D$5&lt; 10.8, Table14[[#This Row],[STR]], Table14[[#This Row],[STR]] / ('Horned Wolf'!$D$5 / 10.8)), 1)</f>
        <v>3</v>
      </c>
      <c r="O47" s="8">
        <f>CEILING(Spider!$B$7/ IF(Spider!$D$7&lt; 10.8, Table14[[#This Row],[STR]], Table14[[#This Row],[STR]] / (Spider!$D$7 / 10.8)), 1)</f>
        <v>3</v>
      </c>
      <c r="P47" s="8">
        <f>CEILING('Evolved Spider'!$B$8/ IF('Evolved Spider'!$D$8&lt; 10.8, Table14[[#This Row],[STR]], Table14[[#This Row],[STR]] / ('Evolved Spider'!$D$8 / 10.8)), 1)</f>
        <v>5</v>
      </c>
      <c r="Q47" s="8">
        <f>CEILING(Arachne!$B$4/ IF(Arachne!$D$4&lt; 10.8, Table14[[#This Row],[STR]], Table14[[#This Row],[STR]] / (Arachne!$D$4 / 10.8)), 1)</f>
        <v>6</v>
      </c>
      <c r="R47" s="12">
        <f>CEILING('Earth Elemental'!$B$6/ IF('Earth Elemental'!$D$6&lt; 10.8, Table14[[#This Row],[STR]], Table14[[#This Row],[STR]] / ('Earth Elemental'!$D$6 / 10.8)), 1)</f>
        <v>6</v>
      </c>
      <c r="S47" s="12">
        <f>CEILING('Wind Elemental'!$B$6/ IF('Wind Elemental'!$D$6&lt; 10.8, Table14[[#This Row],[STR]], Table14[[#This Row],[STR]] / ('Wind Elemental'!$D$6 / 10.8)), 1)</f>
        <v>6</v>
      </c>
      <c r="T47" s="12">
        <f>CEILING('Water Elemental'!$B$6/ IF('Water Elemental'!$D$6&lt; 10.8, Table14[[#This Row],[STR]], Table14[[#This Row],[STR]] / ('Water Elemental'!$D$6 / 10.8)), 1)</f>
        <v>8</v>
      </c>
      <c r="U47" s="12">
        <f>CEILING('Fire Elemental'!$B$4/ IF('Fire Elemental'!$D$4&lt; 10.8, Table14[[#This Row],[STR]], Table14[[#This Row],[STR]] / ('Fire Elemental'!$D$4 / 10.8)), 1)</f>
        <v>10</v>
      </c>
      <c r="V47" s="15">
        <f>CEILING(Wyvern!$B$4/ IF(Wyvern!$D$4&lt; 10.8, Table14[[#This Row],[STR]], Table14[[#This Row],[STR]] / (Wyvern!$D$4 / 10.8)), 1)</f>
        <v>14</v>
      </c>
      <c r="W47" s="15">
        <f>CEILING('Evolved Wyvern'!$B$4/ IF('Evolved Wyvern'!$D$4&lt; 10.8, Table14[[#This Row],[STR]], Table14[[#This Row],[STR]] / ('Evolved Wyvern'!$D$4 / 10.8)), 1)</f>
        <v>19</v>
      </c>
      <c r="X47" s="15">
        <f>CEILING(Dragon!$B$4/ IF(Dragon!$D$4&lt; 10.8, Table14[[#This Row],[STR]], Table14[[#This Row],[STR]] / (Dragon!$D$4 / 10.8)), 1)</f>
        <v>30</v>
      </c>
      <c r="Z47" s="8">
        <f>CEILING('Blue Slime'!$M$5/ IF('Blue Slime'!$O$5&lt; 10.8, Table14[[#This Row],[STR]], Table14[[#This Row],[STR]] / ('Blue Slime'!$O$5 / 10.8)), 1)</f>
        <v>1</v>
      </c>
      <c r="AA47" s="8">
        <f>CEILING('Green Slime'!$M$5/ IF('Green Slime'!$O$5&lt; 10.8, Table14[[#This Row],[STR]], Table14[[#This Row],[STR]] / ('Green Slime'!$O$5 / 10.8)), 1)</f>
        <v>1</v>
      </c>
      <c r="AB47" s="8">
        <f>CEILING(Wolf!$M$6/ IF(Wolf!$O$6&lt; 10.8, Table14[[#This Row],[STR]], Table14[[#This Row],[STR]] / (Wolf!$O$6 / 10.8)), 1)</f>
        <v>2</v>
      </c>
      <c r="AC47" s="8">
        <f>CEILING('Horned Wolf'!$M$5/ IF('Horned Wolf'!$O$5&lt; 10.8, Table14[[#This Row],[STR]], Table14[[#This Row],[STR]] / ('Horned Wolf'!$O$5 / 10.8)), 1)</f>
        <v>5</v>
      </c>
      <c r="AD47" s="8">
        <f>CEILING(Spider!$M$7/ IF(Spider!$O$7&lt; 10.8, Table14[[#This Row],[STR]], Table14[[#This Row],[STR]] / (Spider!$O$7 / 10.8)), 1)</f>
        <v>5</v>
      </c>
      <c r="AE47" s="8">
        <f>CEILING('Evolved Spider'!$M$8/ IF('Evolved Spider'!$O$8&lt; 10.8, Table14[[#This Row],[STR]], Table14[[#This Row],[STR]] / ('Evolved Spider'!$O$8 / 10.8)), 1)</f>
        <v>9</v>
      </c>
      <c r="AF47" s="8">
        <f>CEILING(Arachne!$M$4/ IF(Arachne!$O$4&lt; 10.8, Table14[[#This Row],[STR]], Table14[[#This Row],[STR]] / (Arachne!$O$4 / 10.8)), 1)</f>
        <v>11</v>
      </c>
      <c r="AG47" s="12">
        <f>CEILING('Earth Elemental'!$M$6/ IF('Earth Elemental'!$O$6&lt; 10.8, Table14[[#This Row],[STR]], Table14[[#This Row],[STR]] / ('Earth Elemental'!$O$6 / 10.8)), 1)</f>
        <v>10</v>
      </c>
      <c r="AH47" s="12">
        <f>CEILING('Wind Elemental'!$M$6/ IF('Wind Elemental'!$O$6&lt; 10.8, Table14[[#This Row],[STR]], Table14[[#This Row],[STR]] / ('Wind Elemental'!$O$6 / 10.8)), 1)</f>
        <v>9</v>
      </c>
      <c r="AI47" s="12">
        <f>CEILING('Water Elemental'!$M$6/ IF('Water Elemental'!$O$6&lt; 10.8, Table14[[#This Row],[STR]], Table14[[#This Row],[STR]] / ('Water Elemental'!$O$6 / 10.8)), 1)</f>
        <v>12</v>
      </c>
      <c r="AJ47" s="12">
        <f>CEILING('Fire Elemental'!$M$4/ IF('Fire Elemental'!$O$4&lt; 10.8, Table14[[#This Row],[STR]], Table14[[#This Row],[STR]] / ('Fire Elemental'!$O$4 / 10.8)), 1)</f>
        <v>18</v>
      </c>
      <c r="AK47" s="15">
        <f>CEILING(Wyvern!$M$4/ IF(Wyvern!$O$4&lt; 10.8, Table14[[#This Row],[STR]], Table14[[#This Row],[STR]] / (Wyvern!$O$4 / 10.8)), 1)</f>
        <v>22</v>
      </c>
      <c r="AL47" s="15">
        <f>CEILING('Evolved Wyvern'!$M$4/ IF('Evolved Wyvern'!$O$4&lt; 10.8, Table14[[#This Row],[STR]], Table14[[#This Row],[STR]] / ('Evolved Wyvern'!$O$4 / 10.8)), 1)</f>
        <v>29</v>
      </c>
      <c r="AM47" s="15">
        <f>CEILING(Dragon!$M$4/ IF(Dragon!$O$4&lt; 10.8, Table14[[#This Row],[STR]], Table14[[#This Row],[STR]] / (Dragon!$O$4 / 10.8)), 1)</f>
        <v>49</v>
      </c>
      <c r="AO47" s="8">
        <f>CEILING('Blue Slime'!$Z$5/ IF('Blue Slime'!$X$5&lt; 10.8, Table14[[#This Row],[STR]], Table14[[#This Row],[STR]] / ('Blue Slime'!$X$5 / 10.8)), 1)</f>
        <v>1</v>
      </c>
      <c r="AP47" s="8">
        <f>CEILING('Green Slime'!$Z$5/ IF('Green Slime'!$X$5&lt; 10.8, Table14[[#This Row],[STR]], Table14[[#This Row],[STR]] / ('Green Slime'!$X$5 / 10.8)), 1)</f>
        <v>2</v>
      </c>
      <c r="AQ47" s="8">
        <f>CEILING(Wolf!$Z$6/ IF(Wolf!$X$6&lt; 10.8, Table14[[#This Row],[STR]], Table14[[#This Row],[STR]] / (Wolf!$X$6 / 10.8)), 1)</f>
        <v>3</v>
      </c>
      <c r="AR47" s="8">
        <f>CEILING('Horned Wolf'!$Z$5/ IF('Horned Wolf'!$X$5&lt; 10.8, Table14[[#This Row],[STR]], Table14[[#This Row],[STR]] / ('Horned Wolf'!$X$5 / 10.8)), 1)</f>
        <v>9</v>
      </c>
      <c r="AS47" s="8">
        <f>CEILING(Spider!$Z$7/ IF(Spider!$X$7&lt; 10.8, Table14[[#This Row],[STR]], Table14[[#This Row],[STR]] / (Spider!$X$7 / 10.8)), 1)</f>
        <v>8</v>
      </c>
      <c r="AT47" s="8">
        <f>CEILING('Evolved Spider'!$Z$8/ IF('Evolved Spider'!$X$8&lt; 10.8, Table14[[#This Row],[STR]], Table14[[#This Row],[STR]] / ('Evolved Spider'!$X$8 / 10.8)), 1)</f>
        <v>14</v>
      </c>
      <c r="AU47" s="8">
        <f>CEILING(Arachne!$Z$4/ IF(Arachne!$X$4&lt; 10.8, Table14[[#This Row],[STR]], Table14[[#This Row],[STR]] / (Arachne!$X$4 / 10.8)), 1)</f>
        <v>18</v>
      </c>
      <c r="AV47" s="12">
        <f>CEILING('Earth Elemental'!$Z$6/ IF('Earth Elemental'!$X$6&lt; 10.8, Table14[[#This Row],[STR]], Table14[[#This Row],[STR]] / ('Earth Elemental'!$X$6 / 10.8)), 1)</f>
        <v>16</v>
      </c>
      <c r="AW47" s="12">
        <f>CEILING('Wind Elemental'!$Z$6/ IF('Wind Elemental'!$X$6&lt; 10.8, Table14[[#This Row],[STR]], Table14[[#This Row],[STR]] / ('Wind Elemental'!$X$6 / 10.8)), 1)</f>
        <v>12</v>
      </c>
      <c r="AX47" s="12">
        <f>CEILING('Water Elemental'!$Z$6/ IF('Water Elemental'!$X$6&lt; 10.8, Table14[[#This Row],[STR]], Table14[[#This Row],[STR]] / ('Water Elemental'!$X$6 / 10.8)), 1)</f>
        <v>16</v>
      </c>
      <c r="AY47" s="12">
        <f>CEILING('Fire Elemental'!$Z$4/ IF('Fire Elemental'!$X$4&lt; 10.8, Table14[[#This Row],[STR]], Table14[[#This Row],[STR]] / ('Fire Elemental'!$X$4 / 10.8)), 1)</f>
        <v>27</v>
      </c>
      <c r="AZ47" s="15">
        <f>CEILING(Wyvern!$Z$4/ IF(Wyvern!$X$4&lt; 10.8, Table14[[#This Row],[STR]], Table14[[#This Row],[STR]] / (Wyvern!$X$4 / 10.8)), 1)</f>
        <v>32</v>
      </c>
      <c r="BA47" s="15">
        <f>CEILING('Evolved Wyvern'!$Z$4/ IF('Evolved Wyvern'!$X$4&lt; 10.8, Table14[[#This Row],[STR]], Table14[[#This Row],[STR]] / ('Evolved Wyvern'!$X$4 / 10.8)), 1)</f>
        <v>41</v>
      </c>
      <c r="BB47" s="15">
        <f>CEILING(Dragon!$Z$4/ IF(Dragon!$X$4&lt; 10.8, Table14[[#This Row],[STR]], Table14[[#This Row],[STR]] / (Dragon!$X$4 / 10.8)), 1)</f>
        <v>69</v>
      </c>
    </row>
    <row r="48" spans="1:54" x14ac:dyDescent="0.3">
      <c r="A48" s="1">
        <v>46</v>
      </c>
      <c r="B48" s="1">
        <f>$B$3 + ((Table14[[#This Row],[Level]] / 10) + $B$3 / 8) * Table14[[#This Row],[Level]] + Equipment!$O$42</f>
        <v>369.59999999999997</v>
      </c>
      <c r="C48" s="1">
        <f xml:space="preserve"> 2*Table14[[#This Row],[INT]]</f>
        <v>216</v>
      </c>
      <c r="D48" s="1">
        <f>$D$3 + ($D$3 / 4) * Table14[[#This Row],[Level]] + Equipment!$P$42</f>
        <v>108</v>
      </c>
      <c r="E48" s="1">
        <f>$E$3 + ($E$3 / 4) * Table14[[#This Row],[Level]] + Equipment!$Q$42</f>
        <v>126.5</v>
      </c>
      <c r="F48" s="1">
        <f>$F$3 + ($F$3 / 4) * Table14[[#This Row],[Level]] + Equipment!$R$42</f>
        <v>90.5</v>
      </c>
      <c r="G48" s="1">
        <f>$G$3 + ($G$3 / 4) * Table14[[#This Row],[Level]] + Equipment!$S$42</f>
        <v>108</v>
      </c>
      <c r="H48" s="1">
        <f>$H$3 + ($H$3 / 4) * Table14[[#This Row],[Level]] + Equipment!$T$42</f>
        <v>144</v>
      </c>
      <c r="I48" s="1">
        <f xml:space="preserve"> (4 * (Table14[[#This Row],[Level]] ^ 3))/7 + $I$3</f>
        <v>55720.571428571428</v>
      </c>
      <c r="K48" s="8">
        <f>CEILING('Blue Slime'!$B$5/ IF('Blue Slime'!$D$5&lt; 10.8, Table14[[#This Row],[STR]], Table14[[#This Row],[STR]] / ('Blue Slime'!$D$5 / 10.8)), 1)</f>
        <v>1</v>
      </c>
      <c r="L48" s="8">
        <f>CEILING('Green Slime'!$B$5/ IF('Green Slime'!$D$5&lt; 10.8, Table14[[#This Row],[STR]], Table14[[#This Row],[STR]] / ('Green Slime'!$D$5 / 10.8)), 1)</f>
        <v>1</v>
      </c>
      <c r="M48" s="8">
        <f>CEILING(Wolf!$B$6/ IF(Wolf!$D$6&lt; 10.8, Table14[[#This Row],[STR]], Table14[[#This Row],[STR]] / (Wolf!$D$6 / 10.8)), 1)</f>
        <v>1</v>
      </c>
      <c r="N48" s="8">
        <f>CEILING('Horned Wolf'!$B$5/ IF('Horned Wolf'!$D$5&lt; 10.8, Table14[[#This Row],[STR]], Table14[[#This Row],[STR]] / ('Horned Wolf'!$D$5 / 10.8)), 1)</f>
        <v>3</v>
      </c>
      <c r="O48" s="8">
        <f>CEILING(Spider!$B$7/ IF(Spider!$D$7&lt; 10.8, Table14[[#This Row],[STR]], Table14[[#This Row],[STR]] / (Spider!$D$7 / 10.8)), 1)</f>
        <v>3</v>
      </c>
      <c r="P48" s="8">
        <f>CEILING('Evolved Spider'!$B$8/ IF('Evolved Spider'!$D$8&lt; 10.8, Table14[[#This Row],[STR]], Table14[[#This Row],[STR]] / ('Evolved Spider'!$D$8 / 10.8)), 1)</f>
        <v>5</v>
      </c>
      <c r="Q48" s="8">
        <f>CEILING(Arachne!$B$4/ IF(Arachne!$D$4&lt; 10.8, Table14[[#This Row],[STR]], Table14[[#This Row],[STR]] / (Arachne!$D$4 / 10.8)), 1)</f>
        <v>6</v>
      </c>
      <c r="R48" s="12">
        <f>CEILING('Earth Elemental'!$B$6/ IF('Earth Elemental'!$D$6&lt; 10.8, Table14[[#This Row],[STR]], Table14[[#This Row],[STR]] / ('Earth Elemental'!$D$6 / 10.8)), 1)</f>
        <v>6</v>
      </c>
      <c r="S48" s="12">
        <f>CEILING('Wind Elemental'!$B$6/ IF('Wind Elemental'!$D$6&lt; 10.8, Table14[[#This Row],[STR]], Table14[[#This Row],[STR]] / ('Wind Elemental'!$D$6 / 10.8)), 1)</f>
        <v>5</v>
      </c>
      <c r="T48" s="12">
        <f>CEILING('Water Elemental'!$B$6/ IF('Water Elemental'!$D$6&lt; 10.8, Table14[[#This Row],[STR]], Table14[[#This Row],[STR]] / ('Water Elemental'!$D$6 / 10.8)), 1)</f>
        <v>8</v>
      </c>
      <c r="U48" s="12">
        <f>CEILING('Fire Elemental'!$B$4/ IF('Fire Elemental'!$D$4&lt; 10.8, Table14[[#This Row],[STR]], Table14[[#This Row],[STR]] / ('Fire Elemental'!$D$4 / 10.8)), 1)</f>
        <v>10</v>
      </c>
      <c r="V48" s="15">
        <f>CEILING(Wyvern!$B$4/ IF(Wyvern!$D$4&lt; 10.8, Table14[[#This Row],[STR]], Table14[[#This Row],[STR]] / (Wyvern!$D$4 / 10.8)), 1)</f>
        <v>13</v>
      </c>
      <c r="W48" s="15">
        <f>CEILING('Evolved Wyvern'!$B$4/ IF('Evolved Wyvern'!$D$4&lt; 10.8, Table14[[#This Row],[STR]], Table14[[#This Row],[STR]] / ('Evolved Wyvern'!$D$4 / 10.8)), 1)</f>
        <v>18</v>
      </c>
      <c r="X48" s="15">
        <f>CEILING(Dragon!$B$4/ IF(Dragon!$D$4&lt; 10.8, Table14[[#This Row],[STR]], Table14[[#This Row],[STR]] / (Dragon!$D$4 / 10.8)), 1)</f>
        <v>30</v>
      </c>
      <c r="Z48" s="8">
        <f>CEILING('Blue Slime'!$M$5/ IF('Blue Slime'!$O$5&lt; 10.8, Table14[[#This Row],[STR]], Table14[[#This Row],[STR]] / ('Blue Slime'!$O$5 / 10.8)), 1)</f>
        <v>1</v>
      </c>
      <c r="AA48" s="8">
        <f>CEILING('Green Slime'!$M$5/ IF('Green Slime'!$O$5&lt; 10.8, Table14[[#This Row],[STR]], Table14[[#This Row],[STR]] / ('Green Slime'!$O$5 / 10.8)), 1)</f>
        <v>1</v>
      </c>
      <c r="AB48" s="8">
        <f>CEILING(Wolf!$M$6/ IF(Wolf!$O$6&lt; 10.8, Table14[[#This Row],[STR]], Table14[[#This Row],[STR]] / (Wolf!$O$6 / 10.8)), 1)</f>
        <v>2</v>
      </c>
      <c r="AC48" s="8">
        <f>CEILING('Horned Wolf'!$M$5/ IF('Horned Wolf'!$O$5&lt; 10.8, Table14[[#This Row],[STR]], Table14[[#This Row],[STR]] / ('Horned Wolf'!$O$5 / 10.8)), 1)</f>
        <v>5</v>
      </c>
      <c r="AD48" s="8">
        <f>CEILING(Spider!$M$7/ IF(Spider!$O$7&lt; 10.8, Table14[[#This Row],[STR]], Table14[[#This Row],[STR]] / (Spider!$O$7 / 10.8)), 1)</f>
        <v>5</v>
      </c>
      <c r="AE48" s="8">
        <f>CEILING('Evolved Spider'!$M$8/ IF('Evolved Spider'!$O$8&lt; 10.8, Table14[[#This Row],[STR]], Table14[[#This Row],[STR]] / ('Evolved Spider'!$O$8 / 10.8)), 1)</f>
        <v>8</v>
      </c>
      <c r="AF48" s="8">
        <f>CEILING(Arachne!$M$4/ IF(Arachne!$O$4&lt; 10.8, Table14[[#This Row],[STR]], Table14[[#This Row],[STR]] / (Arachne!$O$4 / 10.8)), 1)</f>
        <v>11</v>
      </c>
      <c r="AG48" s="12">
        <f>CEILING('Earth Elemental'!$M$6/ IF('Earth Elemental'!$O$6&lt; 10.8, Table14[[#This Row],[STR]], Table14[[#This Row],[STR]] / ('Earth Elemental'!$O$6 / 10.8)), 1)</f>
        <v>10</v>
      </c>
      <c r="AH48" s="12">
        <f>CEILING('Wind Elemental'!$M$6/ IF('Wind Elemental'!$O$6&lt; 10.8, Table14[[#This Row],[STR]], Table14[[#This Row],[STR]] / ('Wind Elemental'!$O$6 / 10.8)), 1)</f>
        <v>8</v>
      </c>
      <c r="AI48" s="12">
        <f>CEILING('Water Elemental'!$M$6/ IF('Water Elemental'!$O$6&lt; 10.8, Table14[[#This Row],[STR]], Table14[[#This Row],[STR]] / ('Water Elemental'!$O$6 / 10.8)), 1)</f>
        <v>12</v>
      </c>
      <c r="AJ48" s="12">
        <f>CEILING('Fire Elemental'!$M$4/ IF('Fire Elemental'!$O$4&lt; 10.8, Table14[[#This Row],[STR]], Table14[[#This Row],[STR]] / ('Fire Elemental'!$O$4 / 10.8)), 1)</f>
        <v>17</v>
      </c>
      <c r="AK48" s="15">
        <f>CEILING(Wyvern!$M$4/ IF(Wyvern!$O$4&lt; 10.8, Table14[[#This Row],[STR]], Table14[[#This Row],[STR]] / (Wyvern!$O$4 / 10.8)), 1)</f>
        <v>22</v>
      </c>
      <c r="AL48" s="15">
        <f>CEILING('Evolved Wyvern'!$M$4/ IF('Evolved Wyvern'!$O$4&lt; 10.8, Table14[[#This Row],[STR]], Table14[[#This Row],[STR]] / ('Evolved Wyvern'!$O$4 / 10.8)), 1)</f>
        <v>29</v>
      </c>
      <c r="AM48" s="15">
        <f>CEILING(Dragon!$M$4/ IF(Dragon!$O$4&lt; 10.8, Table14[[#This Row],[STR]], Table14[[#This Row],[STR]] / (Dragon!$O$4 / 10.8)), 1)</f>
        <v>48</v>
      </c>
      <c r="AO48" s="8">
        <f>CEILING('Blue Slime'!$Z$5/ IF('Blue Slime'!$X$5&lt; 10.8, Table14[[#This Row],[STR]], Table14[[#This Row],[STR]] / ('Blue Slime'!$X$5 / 10.8)), 1)</f>
        <v>1</v>
      </c>
      <c r="AP48" s="8">
        <f>CEILING('Green Slime'!$Z$5/ IF('Green Slime'!$X$5&lt; 10.8, Table14[[#This Row],[STR]], Table14[[#This Row],[STR]] / ('Green Slime'!$X$5 / 10.8)), 1)</f>
        <v>2</v>
      </c>
      <c r="AQ48" s="8">
        <f>CEILING(Wolf!$Z$6/ IF(Wolf!$X$6&lt; 10.8, Table14[[#This Row],[STR]], Table14[[#This Row],[STR]] / (Wolf!$X$6 / 10.8)), 1)</f>
        <v>3</v>
      </c>
      <c r="AR48" s="8">
        <f>CEILING('Horned Wolf'!$Z$5/ IF('Horned Wolf'!$X$5&lt; 10.8, Table14[[#This Row],[STR]], Table14[[#This Row],[STR]] / ('Horned Wolf'!$X$5 / 10.8)), 1)</f>
        <v>9</v>
      </c>
      <c r="AS48" s="8">
        <f>CEILING(Spider!$Z$7/ IF(Spider!$X$7&lt; 10.8, Table14[[#This Row],[STR]], Table14[[#This Row],[STR]] / (Spider!$X$7 / 10.8)), 1)</f>
        <v>8</v>
      </c>
      <c r="AT48" s="8">
        <f>CEILING('Evolved Spider'!$Z$8/ IF('Evolved Spider'!$X$8&lt; 10.8, Table14[[#This Row],[STR]], Table14[[#This Row],[STR]] / ('Evolved Spider'!$X$8 / 10.8)), 1)</f>
        <v>13</v>
      </c>
      <c r="AU48" s="8">
        <f>CEILING(Arachne!$Z$4/ IF(Arachne!$X$4&lt; 10.8, Table14[[#This Row],[STR]], Table14[[#This Row],[STR]] / (Arachne!$X$4 / 10.8)), 1)</f>
        <v>18</v>
      </c>
      <c r="AV48" s="12">
        <f>CEILING('Earth Elemental'!$Z$6/ IF('Earth Elemental'!$X$6&lt; 10.8, Table14[[#This Row],[STR]], Table14[[#This Row],[STR]] / ('Earth Elemental'!$X$6 / 10.8)), 1)</f>
        <v>15</v>
      </c>
      <c r="AW48" s="12">
        <f>CEILING('Wind Elemental'!$Z$6/ IF('Wind Elemental'!$X$6&lt; 10.8, Table14[[#This Row],[STR]], Table14[[#This Row],[STR]] / ('Wind Elemental'!$X$6 / 10.8)), 1)</f>
        <v>12</v>
      </c>
      <c r="AX48" s="12">
        <f>CEILING('Water Elemental'!$Z$6/ IF('Water Elemental'!$X$6&lt; 10.8, Table14[[#This Row],[STR]], Table14[[#This Row],[STR]] / ('Water Elemental'!$X$6 / 10.8)), 1)</f>
        <v>16</v>
      </c>
      <c r="AY48" s="12">
        <f>CEILING('Fire Elemental'!$Z$4/ IF('Fire Elemental'!$X$4&lt; 10.8, Table14[[#This Row],[STR]], Table14[[#This Row],[STR]] / ('Fire Elemental'!$X$4 / 10.8)), 1)</f>
        <v>26</v>
      </c>
      <c r="AZ48" s="15">
        <f>CEILING(Wyvern!$Z$4/ IF(Wyvern!$X$4&lt; 10.8, Table14[[#This Row],[STR]], Table14[[#This Row],[STR]] / (Wyvern!$X$4 / 10.8)), 1)</f>
        <v>32</v>
      </c>
      <c r="BA48" s="15">
        <f>CEILING('Evolved Wyvern'!$Z$4/ IF('Evolved Wyvern'!$X$4&lt; 10.8, Table14[[#This Row],[STR]], Table14[[#This Row],[STR]] / ('Evolved Wyvern'!$X$4 / 10.8)), 1)</f>
        <v>40</v>
      </c>
      <c r="BB48" s="15">
        <f>CEILING(Dragon!$Z$4/ IF(Dragon!$X$4&lt; 10.8, Table14[[#This Row],[STR]], Table14[[#This Row],[STR]] / (Dragon!$X$4 / 10.8)), 1)</f>
        <v>68</v>
      </c>
    </row>
    <row r="49" spans="1:54" x14ac:dyDescent="0.3">
      <c r="A49" s="1">
        <v>47</v>
      </c>
      <c r="B49" s="1">
        <f>$B$3 + ((Table14[[#This Row],[Level]] / 10) + $B$3 / 8) * Table14[[#This Row],[Level]] + Equipment!$O$42</f>
        <v>379.90000000000003</v>
      </c>
      <c r="C49" s="1">
        <f xml:space="preserve"> 2*Table14[[#This Row],[INT]]</f>
        <v>219</v>
      </c>
      <c r="D49" s="1">
        <f>$D$3 + ($D$3 / 4) * Table14[[#This Row],[Level]] + Equipment!$P$42</f>
        <v>109.5</v>
      </c>
      <c r="E49" s="1">
        <f>$E$3 + ($E$3 / 4) * Table14[[#This Row],[Level]] + Equipment!$Q$42</f>
        <v>128.25</v>
      </c>
      <c r="F49" s="1">
        <f>$F$3 + ($F$3 / 4) * Table14[[#This Row],[Level]] + Equipment!$R$42</f>
        <v>91.75</v>
      </c>
      <c r="G49" s="1">
        <f>$G$3 + ($G$3 / 4) * Table14[[#This Row],[Level]] + Equipment!$S$42</f>
        <v>109.5</v>
      </c>
      <c r="H49" s="1">
        <f>$H$3 + ($H$3 / 4) * Table14[[#This Row],[Level]] + Equipment!$T$42</f>
        <v>146</v>
      </c>
      <c r="I49" s="1">
        <f xml:space="preserve"> (4 * (Table14[[#This Row],[Level]] ^ 3))/7 + $I$3</f>
        <v>59427.428571428572</v>
      </c>
      <c r="K49" s="8">
        <f>CEILING('Blue Slime'!$B$5/ IF('Blue Slime'!$D$5&lt; 10.8, Table14[[#This Row],[STR]], Table14[[#This Row],[STR]] / ('Blue Slime'!$D$5 / 10.8)), 1)</f>
        <v>1</v>
      </c>
      <c r="L49" s="8">
        <f>CEILING('Green Slime'!$B$5/ IF('Green Slime'!$D$5&lt; 10.8, Table14[[#This Row],[STR]], Table14[[#This Row],[STR]] / ('Green Slime'!$D$5 / 10.8)), 1)</f>
        <v>1</v>
      </c>
      <c r="M49" s="8">
        <f>CEILING(Wolf!$B$6/ IF(Wolf!$D$6&lt; 10.8, Table14[[#This Row],[STR]], Table14[[#This Row],[STR]] / (Wolf!$D$6 / 10.8)), 1)</f>
        <v>1</v>
      </c>
      <c r="N49" s="8">
        <f>CEILING('Horned Wolf'!$B$5/ IF('Horned Wolf'!$D$5&lt; 10.8, Table14[[#This Row],[STR]], Table14[[#This Row],[STR]] / ('Horned Wolf'!$D$5 / 10.8)), 1)</f>
        <v>3</v>
      </c>
      <c r="O49" s="8">
        <f>CEILING(Spider!$B$7/ IF(Spider!$D$7&lt; 10.8, Table14[[#This Row],[STR]], Table14[[#This Row],[STR]] / (Spider!$D$7 / 10.8)), 1)</f>
        <v>3</v>
      </c>
      <c r="P49" s="8">
        <f>CEILING('Evolved Spider'!$B$8/ IF('Evolved Spider'!$D$8&lt; 10.8, Table14[[#This Row],[STR]], Table14[[#This Row],[STR]] / ('Evolved Spider'!$D$8 / 10.8)), 1)</f>
        <v>5</v>
      </c>
      <c r="Q49" s="8">
        <f>CEILING(Arachne!$B$4/ IF(Arachne!$D$4&lt; 10.8, Table14[[#This Row],[STR]], Table14[[#This Row],[STR]] / (Arachne!$D$4 / 10.8)), 1)</f>
        <v>6</v>
      </c>
      <c r="R49" s="12">
        <f>CEILING('Earth Elemental'!$B$6/ IF('Earth Elemental'!$D$6&lt; 10.8, Table14[[#This Row],[STR]], Table14[[#This Row],[STR]] / ('Earth Elemental'!$D$6 / 10.8)), 1)</f>
        <v>6</v>
      </c>
      <c r="S49" s="12">
        <f>CEILING('Wind Elemental'!$B$6/ IF('Wind Elemental'!$D$6&lt; 10.8, Table14[[#This Row],[STR]], Table14[[#This Row],[STR]] / ('Wind Elemental'!$D$6 / 10.8)), 1)</f>
        <v>5</v>
      </c>
      <c r="T49" s="12">
        <f>CEILING('Water Elemental'!$B$6/ IF('Water Elemental'!$D$6&lt; 10.8, Table14[[#This Row],[STR]], Table14[[#This Row],[STR]] / ('Water Elemental'!$D$6 / 10.8)), 1)</f>
        <v>8</v>
      </c>
      <c r="U49" s="12">
        <f>CEILING('Fire Elemental'!$B$4/ IF('Fire Elemental'!$D$4&lt; 10.8, Table14[[#This Row],[STR]], Table14[[#This Row],[STR]] / ('Fire Elemental'!$D$4 / 10.8)), 1)</f>
        <v>10</v>
      </c>
      <c r="V49" s="15">
        <f>CEILING(Wyvern!$B$4/ IF(Wyvern!$D$4&lt; 10.8, Table14[[#This Row],[STR]], Table14[[#This Row],[STR]] / (Wyvern!$D$4 / 10.8)), 1)</f>
        <v>13</v>
      </c>
      <c r="W49" s="15">
        <f>CEILING('Evolved Wyvern'!$B$4/ IF('Evolved Wyvern'!$D$4&lt; 10.8, Table14[[#This Row],[STR]], Table14[[#This Row],[STR]] / ('Evolved Wyvern'!$D$4 / 10.8)), 1)</f>
        <v>18</v>
      </c>
      <c r="X49" s="15">
        <f>CEILING(Dragon!$B$4/ IF(Dragon!$D$4&lt; 10.8, Table14[[#This Row],[STR]], Table14[[#This Row],[STR]] / (Dragon!$D$4 / 10.8)), 1)</f>
        <v>30</v>
      </c>
      <c r="Z49" s="8">
        <f>CEILING('Blue Slime'!$M$5/ IF('Blue Slime'!$O$5&lt; 10.8, Table14[[#This Row],[STR]], Table14[[#This Row],[STR]] / ('Blue Slime'!$O$5 / 10.8)), 1)</f>
        <v>1</v>
      </c>
      <c r="AA49" s="8">
        <f>CEILING('Green Slime'!$M$5/ IF('Green Slime'!$O$5&lt; 10.8, Table14[[#This Row],[STR]], Table14[[#This Row],[STR]] / ('Green Slime'!$O$5 / 10.8)), 1)</f>
        <v>1</v>
      </c>
      <c r="AB49" s="8">
        <f>CEILING(Wolf!$M$6/ IF(Wolf!$O$6&lt; 10.8, Table14[[#This Row],[STR]], Table14[[#This Row],[STR]] / (Wolf!$O$6 / 10.8)), 1)</f>
        <v>2</v>
      </c>
      <c r="AC49" s="8">
        <f>CEILING('Horned Wolf'!$M$5/ IF('Horned Wolf'!$O$5&lt; 10.8, Table14[[#This Row],[STR]], Table14[[#This Row],[STR]] / ('Horned Wolf'!$O$5 / 10.8)), 1)</f>
        <v>5</v>
      </c>
      <c r="AD49" s="8">
        <f>CEILING(Spider!$M$7/ IF(Spider!$O$7&lt; 10.8, Table14[[#This Row],[STR]], Table14[[#This Row],[STR]] / (Spider!$O$7 / 10.8)), 1)</f>
        <v>5</v>
      </c>
      <c r="AE49" s="8">
        <f>CEILING('Evolved Spider'!$M$8/ IF('Evolved Spider'!$O$8&lt; 10.8, Table14[[#This Row],[STR]], Table14[[#This Row],[STR]] / ('Evolved Spider'!$O$8 / 10.8)), 1)</f>
        <v>8</v>
      </c>
      <c r="AF49" s="8">
        <f>CEILING(Arachne!$M$4/ IF(Arachne!$O$4&lt; 10.8, Table14[[#This Row],[STR]], Table14[[#This Row],[STR]] / (Arachne!$O$4 / 10.8)), 1)</f>
        <v>11</v>
      </c>
      <c r="AG49" s="12">
        <f>CEILING('Earth Elemental'!$M$6/ IF('Earth Elemental'!$O$6&lt; 10.8, Table14[[#This Row],[STR]], Table14[[#This Row],[STR]] / ('Earth Elemental'!$O$6 / 10.8)), 1)</f>
        <v>10</v>
      </c>
      <c r="AH49" s="12">
        <f>CEILING('Wind Elemental'!$M$6/ IF('Wind Elemental'!$O$6&lt; 10.8, Table14[[#This Row],[STR]], Table14[[#This Row],[STR]] / ('Wind Elemental'!$O$6 / 10.8)), 1)</f>
        <v>8</v>
      </c>
      <c r="AI49" s="12">
        <f>CEILING('Water Elemental'!$M$6/ IF('Water Elemental'!$O$6&lt; 10.8, Table14[[#This Row],[STR]], Table14[[#This Row],[STR]] / ('Water Elemental'!$O$6 / 10.8)), 1)</f>
        <v>12</v>
      </c>
      <c r="AJ49" s="12">
        <f>CEILING('Fire Elemental'!$M$4/ IF('Fire Elemental'!$O$4&lt; 10.8, Table14[[#This Row],[STR]], Table14[[#This Row],[STR]] / ('Fire Elemental'!$O$4 / 10.8)), 1)</f>
        <v>17</v>
      </c>
      <c r="AK49" s="15">
        <f>CEILING(Wyvern!$M$4/ IF(Wyvern!$O$4&lt; 10.8, Table14[[#This Row],[STR]], Table14[[#This Row],[STR]] / (Wyvern!$O$4 / 10.8)), 1)</f>
        <v>22</v>
      </c>
      <c r="AL49" s="15">
        <f>CEILING('Evolved Wyvern'!$M$4/ IF('Evolved Wyvern'!$O$4&lt; 10.8, Table14[[#This Row],[STR]], Table14[[#This Row],[STR]] / ('Evolved Wyvern'!$O$4 / 10.8)), 1)</f>
        <v>29</v>
      </c>
      <c r="AM49" s="15">
        <f>CEILING(Dragon!$M$4/ IF(Dragon!$O$4&lt; 10.8, Table14[[#This Row],[STR]], Table14[[#This Row],[STR]] / (Dragon!$O$4 / 10.8)), 1)</f>
        <v>47</v>
      </c>
      <c r="AO49" s="8">
        <f>CEILING('Blue Slime'!$Z$5/ IF('Blue Slime'!$X$5&lt; 10.8, Table14[[#This Row],[STR]], Table14[[#This Row],[STR]] / ('Blue Slime'!$X$5 / 10.8)), 1)</f>
        <v>1</v>
      </c>
      <c r="AP49" s="8">
        <f>CEILING('Green Slime'!$Z$5/ IF('Green Slime'!$X$5&lt; 10.8, Table14[[#This Row],[STR]], Table14[[#This Row],[STR]] / ('Green Slime'!$X$5 / 10.8)), 1)</f>
        <v>1</v>
      </c>
      <c r="AQ49" s="8">
        <f>CEILING(Wolf!$Z$6/ IF(Wolf!$X$6&lt; 10.8, Table14[[#This Row],[STR]], Table14[[#This Row],[STR]] / (Wolf!$X$6 / 10.8)), 1)</f>
        <v>3</v>
      </c>
      <c r="AR49" s="8">
        <f>CEILING('Horned Wolf'!$Z$5/ IF('Horned Wolf'!$X$5&lt; 10.8, Table14[[#This Row],[STR]], Table14[[#This Row],[STR]] / ('Horned Wolf'!$X$5 / 10.8)), 1)</f>
        <v>9</v>
      </c>
      <c r="AS49" s="8">
        <f>CEILING(Spider!$Z$7/ IF(Spider!$X$7&lt; 10.8, Table14[[#This Row],[STR]], Table14[[#This Row],[STR]] / (Spider!$X$7 / 10.8)), 1)</f>
        <v>8</v>
      </c>
      <c r="AT49" s="8">
        <f>CEILING('Evolved Spider'!$Z$8/ IF('Evolved Spider'!$X$8&lt; 10.8, Table14[[#This Row],[STR]], Table14[[#This Row],[STR]] / ('Evolved Spider'!$X$8 / 10.8)), 1)</f>
        <v>13</v>
      </c>
      <c r="AU49" s="8">
        <f>CEILING(Arachne!$Z$4/ IF(Arachne!$X$4&lt; 10.8, Table14[[#This Row],[STR]], Table14[[#This Row],[STR]] / (Arachne!$X$4 / 10.8)), 1)</f>
        <v>18</v>
      </c>
      <c r="AV49" s="12">
        <f>CEILING('Earth Elemental'!$Z$6/ IF('Earth Elemental'!$X$6&lt; 10.8, Table14[[#This Row],[STR]], Table14[[#This Row],[STR]] / ('Earth Elemental'!$X$6 / 10.8)), 1)</f>
        <v>15</v>
      </c>
      <c r="AW49" s="12">
        <f>CEILING('Wind Elemental'!$Z$6/ IF('Wind Elemental'!$X$6&lt; 10.8, Table14[[#This Row],[STR]], Table14[[#This Row],[STR]] / ('Wind Elemental'!$X$6 / 10.8)), 1)</f>
        <v>12</v>
      </c>
      <c r="AX49" s="12">
        <f>CEILING('Water Elemental'!$Z$6/ IF('Water Elemental'!$X$6&lt; 10.8, Table14[[#This Row],[STR]], Table14[[#This Row],[STR]] / ('Water Elemental'!$X$6 / 10.8)), 1)</f>
        <v>16</v>
      </c>
      <c r="AY49" s="12">
        <f>CEILING('Fire Elemental'!$Z$4/ IF('Fire Elemental'!$X$4&lt; 10.8, Table14[[#This Row],[STR]], Table14[[#This Row],[STR]] / ('Fire Elemental'!$X$4 / 10.8)), 1)</f>
        <v>26</v>
      </c>
      <c r="AZ49" s="15">
        <f>CEILING(Wyvern!$Z$4/ IF(Wyvern!$X$4&lt; 10.8, Table14[[#This Row],[STR]], Table14[[#This Row],[STR]] / (Wyvern!$X$4 / 10.8)), 1)</f>
        <v>31</v>
      </c>
      <c r="BA49" s="15">
        <f>CEILING('Evolved Wyvern'!$Z$4/ IF('Evolved Wyvern'!$X$4&lt; 10.8, Table14[[#This Row],[STR]], Table14[[#This Row],[STR]] / ('Evolved Wyvern'!$X$4 / 10.8)), 1)</f>
        <v>40</v>
      </c>
      <c r="BB49" s="15">
        <f>CEILING(Dragon!$Z$4/ IF(Dragon!$X$4&lt; 10.8, Table14[[#This Row],[STR]], Table14[[#This Row],[STR]] / (Dragon!$X$4 / 10.8)), 1)</f>
        <v>67</v>
      </c>
    </row>
    <row r="50" spans="1:54" x14ac:dyDescent="0.3">
      <c r="A50" s="1">
        <v>48</v>
      </c>
      <c r="B50" s="1">
        <f>$B$3 + ((Table14[[#This Row],[Level]] / 10) + $B$3 / 8) * Table14[[#This Row],[Level]] + Equipment!$O$42</f>
        <v>390.4</v>
      </c>
      <c r="C50" s="1">
        <f xml:space="preserve"> 2*Table14[[#This Row],[INT]]</f>
        <v>222</v>
      </c>
      <c r="D50" s="1">
        <f>$D$3 + ($D$3 / 4) * Table14[[#This Row],[Level]] + Equipment!$P$42</f>
        <v>111</v>
      </c>
      <c r="E50" s="1">
        <f>$E$3 + ($E$3 / 4) * Table14[[#This Row],[Level]] + Equipment!$Q$42</f>
        <v>130</v>
      </c>
      <c r="F50" s="1">
        <f>$F$3 + ($F$3 / 4) * Table14[[#This Row],[Level]] + Equipment!$R$42</f>
        <v>93</v>
      </c>
      <c r="G50" s="1">
        <f>$G$3 + ($G$3 / 4) * Table14[[#This Row],[Level]] + Equipment!$S$42</f>
        <v>111</v>
      </c>
      <c r="H50" s="1">
        <f>$H$3 + ($H$3 / 4) * Table14[[#This Row],[Level]] + Equipment!$T$42</f>
        <v>148</v>
      </c>
      <c r="I50" s="1">
        <f xml:space="preserve"> (4 * (Table14[[#This Row],[Level]] ^ 3))/7 + $I$3</f>
        <v>63295.428571428572</v>
      </c>
      <c r="K50" s="8">
        <f>CEILING('Blue Slime'!$B$5/ IF('Blue Slime'!$D$5&lt; 10.8, Table14[[#This Row],[STR]], Table14[[#This Row],[STR]] / ('Blue Slime'!$D$5 / 10.8)), 1)</f>
        <v>1</v>
      </c>
      <c r="L50" s="8">
        <f>CEILING('Green Slime'!$B$5/ IF('Green Slime'!$D$5&lt; 10.8, Table14[[#This Row],[STR]], Table14[[#This Row],[STR]] / ('Green Slime'!$D$5 / 10.8)), 1)</f>
        <v>1</v>
      </c>
      <c r="M50" s="8">
        <f>CEILING(Wolf!$B$6/ IF(Wolf!$D$6&lt; 10.8, Table14[[#This Row],[STR]], Table14[[#This Row],[STR]] / (Wolf!$D$6 / 10.8)), 1)</f>
        <v>1</v>
      </c>
      <c r="N50" s="8">
        <f>CEILING('Horned Wolf'!$B$5/ IF('Horned Wolf'!$D$5&lt; 10.8, Table14[[#This Row],[STR]], Table14[[#This Row],[STR]] / ('Horned Wolf'!$D$5 / 10.8)), 1)</f>
        <v>3</v>
      </c>
      <c r="O50" s="8">
        <f>CEILING(Spider!$B$7/ IF(Spider!$D$7&lt; 10.8, Table14[[#This Row],[STR]], Table14[[#This Row],[STR]] / (Spider!$D$7 / 10.8)), 1)</f>
        <v>3</v>
      </c>
      <c r="P50" s="8">
        <f>CEILING('Evolved Spider'!$B$8/ IF('Evolved Spider'!$D$8&lt; 10.8, Table14[[#This Row],[STR]], Table14[[#This Row],[STR]] / ('Evolved Spider'!$D$8 / 10.8)), 1)</f>
        <v>4</v>
      </c>
      <c r="Q50" s="8">
        <f>CEILING(Arachne!$B$4/ IF(Arachne!$D$4&lt; 10.8, Table14[[#This Row],[STR]], Table14[[#This Row],[STR]] / (Arachne!$D$4 / 10.8)), 1)</f>
        <v>6</v>
      </c>
      <c r="R50" s="12">
        <f>CEILING('Earth Elemental'!$B$6/ IF('Earth Elemental'!$D$6&lt; 10.8, Table14[[#This Row],[STR]], Table14[[#This Row],[STR]] / ('Earth Elemental'!$D$6 / 10.8)), 1)</f>
        <v>6</v>
      </c>
      <c r="S50" s="12">
        <f>CEILING('Wind Elemental'!$B$6/ IF('Wind Elemental'!$D$6&lt; 10.8, Table14[[#This Row],[STR]], Table14[[#This Row],[STR]] / ('Wind Elemental'!$D$6 / 10.8)), 1)</f>
        <v>5</v>
      </c>
      <c r="T50" s="12">
        <f>CEILING('Water Elemental'!$B$6/ IF('Water Elemental'!$D$6&lt; 10.8, Table14[[#This Row],[STR]], Table14[[#This Row],[STR]] / ('Water Elemental'!$D$6 / 10.8)), 1)</f>
        <v>8</v>
      </c>
      <c r="U50" s="12">
        <f>CEILING('Fire Elemental'!$B$4/ IF('Fire Elemental'!$D$4&lt; 10.8, Table14[[#This Row],[STR]], Table14[[#This Row],[STR]] / ('Fire Elemental'!$D$4 / 10.8)), 1)</f>
        <v>10</v>
      </c>
      <c r="V50" s="15">
        <f>CEILING(Wyvern!$B$4/ IF(Wyvern!$D$4&lt; 10.8, Table14[[#This Row],[STR]], Table14[[#This Row],[STR]] / (Wyvern!$D$4 / 10.8)), 1)</f>
        <v>13</v>
      </c>
      <c r="W50" s="15">
        <f>CEILING('Evolved Wyvern'!$B$4/ IF('Evolved Wyvern'!$D$4&lt; 10.8, Table14[[#This Row],[STR]], Table14[[#This Row],[STR]] / ('Evolved Wyvern'!$D$4 / 10.8)), 1)</f>
        <v>18</v>
      </c>
      <c r="X50" s="15">
        <f>CEILING(Dragon!$B$4/ IF(Dragon!$D$4&lt; 10.8, Table14[[#This Row],[STR]], Table14[[#This Row],[STR]] / (Dragon!$D$4 / 10.8)), 1)</f>
        <v>29</v>
      </c>
      <c r="Z50" s="8">
        <f>CEILING('Blue Slime'!$M$5/ IF('Blue Slime'!$O$5&lt; 10.8, Table14[[#This Row],[STR]], Table14[[#This Row],[STR]] / ('Blue Slime'!$O$5 / 10.8)), 1)</f>
        <v>1</v>
      </c>
      <c r="AA50" s="8">
        <f>CEILING('Green Slime'!$M$5/ IF('Green Slime'!$O$5&lt; 10.8, Table14[[#This Row],[STR]], Table14[[#This Row],[STR]] / ('Green Slime'!$O$5 / 10.8)), 1)</f>
        <v>1</v>
      </c>
      <c r="AB50" s="8">
        <f>CEILING(Wolf!$M$6/ IF(Wolf!$O$6&lt; 10.8, Table14[[#This Row],[STR]], Table14[[#This Row],[STR]] / (Wolf!$O$6 / 10.8)), 1)</f>
        <v>2</v>
      </c>
      <c r="AC50" s="8">
        <f>CEILING('Horned Wolf'!$M$5/ IF('Horned Wolf'!$O$5&lt; 10.8, Table14[[#This Row],[STR]], Table14[[#This Row],[STR]] / ('Horned Wolf'!$O$5 / 10.8)), 1)</f>
        <v>5</v>
      </c>
      <c r="AD50" s="8">
        <f>CEILING(Spider!$M$7/ IF(Spider!$O$7&lt; 10.8, Table14[[#This Row],[STR]], Table14[[#This Row],[STR]] / (Spider!$O$7 / 10.8)), 1)</f>
        <v>5</v>
      </c>
      <c r="AE50" s="8">
        <f>CEILING('Evolved Spider'!$M$8/ IF('Evolved Spider'!$O$8&lt; 10.8, Table14[[#This Row],[STR]], Table14[[#This Row],[STR]] / ('Evolved Spider'!$O$8 / 10.8)), 1)</f>
        <v>8</v>
      </c>
      <c r="AF50" s="8">
        <f>CEILING(Arachne!$M$4/ IF(Arachne!$O$4&lt; 10.8, Table14[[#This Row],[STR]], Table14[[#This Row],[STR]] / (Arachne!$O$4 / 10.8)), 1)</f>
        <v>11</v>
      </c>
      <c r="AG50" s="12">
        <f>CEILING('Earth Elemental'!$M$6/ IF('Earth Elemental'!$O$6&lt; 10.8, Table14[[#This Row],[STR]], Table14[[#This Row],[STR]] / ('Earth Elemental'!$O$6 / 10.8)), 1)</f>
        <v>10</v>
      </c>
      <c r="AH50" s="12">
        <f>CEILING('Wind Elemental'!$M$6/ IF('Wind Elemental'!$O$6&lt; 10.8, Table14[[#This Row],[STR]], Table14[[#This Row],[STR]] / ('Wind Elemental'!$O$6 / 10.8)), 1)</f>
        <v>8</v>
      </c>
      <c r="AI50" s="12">
        <f>CEILING('Water Elemental'!$M$6/ IF('Water Elemental'!$O$6&lt; 10.8, Table14[[#This Row],[STR]], Table14[[#This Row],[STR]] / ('Water Elemental'!$O$6 / 10.8)), 1)</f>
        <v>12</v>
      </c>
      <c r="AJ50" s="12">
        <f>CEILING('Fire Elemental'!$M$4/ IF('Fire Elemental'!$O$4&lt; 10.8, Table14[[#This Row],[STR]], Table14[[#This Row],[STR]] / ('Fire Elemental'!$O$4 / 10.8)), 1)</f>
        <v>17</v>
      </c>
      <c r="AK50" s="15">
        <f>CEILING(Wyvern!$M$4/ IF(Wyvern!$O$4&lt; 10.8, Table14[[#This Row],[STR]], Table14[[#This Row],[STR]] / (Wyvern!$O$4 / 10.8)), 1)</f>
        <v>21</v>
      </c>
      <c r="AL50" s="15">
        <f>CEILING('Evolved Wyvern'!$M$4/ IF('Evolved Wyvern'!$O$4&lt; 10.8, Table14[[#This Row],[STR]], Table14[[#This Row],[STR]] / ('Evolved Wyvern'!$O$4 / 10.8)), 1)</f>
        <v>28</v>
      </c>
      <c r="AM50" s="15">
        <f>CEILING(Dragon!$M$4/ IF(Dragon!$O$4&lt; 10.8, Table14[[#This Row],[STR]], Table14[[#This Row],[STR]] / (Dragon!$O$4 / 10.8)), 1)</f>
        <v>47</v>
      </c>
      <c r="AO50" s="8">
        <f>CEILING('Blue Slime'!$Z$5/ IF('Blue Slime'!$X$5&lt; 10.8, Table14[[#This Row],[STR]], Table14[[#This Row],[STR]] / ('Blue Slime'!$X$5 / 10.8)), 1)</f>
        <v>1</v>
      </c>
      <c r="AP50" s="8">
        <f>CEILING('Green Slime'!$Z$5/ IF('Green Slime'!$X$5&lt; 10.8, Table14[[#This Row],[STR]], Table14[[#This Row],[STR]] / ('Green Slime'!$X$5 / 10.8)), 1)</f>
        <v>1</v>
      </c>
      <c r="AQ50" s="8">
        <f>CEILING(Wolf!$Z$6/ IF(Wolf!$X$6&lt; 10.8, Table14[[#This Row],[STR]], Table14[[#This Row],[STR]] / (Wolf!$X$6 / 10.8)), 1)</f>
        <v>3</v>
      </c>
      <c r="AR50" s="8">
        <f>CEILING('Horned Wolf'!$Z$5/ IF('Horned Wolf'!$X$5&lt; 10.8, Table14[[#This Row],[STR]], Table14[[#This Row],[STR]] / ('Horned Wolf'!$X$5 / 10.8)), 1)</f>
        <v>8</v>
      </c>
      <c r="AS50" s="8">
        <f>CEILING(Spider!$Z$7/ IF(Spider!$X$7&lt; 10.8, Table14[[#This Row],[STR]], Table14[[#This Row],[STR]] / (Spider!$X$7 / 10.8)), 1)</f>
        <v>7</v>
      </c>
      <c r="AT50" s="8">
        <f>CEILING('Evolved Spider'!$Z$8/ IF('Evolved Spider'!$X$8&lt; 10.8, Table14[[#This Row],[STR]], Table14[[#This Row],[STR]] / ('Evolved Spider'!$X$8 / 10.8)), 1)</f>
        <v>13</v>
      </c>
      <c r="AU50" s="8">
        <f>CEILING(Arachne!$Z$4/ IF(Arachne!$X$4&lt; 10.8, Table14[[#This Row],[STR]], Table14[[#This Row],[STR]] / (Arachne!$X$4 / 10.8)), 1)</f>
        <v>18</v>
      </c>
      <c r="AV50" s="12">
        <f>CEILING('Earth Elemental'!$Z$6/ IF('Earth Elemental'!$X$6&lt; 10.8, Table14[[#This Row],[STR]], Table14[[#This Row],[STR]] / ('Earth Elemental'!$X$6 / 10.8)), 1)</f>
        <v>15</v>
      </c>
      <c r="AW50" s="12">
        <f>CEILING('Wind Elemental'!$Z$6/ IF('Wind Elemental'!$X$6&lt; 10.8, Table14[[#This Row],[STR]], Table14[[#This Row],[STR]] / ('Wind Elemental'!$X$6 / 10.8)), 1)</f>
        <v>12</v>
      </c>
      <c r="AX50" s="12">
        <f>CEILING('Water Elemental'!$Z$6/ IF('Water Elemental'!$X$6&lt; 10.8, Table14[[#This Row],[STR]], Table14[[#This Row],[STR]] / ('Water Elemental'!$X$6 / 10.8)), 1)</f>
        <v>16</v>
      </c>
      <c r="AY50" s="12">
        <f>CEILING('Fire Elemental'!$Z$4/ IF('Fire Elemental'!$X$4&lt; 10.8, Table14[[#This Row],[STR]], Table14[[#This Row],[STR]] / ('Fire Elemental'!$X$4 / 10.8)), 1)</f>
        <v>26</v>
      </c>
      <c r="AZ50" s="15">
        <f>CEILING(Wyvern!$Z$4/ IF(Wyvern!$X$4&lt; 10.8, Table14[[#This Row],[STR]], Table14[[#This Row],[STR]] / (Wyvern!$X$4 / 10.8)), 1)</f>
        <v>31</v>
      </c>
      <c r="BA50" s="15">
        <f>CEILING('Evolved Wyvern'!$Z$4/ IF('Evolved Wyvern'!$X$4&lt; 10.8, Table14[[#This Row],[STR]], Table14[[#This Row],[STR]] / ('Evolved Wyvern'!$X$4 / 10.8)), 1)</f>
        <v>39</v>
      </c>
      <c r="BB50" s="15">
        <f>CEILING(Dragon!$Z$4/ IF(Dragon!$X$4&lt; 10.8, Table14[[#This Row],[STR]], Table14[[#This Row],[STR]] / (Dragon!$X$4 / 10.8)), 1)</f>
        <v>66</v>
      </c>
    </row>
    <row r="51" spans="1:54" x14ac:dyDescent="0.3">
      <c r="A51" s="1">
        <v>49</v>
      </c>
      <c r="B51" s="1">
        <f>$B$3 + ((Table14[[#This Row],[Level]] / 10) + $B$3 / 8) * Table14[[#This Row],[Level]] + Equipment!$O$42</f>
        <v>401.1</v>
      </c>
      <c r="C51" s="1">
        <f xml:space="preserve"> 2*Table14[[#This Row],[INT]]</f>
        <v>225</v>
      </c>
      <c r="D51" s="1">
        <f>$D$3 + ($D$3 / 4) * Table14[[#This Row],[Level]] + Equipment!$P$42</f>
        <v>112.5</v>
      </c>
      <c r="E51" s="1">
        <f>$E$3 + ($E$3 / 4) * Table14[[#This Row],[Level]] + Equipment!$Q$42</f>
        <v>131.75</v>
      </c>
      <c r="F51" s="1">
        <f>$F$3 + ($F$3 / 4) * Table14[[#This Row],[Level]] + Equipment!$R$42</f>
        <v>94.25</v>
      </c>
      <c r="G51" s="1">
        <f>$G$3 + ($G$3 / 4) * Table14[[#This Row],[Level]] + Equipment!$S$42</f>
        <v>112.5</v>
      </c>
      <c r="H51" s="1">
        <f>$H$3 + ($H$3 / 4) * Table14[[#This Row],[Level]] + Equipment!$T$42</f>
        <v>150</v>
      </c>
      <c r="I51" s="1">
        <f xml:space="preserve"> (4 * (Table14[[#This Row],[Level]] ^ 3))/7 + $I$3</f>
        <v>67328</v>
      </c>
      <c r="K51" s="8">
        <f>CEILING('Blue Slime'!$B$5/ IF('Blue Slime'!$D$5&lt; 10.8, Table14[[#This Row],[STR]], Table14[[#This Row],[STR]] / ('Blue Slime'!$D$5 / 10.8)), 1)</f>
        <v>1</v>
      </c>
      <c r="L51" s="8">
        <f>CEILING('Green Slime'!$B$5/ IF('Green Slime'!$D$5&lt; 10.8, Table14[[#This Row],[STR]], Table14[[#This Row],[STR]] / ('Green Slime'!$D$5 / 10.8)), 1)</f>
        <v>1</v>
      </c>
      <c r="M51" s="8">
        <f>CEILING(Wolf!$B$6/ IF(Wolf!$D$6&lt; 10.8, Table14[[#This Row],[STR]], Table14[[#This Row],[STR]] / (Wolf!$D$6 / 10.8)), 1)</f>
        <v>1</v>
      </c>
      <c r="N51" s="8">
        <f>CEILING('Horned Wolf'!$B$5/ IF('Horned Wolf'!$D$5&lt; 10.8, Table14[[#This Row],[STR]], Table14[[#This Row],[STR]] / ('Horned Wolf'!$D$5 / 10.8)), 1)</f>
        <v>3</v>
      </c>
      <c r="O51" s="8">
        <f>CEILING(Spider!$B$7/ IF(Spider!$D$7&lt; 10.8, Table14[[#This Row],[STR]], Table14[[#This Row],[STR]] / (Spider!$D$7 / 10.8)), 1)</f>
        <v>2</v>
      </c>
      <c r="P51" s="8">
        <f>CEILING('Evolved Spider'!$B$8/ IF('Evolved Spider'!$D$8&lt; 10.8, Table14[[#This Row],[STR]], Table14[[#This Row],[STR]] / ('Evolved Spider'!$D$8 / 10.8)), 1)</f>
        <v>4</v>
      </c>
      <c r="Q51" s="8">
        <f>CEILING(Arachne!$B$4/ IF(Arachne!$D$4&lt; 10.8, Table14[[#This Row],[STR]], Table14[[#This Row],[STR]] / (Arachne!$D$4 / 10.8)), 1)</f>
        <v>6</v>
      </c>
      <c r="R51" s="12">
        <f>CEILING('Earth Elemental'!$B$6/ IF('Earth Elemental'!$D$6&lt; 10.8, Table14[[#This Row],[STR]], Table14[[#This Row],[STR]] / ('Earth Elemental'!$D$6 / 10.8)), 1)</f>
        <v>6</v>
      </c>
      <c r="S51" s="12">
        <f>CEILING('Wind Elemental'!$B$6/ IF('Wind Elemental'!$D$6&lt; 10.8, Table14[[#This Row],[STR]], Table14[[#This Row],[STR]] / ('Wind Elemental'!$D$6 / 10.8)), 1)</f>
        <v>5</v>
      </c>
      <c r="T51" s="12">
        <f>CEILING('Water Elemental'!$B$6/ IF('Water Elemental'!$D$6&lt; 10.8, Table14[[#This Row],[STR]], Table14[[#This Row],[STR]] / ('Water Elemental'!$D$6 / 10.8)), 1)</f>
        <v>8</v>
      </c>
      <c r="U51" s="12">
        <f>CEILING('Fire Elemental'!$B$4/ IF('Fire Elemental'!$D$4&lt; 10.8, Table14[[#This Row],[STR]], Table14[[#This Row],[STR]] / ('Fire Elemental'!$D$4 / 10.8)), 1)</f>
        <v>10</v>
      </c>
      <c r="V51" s="15">
        <f>CEILING(Wyvern!$B$4/ IF(Wyvern!$D$4&lt; 10.8, Table14[[#This Row],[STR]], Table14[[#This Row],[STR]] / (Wyvern!$D$4 / 10.8)), 1)</f>
        <v>13</v>
      </c>
      <c r="W51" s="15">
        <f>CEILING('Evolved Wyvern'!$B$4/ IF('Evolved Wyvern'!$D$4&lt; 10.8, Table14[[#This Row],[STR]], Table14[[#This Row],[STR]] / ('Evolved Wyvern'!$D$4 / 10.8)), 1)</f>
        <v>18</v>
      </c>
      <c r="X51" s="15">
        <f>CEILING(Dragon!$B$4/ IF(Dragon!$D$4&lt; 10.8, Table14[[#This Row],[STR]], Table14[[#This Row],[STR]] / (Dragon!$D$4 / 10.8)), 1)</f>
        <v>29</v>
      </c>
      <c r="Z51" s="8">
        <f>CEILING('Blue Slime'!$M$5/ IF('Blue Slime'!$O$5&lt; 10.8, Table14[[#This Row],[STR]], Table14[[#This Row],[STR]] / ('Blue Slime'!$O$5 / 10.8)), 1)</f>
        <v>1</v>
      </c>
      <c r="AA51" s="8">
        <f>CEILING('Green Slime'!$M$5/ IF('Green Slime'!$O$5&lt; 10.8, Table14[[#This Row],[STR]], Table14[[#This Row],[STR]] / ('Green Slime'!$O$5 / 10.8)), 1)</f>
        <v>1</v>
      </c>
      <c r="AB51" s="8">
        <f>CEILING(Wolf!$M$6/ IF(Wolf!$O$6&lt; 10.8, Table14[[#This Row],[STR]], Table14[[#This Row],[STR]] / (Wolf!$O$6 / 10.8)), 1)</f>
        <v>2</v>
      </c>
      <c r="AC51" s="8">
        <f>CEILING('Horned Wolf'!$M$5/ IF('Horned Wolf'!$O$5&lt; 10.8, Table14[[#This Row],[STR]], Table14[[#This Row],[STR]] / ('Horned Wolf'!$O$5 / 10.8)), 1)</f>
        <v>5</v>
      </c>
      <c r="AD51" s="8">
        <f>CEILING(Spider!$M$7/ IF(Spider!$O$7&lt; 10.8, Table14[[#This Row],[STR]], Table14[[#This Row],[STR]] / (Spider!$O$7 / 10.8)), 1)</f>
        <v>5</v>
      </c>
      <c r="AE51" s="8">
        <f>CEILING('Evolved Spider'!$M$8/ IF('Evolved Spider'!$O$8&lt; 10.8, Table14[[#This Row],[STR]], Table14[[#This Row],[STR]] / ('Evolved Spider'!$O$8 / 10.8)), 1)</f>
        <v>8</v>
      </c>
      <c r="AF51" s="8">
        <f>CEILING(Arachne!$M$4/ IF(Arachne!$O$4&lt; 10.8, Table14[[#This Row],[STR]], Table14[[#This Row],[STR]] / (Arachne!$O$4 / 10.8)), 1)</f>
        <v>11</v>
      </c>
      <c r="AG51" s="12">
        <f>CEILING('Earth Elemental'!$M$6/ IF('Earth Elemental'!$O$6&lt; 10.8, Table14[[#This Row],[STR]], Table14[[#This Row],[STR]] / ('Earth Elemental'!$O$6 / 10.8)), 1)</f>
        <v>10</v>
      </c>
      <c r="AH51" s="12">
        <f>CEILING('Wind Elemental'!$M$6/ IF('Wind Elemental'!$O$6&lt; 10.8, Table14[[#This Row],[STR]], Table14[[#This Row],[STR]] / ('Wind Elemental'!$O$6 / 10.8)), 1)</f>
        <v>8</v>
      </c>
      <c r="AI51" s="12">
        <f>CEILING('Water Elemental'!$M$6/ IF('Water Elemental'!$O$6&lt; 10.8, Table14[[#This Row],[STR]], Table14[[#This Row],[STR]] / ('Water Elemental'!$O$6 / 10.8)), 1)</f>
        <v>12</v>
      </c>
      <c r="AJ51" s="12">
        <f>CEILING('Fire Elemental'!$M$4/ IF('Fire Elemental'!$O$4&lt; 10.8, Table14[[#This Row],[STR]], Table14[[#This Row],[STR]] / ('Fire Elemental'!$O$4 / 10.8)), 1)</f>
        <v>17</v>
      </c>
      <c r="AK51" s="15">
        <f>CEILING(Wyvern!$M$4/ IF(Wyvern!$O$4&lt; 10.8, Table14[[#This Row],[STR]], Table14[[#This Row],[STR]] / (Wyvern!$O$4 / 10.8)), 1)</f>
        <v>21</v>
      </c>
      <c r="AL51" s="15">
        <f>CEILING('Evolved Wyvern'!$M$4/ IF('Evolved Wyvern'!$O$4&lt; 10.8, Table14[[#This Row],[STR]], Table14[[#This Row],[STR]] / ('Evolved Wyvern'!$O$4 / 10.8)), 1)</f>
        <v>28</v>
      </c>
      <c r="AM51" s="15">
        <f>CEILING(Dragon!$M$4/ IF(Dragon!$O$4&lt; 10.8, Table14[[#This Row],[STR]], Table14[[#This Row],[STR]] / (Dragon!$O$4 / 10.8)), 1)</f>
        <v>46</v>
      </c>
      <c r="AO51" s="8">
        <f>CEILING('Blue Slime'!$Z$5/ IF('Blue Slime'!$X$5&lt; 10.8, Table14[[#This Row],[STR]], Table14[[#This Row],[STR]] / ('Blue Slime'!$X$5 / 10.8)), 1)</f>
        <v>1</v>
      </c>
      <c r="AP51" s="8">
        <f>CEILING('Green Slime'!$Z$5/ IF('Green Slime'!$X$5&lt; 10.8, Table14[[#This Row],[STR]], Table14[[#This Row],[STR]] / ('Green Slime'!$X$5 / 10.8)), 1)</f>
        <v>1</v>
      </c>
      <c r="AQ51" s="8">
        <f>CEILING(Wolf!$Z$6/ IF(Wolf!$X$6&lt; 10.8, Table14[[#This Row],[STR]], Table14[[#This Row],[STR]] / (Wolf!$X$6 / 10.8)), 1)</f>
        <v>3</v>
      </c>
      <c r="AR51" s="8">
        <f>CEILING('Horned Wolf'!$Z$5/ IF('Horned Wolf'!$X$5&lt; 10.8, Table14[[#This Row],[STR]], Table14[[#This Row],[STR]] / ('Horned Wolf'!$X$5 / 10.8)), 1)</f>
        <v>8</v>
      </c>
      <c r="AS51" s="8">
        <f>CEILING(Spider!$Z$7/ IF(Spider!$X$7&lt; 10.8, Table14[[#This Row],[STR]], Table14[[#This Row],[STR]] / (Spider!$X$7 / 10.8)), 1)</f>
        <v>7</v>
      </c>
      <c r="AT51" s="8">
        <f>CEILING('Evolved Spider'!$Z$8/ IF('Evolved Spider'!$X$8&lt; 10.8, Table14[[#This Row],[STR]], Table14[[#This Row],[STR]] / ('Evolved Spider'!$X$8 / 10.8)), 1)</f>
        <v>13</v>
      </c>
      <c r="AU51" s="8">
        <f>CEILING(Arachne!$Z$4/ IF(Arachne!$X$4&lt; 10.8, Table14[[#This Row],[STR]], Table14[[#This Row],[STR]] / (Arachne!$X$4 / 10.8)), 1)</f>
        <v>17</v>
      </c>
      <c r="AV51" s="12">
        <f>CEILING('Earth Elemental'!$Z$6/ IF('Earth Elemental'!$X$6&lt; 10.8, Table14[[#This Row],[STR]], Table14[[#This Row],[STR]] / ('Earth Elemental'!$X$6 / 10.8)), 1)</f>
        <v>15</v>
      </c>
      <c r="AW51" s="12">
        <f>CEILING('Wind Elemental'!$Z$6/ IF('Wind Elemental'!$X$6&lt; 10.8, Table14[[#This Row],[STR]], Table14[[#This Row],[STR]] / ('Wind Elemental'!$X$6 / 10.8)), 1)</f>
        <v>11</v>
      </c>
      <c r="AX51" s="12">
        <f>CEILING('Water Elemental'!$Z$6/ IF('Water Elemental'!$X$6&lt; 10.8, Table14[[#This Row],[STR]], Table14[[#This Row],[STR]] / ('Water Elemental'!$X$6 / 10.8)), 1)</f>
        <v>16</v>
      </c>
      <c r="AY51" s="12">
        <f>CEILING('Fire Elemental'!$Z$4/ IF('Fire Elemental'!$X$4&lt; 10.8, Table14[[#This Row],[STR]], Table14[[#This Row],[STR]] / ('Fire Elemental'!$X$4 / 10.8)), 1)</f>
        <v>25</v>
      </c>
      <c r="AZ51" s="15">
        <f>CEILING(Wyvern!$Z$4/ IF(Wyvern!$X$4&lt; 10.8, Table14[[#This Row],[STR]], Table14[[#This Row],[STR]] / (Wyvern!$X$4 / 10.8)), 1)</f>
        <v>30</v>
      </c>
      <c r="BA51" s="15">
        <f>CEILING('Evolved Wyvern'!$Z$4/ IF('Evolved Wyvern'!$X$4&lt; 10.8, Table14[[#This Row],[STR]], Table14[[#This Row],[STR]] / ('Evolved Wyvern'!$X$4 / 10.8)), 1)</f>
        <v>39</v>
      </c>
      <c r="BB51" s="15">
        <f>CEILING(Dragon!$Z$4/ IF(Dragon!$X$4&lt; 10.8, Table14[[#This Row],[STR]], Table14[[#This Row],[STR]] / (Dragon!$X$4 / 10.8)), 1)</f>
        <v>65</v>
      </c>
    </row>
    <row r="52" spans="1:54" x14ac:dyDescent="0.3">
      <c r="A52" s="1">
        <v>50</v>
      </c>
      <c r="B52" s="1">
        <f>$B$3 + ((Table14[[#This Row],[Level]] / 10) + $B$3 / 8) * Table14[[#This Row],[Level]] + Equipment!$O$42</f>
        <v>412</v>
      </c>
      <c r="C52" s="1">
        <f xml:space="preserve"> 2*Table14[[#This Row],[INT]]</f>
        <v>228</v>
      </c>
      <c r="D52" s="1">
        <f>$D$3 + ($D$3 / 4) * Table14[[#This Row],[Level]] + Equipment!$P$42</f>
        <v>114</v>
      </c>
      <c r="E52" s="1">
        <f>$E$3 + ($E$3 / 4) * Table14[[#This Row],[Level]] + Equipment!$Q$42</f>
        <v>133.5</v>
      </c>
      <c r="F52" s="1">
        <f>$F$3 + ($F$3 / 4) * Table14[[#This Row],[Level]] + Equipment!$R$42</f>
        <v>95.5</v>
      </c>
      <c r="G52" s="1">
        <f>$G$3 + ($G$3 / 4) * Table14[[#This Row],[Level]] + Equipment!$S$42</f>
        <v>114</v>
      </c>
      <c r="H52" s="1">
        <f>$H$3 + ($H$3 / 4) * Table14[[#This Row],[Level]] + Equipment!$T$42</f>
        <v>152</v>
      </c>
      <c r="I52" s="1">
        <f xml:space="preserve"> (4 * (Table14[[#This Row],[Level]] ^ 3))/7 + $I$3</f>
        <v>71528.571428571435</v>
      </c>
      <c r="K52" s="8">
        <f>CEILING('Blue Slime'!$B$5/ IF('Blue Slime'!$D$5&lt; 10.8, Table14[[#This Row],[STR]], Table14[[#This Row],[STR]] / ('Blue Slime'!$D$5 / 10.8)), 1)</f>
        <v>1</v>
      </c>
      <c r="L52" s="8">
        <f>CEILING('Green Slime'!$B$5/ IF('Green Slime'!$D$5&lt; 10.8, Table14[[#This Row],[STR]], Table14[[#This Row],[STR]] / ('Green Slime'!$D$5 / 10.8)), 1)</f>
        <v>1</v>
      </c>
      <c r="M52" s="8">
        <f>CEILING(Wolf!$B$6/ IF(Wolf!$D$6&lt; 10.8, Table14[[#This Row],[STR]], Table14[[#This Row],[STR]] / (Wolf!$D$6 / 10.8)), 1)</f>
        <v>1</v>
      </c>
      <c r="N52" s="8">
        <f>CEILING('Horned Wolf'!$B$5/ IF('Horned Wolf'!$D$5&lt; 10.8, Table14[[#This Row],[STR]], Table14[[#This Row],[STR]] / ('Horned Wolf'!$D$5 / 10.8)), 1)</f>
        <v>3</v>
      </c>
      <c r="O52" s="8">
        <f>CEILING(Spider!$B$7/ IF(Spider!$D$7&lt; 10.8, Table14[[#This Row],[STR]], Table14[[#This Row],[STR]] / (Spider!$D$7 / 10.8)), 1)</f>
        <v>2</v>
      </c>
      <c r="P52" s="8">
        <f>CEILING('Evolved Spider'!$B$8/ IF('Evolved Spider'!$D$8&lt; 10.8, Table14[[#This Row],[STR]], Table14[[#This Row],[STR]] / ('Evolved Spider'!$D$8 / 10.8)), 1)</f>
        <v>4</v>
      </c>
      <c r="Q52" s="8">
        <f>CEILING(Arachne!$B$4/ IF(Arachne!$D$4&lt; 10.8, Table14[[#This Row],[STR]], Table14[[#This Row],[STR]] / (Arachne!$D$4 / 10.8)), 1)</f>
        <v>6</v>
      </c>
      <c r="R52" s="12">
        <f>CEILING('Earth Elemental'!$B$6/ IF('Earth Elemental'!$D$6&lt; 10.8, Table14[[#This Row],[STR]], Table14[[#This Row],[STR]] / ('Earth Elemental'!$D$6 / 10.8)), 1)</f>
        <v>6</v>
      </c>
      <c r="S52" s="12">
        <f>CEILING('Wind Elemental'!$B$6/ IF('Wind Elemental'!$D$6&lt; 10.8, Table14[[#This Row],[STR]], Table14[[#This Row],[STR]] / ('Wind Elemental'!$D$6 / 10.8)), 1)</f>
        <v>5</v>
      </c>
      <c r="T52" s="12">
        <f>CEILING('Water Elemental'!$B$6/ IF('Water Elemental'!$D$6&lt; 10.8, Table14[[#This Row],[STR]], Table14[[#This Row],[STR]] / ('Water Elemental'!$D$6 / 10.8)), 1)</f>
        <v>8</v>
      </c>
      <c r="U52" s="12">
        <f>CEILING('Fire Elemental'!$B$4/ IF('Fire Elemental'!$D$4&lt; 10.8, Table14[[#This Row],[STR]], Table14[[#This Row],[STR]] / ('Fire Elemental'!$D$4 / 10.8)), 1)</f>
        <v>10</v>
      </c>
      <c r="V52" s="15">
        <f>CEILING(Wyvern!$B$4/ IF(Wyvern!$D$4&lt; 10.8, Table14[[#This Row],[STR]], Table14[[#This Row],[STR]] / (Wyvern!$D$4 / 10.8)), 1)</f>
        <v>13</v>
      </c>
      <c r="W52" s="15">
        <f>CEILING('Evolved Wyvern'!$B$4/ IF('Evolved Wyvern'!$D$4&lt; 10.8, Table14[[#This Row],[STR]], Table14[[#This Row],[STR]] / ('Evolved Wyvern'!$D$4 / 10.8)), 1)</f>
        <v>17</v>
      </c>
      <c r="X52" s="15">
        <f>CEILING(Dragon!$B$4/ IF(Dragon!$D$4&lt; 10.8, Table14[[#This Row],[STR]], Table14[[#This Row],[STR]] / (Dragon!$D$4 / 10.8)), 1)</f>
        <v>28</v>
      </c>
      <c r="Z52" s="8">
        <f>CEILING('Blue Slime'!$M$5/ IF('Blue Slime'!$O$5&lt; 10.8, Table14[[#This Row],[STR]], Table14[[#This Row],[STR]] / ('Blue Slime'!$O$5 / 10.8)), 1)</f>
        <v>1</v>
      </c>
      <c r="AA52" s="8">
        <f>CEILING('Green Slime'!$M$5/ IF('Green Slime'!$O$5&lt; 10.8, Table14[[#This Row],[STR]], Table14[[#This Row],[STR]] / ('Green Slime'!$O$5 / 10.8)), 1)</f>
        <v>1</v>
      </c>
      <c r="AB52" s="8">
        <f>CEILING(Wolf!$M$6/ IF(Wolf!$O$6&lt; 10.8, Table14[[#This Row],[STR]], Table14[[#This Row],[STR]] / (Wolf!$O$6 / 10.8)), 1)</f>
        <v>2</v>
      </c>
      <c r="AC52" s="8">
        <f>CEILING('Horned Wolf'!$M$5/ IF('Horned Wolf'!$O$5&lt; 10.8, Table14[[#This Row],[STR]], Table14[[#This Row],[STR]] / ('Horned Wolf'!$O$5 / 10.8)), 1)</f>
        <v>5</v>
      </c>
      <c r="AD52" s="8">
        <f>CEILING(Spider!$M$7/ IF(Spider!$O$7&lt; 10.8, Table14[[#This Row],[STR]], Table14[[#This Row],[STR]] / (Spider!$O$7 / 10.8)), 1)</f>
        <v>5</v>
      </c>
      <c r="AE52" s="8">
        <f>CEILING('Evolved Spider'!$M$8/ IF('Evolved Spider'!$O$8&lt; 10.8, Table14[[#This Row],[STR]], Table14[[#This Row],[STR]] / ('Evolved Spider'!$O$8 / 10.8)), 1)</f>
        <v>8</v>
      </c>
      <c r="AF52" s="8">
        <f>CEILING(Arachne!$M$4/ IF(Arachne!$O$4&lt; 10.8, Table14[[#This Row],[STR]], Table14[[#This Row],[STR]] / (Arachne!$O$4 / 10.8)), 1)</f>
        <v>11</v>
      </c>
      <c r="AG52" s="12">
        <f>CEILING('Earth Elemental'!$M$6/ IF('Earth Elemental'!$O$6&lt; 10.8, Table14[[#This Row],[STR]], Table14[[#This Row],[STR]] / ('Earth Elemental'!$O$6 / 10.8)), 1)</f>
        <v>10</v>
      </c>
      <c r="AH52" s="12">
        <f>CEILING('Wind Elemental'!$M$6/ IF('Wind Elemental'!$O$6&lt; 10.8, Table14[[#This Row],[STR]], Table14[[#This Row],[STR]] / ('Wind Elemental'!$O$6 / 10.8)), 1)</f>
        <v>8</v>
      </c>
      <c r="AI52" s="12">
        <f>CEILING('Water Elemental'!$M$6/ IF('Water Elemental'!$O$6&lt; 10.8, Table14[[#This Row],[STR]], Table14[[#This Row],[STR]] / ('Water Elemental'!$O$6 / 10.8)), 1)</f>
        <v>11</v>
      </c>
      <c r="AJ52" s="12">
        <f>CEILING('Fire Elemental'!$M$4/ IF('Fire Elemental'!$O$4&lt; 10.8, Table14[[#This Row],[STR]], Table14[[#This Row],[STR]] / ('Fire Elemental'!$O$4 / 10.8)), 1)</f>
        <v>16</v>
      </c>
      <c r="AK52" s="15">
        <f>CEILING(Wyvern!$M$4/ IF(Wyvern!$O$4&lt; 10.8, Table14[[#This Row],[STR]], Table14[[#This Row],[STR]] / (Wyvern!$O$4 / 10.8)), 1)</f>
        <v>21</v>
      </c>
      <c r="AL52" s="15">
        <f>CEILING('Evolved Wyvern'!$M$4/ IF('Evolved Wyvern'!$O$4&lt; 10.8, Table14[[#This Row],[STR]], Table14[[#This Row],[STR]] / ('Evolved Wyvern'!$O$4 / 10.8)), 1)</f>
        <v>27</v>
      </c>
      <c r="AM52" s="15">
        <f>CEILING(Dragon!$M$4/ IF(Dragon!$O$4&lt; 10.8, Table14[[#This Row],[STR]], Table14[[#This Row],[STR]] / (Dragon!$O$4 / 10.8)), 1)</f>
        <v>45</v>
      </c>
      <c r="AO52" s="8">
        <f>CEILING('Blue Slime'!$Z$5/ IF('Blue Slime'!$X$5&lt; 10.8, Table14[[#This Row],[STR]], Table14[[#This Row],[STR]] / ('Blue Slime'!$X$5 / 10.8)), 1)</f>
        <v>1</v>
      </c>
      <c r="AP52" s="8">
        <f>CEILING('Green Slime'!$Z$5/ IF('Green Slime'!$X$5&lt; 10.8, Table14[[#This Row],[STR]], Table14[[#This Row],[STR]] / ('Green Slime'!$X$5 / 10.8)), 1)</f>
        <v>1</v>
      </c>
      <c r="AQ52" s="8">
        <f>CEILING(Wolf!$Z$6/ IF(Wolf!$X$6&lt; 10.8, Table14[[#This Row],[STR]], Table14[[#This Row],[STR]] / (Wolf!$X$6 / 10.8)), 1)</f>
        <v>3</v>
      </c>
      <c r="AR52" s="8">
        <f>CEILING('Horned Wolf'!$Z$5/ IF('Horned Wolf'!$X$5&lt; 10.8, Table14[[#This Row],[STR]], Table14[[#This Row],[STR]] / ('Horned Wolf'!$X$5 / 10.8)), 1)</f>
        <v>8</v>
      </c>
      <c r="AS52" s="8">
        <f>CEILING(Spider!$Z$7/ IF(Spider!$X$7&lt; 10.8, Table14[[#This Row],[STR]], Table14[[#This Row],[STR]] / (Spider!$X$7 / 10.8)), 1)</f>
        <v>7</v>
      </c>
      <c r="AT52" s="8">
        <f>CEILING('Evolved Spider'!$Z$8/ IF('Evolved Spider'!$X$8&lt; 10.8, Table14[[#This Row],[STR]], Table14[[#This Row],[STR]] / ('Evolved Spider'!$X$8 / 10.8)), 1)</f>
        <v>13</v>
      </c>
      <c r="AU52" s="8">
        <f>CEILING(Arachne!$Z$4/ IF(Arachne!$X$4&lt; 10.8, Table14[[#This Row],[STR]], Table14[[#This Row],[STR]] / (Arachne!$X$4 / 10.8)), 1)</f>
        <v>17</v>
      </c>
      <c r="AV52" s="12">
        <f>CEILING('Earth Elemental'!$Z$6/ IF('Earth Elemental'!$X$6&lt; 10.8, Table14[[#This Row],[STR]], Table14[[#This Row],[STR]] / ('Earth Elemental'!$X$6 / 10.8)), 1)</f>
        <v>15</v>
      </c>
      <c r="AW52" s="12">
        <f>CEILING('Wind Elemental'!$Z$6/ IF('Wind Elemental'!$X$6&lt; 10.8, Table14[[#This Row],[STR]], Table14[[#This Row],[STR]] / ('Wind Elemental'!$X$6 / 10.8)), 1)</f>
        <v>11</v>
      </c>
      <c r="AX52" s="12">
        <f>CEILING('Water Elemental'!$Z$6/ IF('Water Elemental'!$X$6&lt; 10.8, Table14[[#This Row],[STR]], Table14[[#This Row],[STR]] / ('Water Elemental'!$X$6 / 10.8)), 1)</f>
        <v>15</v>
      </c>
      <c r="AY52" s="12">
        <f>CEILING('Fire Elemental'!$Z$4/ IF('Fire Elemental'!$X$4&lt; 10.8, Table14[[#This Row],[STR]], Table14[[#This Row],[STR]] / ('Fire Elemental'!$X$4 / 10.8)), 1)</f>
        <v>25</v>
      </c>
      <c r="AZ52" s="15">
        <f>CEILING(Wyvern!$Z$4/ IF(Wyvern!$X$4&lt; 10.8, Table14[[#This Row],[STR]], Table14[[#This Row],[STR]] / (Wyvern!$X$4 / 10.8)), 1)</f>
        <v>30</v>
      </c>
      <c r="BA52" s="15">
        <f>CEILING('Evolved Wyvern'!$Z$4/ IF('Evolved Wyvern'!$X$4&lt; 10.8, Table14[[#This Row],[STR]], Table14[[#This Row],[STR]] / ('Evolved Wyvern'!$X$4 / 10.8)), 1)</f>
        <v>38</v>
      </c>
      <c r="BB52" s="15">
        <f>CEILING(Dragon!$Z$4/ IF(Dragon!$X$4&lt; 10.8, Table14[[#This Row],[STR]], Table14[[#This Row],[STR]] / (Dragon!$X$4 / 10.8)), 1)</f>
        <v>64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4927-7637-45B5-B5FD-A77A1A80DCC4}">
  <dimension ref="A1:AQ53"/>
  <sheetViews>
    <sheetView topLeftCell="AF34" zoomScale="80" zoomScaleNormal="80" workbookViewId="0">
      <selection activeCell="AI33" sqref="AI33"/>
    </sheetView>
  </sheetViews>
  <sheetFormatPr defaultRowHeight="14.4" x14ac:dyDescent="0.3"/>
  <cols>
    <col min="1" max="1" width="11.21875" style="8" customWidth="1"/>
    <col min="2" max="2" width="26.88671875" style="8" customWidth="1"/>
    <col min="3" max="3" width="10.77734375" style="8" customWidth="1"/>
    <col min="4" max="4" width="7.44140625" style="8" customWidth="1"/>
    <col min="5" max="5" width="8.21875" style="8" customWidth="1"/>
    <col min="6" max="6" width="8.109375" style="8" customWidth="1"/>
    <col min="7" max="7" width="9" style="8" customWidth="1"/>
    <col min="8" max="8" width="8.33203125" style="8" customWidth="1"/>
    <col min="9" max="9" width="9.6640625" style="8" customWidth="1"/>
    <col min="10" max="10" width="11" style="8" customWidth="1"/>
    <col min="11" max="11" width="8.88671875" style="8"/>
    <col min="12" max="12" width="11.33203125" style="8" customWidth="1"/>
    <col min="13" max="13" width="20" style="8" customWidth="1"/>
    <col min="14" max="14" width="10.77734375" style="8" customWidth="1"/>
    <col min="15" max="20" width="8.88671875" style="8"/>
    <col min="21" max="21" width="10.77734375" style="8" customWidth="1"/>
    <col min="22" max="23" width="8.88671875" style="8"/>
    <col min="24" max="24" width="19.77734375" style="8" customWidth="1"/>
    <col min="25" max="25" width="10.77734375" style="8" customWidth="1"/>
    <col min="26" max="31" width="8.88671875" style="8"/>
    <col min="32" max="32" width="10.88671875" style="8" customWidth="1"/>
    <col min="33" max="34" width="8.88671875" style="8"/>
    <col min="35" max="35" width="19.77734375" style="8" customWidth="1"/>
    <col min="36" max="16384" width="8.88671875" style="8"/>
  </cols>
  <sheetData>
    <row r="1" spans="1:43" s="16" customFormat="1" ht="36.6" x14ac:dyDescent="0.3">
      <c r="A1" s="55" t="s">
        <v>12</v>
      </c>
      <c r="B1" s="55"/>
      <c r="C1" s="55"/>
      <c r="D1" s="55"/>
      <c r="E1" s="55"/>
      <c r="F1" s="55"/>
      <c r="G1" s="55"/>
      <c r="H1" s="55"/>
      <c r="I1" s="55"/>
      <c r="J1" s="55"/>
      <c r="L1" s="55" t="s">
        <v>13</v>
      </c>
      <c r="M1" s="55"/>
      <c r="N1" s="55"/>
      <c r="O1" s="55"/>
      <c r="P1" s="55"/>
      <c r="Q1" s="55"/>
      <c r="R1" s="55"/>
      <c r="S1" s="55"/>
      <c r="T1" s="55"/>
      <c r="U1" s="55"/>
      <c r="W1" s="55" t="s">
        <v>14</v>
      </c>
      <c r="X1" s="55"/>
      <c r="Y1" s="55"/>
      <c r="Z1" s="55"/>
      <c r="AA1" s="55"/>
      <c r="AB1" s="55"/>
      <c r="AC1" s="55"/>
      <c r="AD1" s="55"/>
      <c r="AE1" s="55"/>
      <c r="AF1" s="55"/>
      <c r="AH1" s="55" t="s">
        <v>15</v>
      </c>
      <c r="AI1" s="55"/>
      <c r="AJ1" s="55"/>
      <c r="AK1" s="55"/>
      <c r="AL1" s="55"/>
      <c r="AM1" s="55"/>
      <c r="AN1" s="55"/>
      <c r="AO1" s="55"/>
      <c r="AP1" s="55"/>
      <c r="AQ1" s="55"/>
    </row>
    <row r="2" spans="1:43" s="17" customFormat="1" ht="23.4" x14ac:dyDescent="0.3">
      <c r="A2" s="17" t="s">
        <v>87</v>
      </c>
      <c r="B2" s="17" t="s">
        <v>88</v>
      </c>
      <c r="C2" s="17" t="s">
        <v>89</v>
      </c>
      <c r="D2" s="17" t="s">
        <v>1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93</v>
      </c>
      <c r="L2" s="17" t="s">
        <v>87</v>
      </c>
      <c r="M2" s="17" t="s">
        <v>88</v>
      </c>
      <c r="N2" s="17" t="s">
        <v>89</v>
      </c>
      <c r="O2" s="17" t="s">
        <v>1</v>
      </c>
      <c r="P2" s="17" t="s">
        <v>3</v>
      </c>
      <c r="Q2" s="17" t="s">
        <v>4</v>
      </c>
      <c r="R2" s="17" t="s">
        <v>5</v>
      </c>
      <c r="S2" s="17" t="s">
        <v>6</v>
      </c>
      <c r="T2" s="17" t="s">
        <v>7</v>
      </c>
      <c r="U2" s="17" t="s">
        <v>93</v>
      </c>
      <c r="W2" s="17" t="s">
        <v>87</v>
      </c>
      <c r="X2" s="17" t="s">
        <v>88</v>
      </c>
      <c r="Y2" s="17" t="s">
        <v>89</v>
      </c>
      <c r="Z2" s="17" t="s">
        <v>1</v>
      </c>
      <c r="AA2" s="17" t="s">
        <v>3</v>
      </c>
      <c r="AB2" s="17" t="s">
        <v>4</v>
      </c>
      <c r="AC2" s="17" t="s">
        <v>5</v>
      </c>
      <c r="AD2" s="17" t="s">
        <v>6</v>
      </c>
      <c r="AE2" s="17" t="s">
        <v>7</v>
      </c>
      <c r="AF2" s="17" t="s">
        <v>93</v>
      </c>
      <c r="AH2" s="17" t="s">
        <v>87</v>
      </c>
      <c r="AI2" s="17" t="s">
        <v>88</v>
      </c>
      <c r="AJ2" s="17" t="s">
        <v>89</v>
      </c>
      <c r="AK2" s="17" t="s">
        <v>1</v>
      </c>
      <c r="AL2" s="17" t="s">
        <v>3</v>
      </c>
      <c r="AM2" s="17" t="s">
        <v>4</v>
      </c>
      <c r="AN2" s="17" t="s">
        <v>5</v>
      </c>
      <c r="AO2" s="17" t="s">
        <v>6</v>
      </c>
      <c r="AP2" s="17" t="s">
        <v>7</v>
      </c>
      <c r="AQ2" s="17" t="s">
        <v>93</v>
      </c>
    </row>
    <row r="3" spans="1:43" x14ac:dyDescent="0.3">
      <c r="A3" s="18"/>
      <c r="B3" s="8" t="s">
        <v>218</v>
      </c>
      <c r="C3" s="8" t="s">
        <v>76</v>
      </c>
      <c r="D3" s="1">
        <f xml:space="preserve"> $D$10 *$B47 / 7</f>
        <v>0</v>
      </c>
      <c r="E3" s="1">
        <f xml:space="preserve"> $E$10 * $C47 / 7</f>
        <v>0</v>
      </c>
      <c r="F3" s="1">
        <f xml:space="preserve"> $F$10 * $D47 / 7</f>
        <v>1.2857142857142858</v>
      </c>
      <c r="G3" s="1">
        <f xml:space="preserve"> $G$10 * $E47 / 7</f>
        <v>0.5714285714285714</v>
      </c>
      <c r="H3" s="1">
        <f xml:space="preserve"> $H$10 * $F47 / 7</f>
        <v>0</v>
      </c>
      <c r="I3" s="1">
        <f xml:space="preserve"> $I$10 * $G47 / 7</f>
        <v>0.8571428571428571</v>
      </c>
      <c r="J3" s="32">
        <v>80</v>
      </c>
      <c r="L3" s="18"/>
      <c r="M3" s="8" t="s">
        <v>218</v>
      </c>
      <c r="N3" s="8" t="s">
        <v>76</v>
      </c>
      <c r="O3" s="1">
        <f xml:space="preserve"> $O$10 *$B47 / 7</f>
        <v>0</v>
      </c>
      <c r="P3" s="1">
        <f xml:space="preserve"> $P$10 * $C47 / 7</f>
        <v>0</v>
      </c>
      <c r="Q3" s="1">
        <f xml:space="preserve"> $Q$10 * $D47 / 7</f>
        <v>1.7142857142857142</v>
      </c>
      <c r="R3" s="1">
        <f xml:space="preserve"> $R$10 * $E47 / 7</f>
        <v>0.42857142857142855</v>
      </c>
      <c r="S3" s="1">
        <f xml:space="preserve"> $S$10 * $F47 / 7</f>
        <v>0</v>
      </c>
      <c r="T3" s="1">
        <f xml:space="preserve"> $T$10 * $G47 / 7</f>
        <v>1.1428571428571428</v>
      </c>
      <c r="U3" s="32">
        <v>80</v>
      </c>
      <c r="W3" s="18"/>
      <c r="X3" s="8" t="s">
        <v>218</v>
      </c>
      <c r="Y3" s="8" t="s">
        <v>76</v>
      </c>
      <c r="Z3" s="1">
        <f xml:space="preserve"> $Z$10 *$B47 / 7</f>
        <v>0</v>
      </c>
      <c r="AA3" s="1">
        <f xml:space="preserve"> $AA$10 * $C47 / 7</f>
        <v>0</v>
      </c>
      <c r="AB3" s="1">
        <f xml:space="preserve"> $AB$10 * $D47 / 7</f>
        <v>1.2857142857142858</v>
      </c>
      <c r="AC3" s="1">
        <f xml:space="preserve"> $AC$10 * $E47 / 7</f>
        <v>0.5714285714285714</v>
      </c>
      <c r="AD3" s="1">
        <f xml:space="preserve"> $AD$10 * $F47 / 7</f>
        <v>0</v>
      </c>
      <c r="AE3" s="1">
        <f xml:space="preserve"> $AE$10 * $G47 / 7</f>
        <v>0.8571428571428571</v>
      </c>
      <c r="AF3" s="32">
        <v>80</v>
      </c>
      <c r="AH3" s="18"/>
      <c r="AI3" s="8" t="s">
        <v>218</v>
      </c>
      <c r="AJ3" s="8" t="s">
        <v>76</v>
      </c>
      <c r="AK3" s="1">
        <f xml:space="preserve"> $AK$10 *$B47 / 7</f>
        <v>0</v>
      </c>
      <c r="AL3" s="1">
        <f xml:space="preserve"> $AL$10 * $C47 / 7</f>
        <v>0</v>
      </c>
      <c r="AM3" s="1">
        <f xml:space="preserve"> $AM$10 * $D47 / 7</f>
        <v>1.2857142857142858</v>
      </c>
      <c r="AN3" s="1">
        <f xml:space="preserve"> $AN$10 * $E47 / 7</f>
        <v>0.5714285714285714</v>
      </c>
      <c r="AO3" s="1">
        <f xml:space="preserve"> $AO$10 * $F47 / 7</f>
        <v>0</v>
      </c>
      <c r="AP3" s="1">
        <f xml:space="preserve"> $AP$10 * $G47 / 7</f>
        <v>1.1428571428571428</v>
      </c>
      <c r="AQ3" s="32">
        <v>80</v>
      </c>
    </row>
    <row r="4" spans="1:43" x14ac:dyDescent="0.3">
      <c r="A4" s="18"/>
      <c r="B4" s="8" t="s">
        <v>217</v>
      </c>
      <c r="C4" s="8" t="s">
        <v>77</v>
      </c>
      <c r="D4" s="1">
        <f xml:space="preserve"> $D$10 *$B48 / 7</f>
        <v>2.5714285714285716</v>
      </c>
      <c r="E4" s="1">
        <f xml:space="preserve"> $E$10 * $C48 / 7</f>
        <v>0.8571428571428571</v>
      </c>
      <c r="F4" s="1">
        <f xml:space="preserve"> $F$10 * $D48 / 7</f>
        <v>0</v>
      </c>
      <c r="G4" s="1">
        <f xml:space="preserve"> $G$10 * $E48 / 7</f>
        <v>0.5714285714285714</v>
      </c>
      <c r="H4" s="1">
        <f xml:space="preserve"> $H$10 * $F48 / 7</f>
        <v>0</v>
      </c>
      <c r="I4" s="1">
        <f xml:space="preserve"> $I$10 * $G48 / 7</f>
        <v>0</v>
      </c>
      <c r="J4" s="32">
        <v>80</v>
      </c>
      <c r="L4" s="18"/>
      <c r="M4" s="8" t="s">
        <v>217</v>
      </c>
      <c r="N4" s="8" t="s">
        <v>77</v>
      </c>
      <c r="O4" s="1">
        <f t="shared" ref="O4:O9" si="0" xml:space="preserve"> $O$10 *$B48 / 7</f>
        <v>2.1428571428571428</v>
      </c>
      <c r="P4" s="1">
        <f t="shared" ref="P4:P9" si="1" xml:space="preserve"> $P$10 * $C48 / 7</f>
        <v>0.8571428571428571</v>
      </c>
      <c r="Q4" s="1">
        <f t="shared" ref="Q4:Q9" si="2" xml:space="preserve"> $Q$10 * $D48 / 7</f>
        <v>0</v>
      </c>
      <c r="R4" s="1">
        <f t="shared" ref="R4:R9" si="3" xml:space="preserve"> $R$10 * $E48 / 7</f>
        <v>0.42857142857142855</v>
      </c>
      <c r="S4" s="1">
        <f t="shared" ref="S4:S9" si="4" xml:space="preserve"> $S$10 * $F48 / 7</f>
        <v>0</v>
      </c>
      <c r="T4" s="1">
        <f t="shared" ref="T4:T9" si="5" xml:space="preserve"> $T$10 * $G48 / 7</f>
        <v>0</v>
      </c>
      <c r="U4" s="32">
        <v>80</v>
      </c>
      <c r="W4" s="18"/>
      <c r="X4" s="8" t="s">
        <v>217</v>
      </c>
      <c r="Y4" s="8" t="s">
        <v>77</v>
      </c>
      <c r="Z4" s="1">
        <f t="shared" ref="Z4:Z9" si="6" xml:space="preserve"> $Z$10 *$B48 / 7</f>
        <v>3.4285714285714284</v>
      </c>
      <c r="AA4" s="1">
        <f t="shared" ref="AA4:AA9" si="7" xml:space="preserve"> $AA$10 * $C48 / 7</f>
        <v>1.1428571428571428</v>
      </c>
      <c r="AB4" s="1">
        <f t="shared" ref="AB4:AB9" si="8" xml:space="preserve"> $AB$10 * $D48 / 7</f>
        <v>0</v>
      </c>
      <c r="AC4" s="1">
        <f t="shared" ref="AC4:AC9" si="9" xml:space="preserve"> $AC$10 * $E48 / 7</f>
        <v>0.5714285714285714</v>
      </c>
      <c r="AD4" s="1">
        <f t="shared" ref="AD4:AD9" si="10" xml:space="preserve"> $AD$10 * $F48 / 7</f>
        <v>0</v>
      </c>
      <c r="AE4" s="1">
        <f t="shared" ref="AE4:AE9" si="11" xml:space="preserve"> $AE$10 * $G48 / 7</f>
        <v>0</v>
      </c>
      <c r="AF4" s="32">
        <v>80</v>
      </c>
      <c r="AH4" s="18"/>
      <c r="AI4" s="8" t="s">
        <v>217</v>
      </c>
      <c r="AJ4" s="8" t="s">
        <v>77</v>
      </c>
      <c r="AK4" s="1">
        <f t="shared" ref="AK4:AK9" si="12" xml:space="preserve"> $AK$10 *$B48 / 7</f>
        <v>3</v>
      </c>
      <c r="AL4" s="1">
        <f t="shared" ref="AL4:AL9" si="13" xml:space="preserve"> $AL$10 * $C48 / 7</f>
        <v>0.8571428571428571</v>
      </c>
      <c r="AM4" s="1">
        <f t="shared" ref="AM4:AM9" si="14" xml:space="preserve"> $AM$10 * $D48 / 7</f>
        <v>0</v>
      </c>
      <c r="AN4" s="1">
        <f t="shared" ref="AN4:AN9" si="15" xml:space="preserve"> $AN$10 * $E48 / 7</f>
        <v>0.5714285714285714</v>
      </c>
      <c r="AO4" s="1">
        <f t="shared" ref="AO4:AO9" si="16" xml:space="preserve"> $AO$10 * $F48 / 7</f>
        <v>0</v>
      </c>
      <c r="AP4" s="1">
        <f t="shared" ref="AP4:AP9" si="17" xml:space="preserve"> $AP$10 * $G48 / 7</f>
        <v>0</v>
      </c>
      <c r="AQ4" s="32">
        <v>80</v>
      </c>
    </row>
    <row r="5" spans="1:43" x14ac:dyDescent="0.3">
      <c r="A5" s="18"/>
      <c r="B5" s="8" t="s">
        <v>214</v>
      </c>
      <c r="C5" s="8" t="s">
        <v>78</v>
      </c>
      <c r="D5" s="1">
        <f xml:space="preserve"> $D$10 *$B49 / 7</f>
        <v>1.7142857142857142</v>
      </c>
      <c r="E5" s="1">
        <f>$E$10*$C49/7</f>
        <v>0</v>
      </c>
      <c r="F5" s="1">
        <f xml:space="preserve"> $F$10 * $D49 / 7</f>
        <v>0.42857142857142855</v>
      </c>
      <c r="G5" s="1">
        <f>$G$10*$E49/7</f>
        <v>0</v>
      </c>
      <c r="H5" s="1">
        <f xml:space="preserve"> $H$10 * $F49 / 7</f>
        <v>1.7142857142857142</v>
      </c>
      <c r="I5" s="1">
        <f xml:space="preserve"> $I$10 * G49 / 7</f>
        <v>0</v>
      </c>
      <c r="J5" s="32">
        <v>70</v>
      </c>
      <c r="L5" s="18"/>
      <c r="M5" s="8" t="s">
        <v>214</v>
      </c>
      <c r="N5" s="8" t="s">
        <v>78</v>
      </c>
      <c r="O5" s="1">
        <f t="shared" si="0"/>
        <v>1.4285714285714286</v>
      </c>
      <c r="P5" s="1">
        <f t="shared" si="1"/>
        <v>0</v>
      </c>
      <c r="Q5" s="1">
        <f t="shared" si="2"/>
        <v>0.5714285714285714</v>
      </c>
      <c r="R5" s="1">
        <f t="shared" si="3"/>
        <v>0</v>
      </c>
      <c r="S5" s="1">
        <f t="shared" si="4"/>
        <v>1.2857142857142858</v>
      </c>
      <c r="T5" s="1">
        <f t="shared" si="5"/>
        <v>0</v>
      </c>
      <c r="U5" s="32">
        <v>70</v>
      </c>
      <c r="W5" s="18"/>
      <c r="X5" s="8" t="s">
        <v>214</v>
      </c>
      <c r="Y5" s="8" t="s">
        <v>78</v>
      </c>
      <c r="Z5" s="1">
        <f t="shared" si="6"/>
        <v>2.2857142857142856</v>
      </c>
      <c r="AA5" s="1">
        <f t="shared" si="7"/>
        <v>0</v>
      </c>
      <c r="AB5" s="1">
        <f t="shared" si="8"/>
        <v>0.42857142857142855</v>
      </c>
      <c r="AC5" s="1">
        <f t="shared" si="9"/>
        <v>0</v>
      </c>
      <c r="AD5" s="1">
        <f t="shared" si="10"/>
        <v>1.2857142857142858</v>
      </c>
      <c r="AE5" s="1">
        <f t="shared" si="11"/>
        <v>0</v>
      </c>
      <c r="AF5" s="32">
        <v>70</v>
      </c>
      <c r="AH5" s="18"/>
      <c r="AI5" s="8" t="s">
        <v>214</v>
      </c>
      <c r="AJ5" s="8" t="s">
        <v>78</v>
      </c>
      <c r="AK5" s="1">
        <f t="shared" si="12"/>
        <v>2</v>
      </c>
      <c r="AL5" s="1">
        <f t="shared" si="13"/>
        <v>0</v>
      </c>
      <c r="AM5" s="1">
        <f t="shared" si="14"/>
        <v>0.42857142857142855</v>
      </c>
      <c r="AN5" s="1">
        <f t="shared" si="15"/>
        <v>0</v>
      </c>
      <c r="AO5" s="1">
        <f t="shared" si="16"/>
        <v>1.2857142857142858</v>
      </c>
      <c r="AP5" s="1">
        <f t="shared" si="17"/>
        <v>0</v>
      </c>
      <c r="AQ5" s="32">
        <v>70</v>
      </c>
    </row>
    <row r="6" spans="1:43" ht="28.8" x14ac:dyDescent="0.3">
      <c r="A6" s="18" t="s">
        <v>90</v>
      </c>
      <c r="B6" s="8" t="s">
        <v>215</v>
      </c>
      <c r="C6" s="8" t="s">
        <v>79</v>
      </c>
      <c r="D6" s="1">
        <f t="shared" ref="D6" si="18" xml:space="preserve"> $D$10 *B50 / 7</f>
        <v>0</v>
      </c>
      <c r="E6" s="1">
        <f t="shared" ref="E6" si="19" xml:space="preserve"> $E$10 * C50 / 7</f>
        <v>0.8571428571428571</v>
      </c>
      <c r="F6" s="1">
        <f t="shared" ref="F6" si="20" xml:space="preserve"> $F$10 * D50 / 7</f>
        <v>0.8571428571428571</v>
      </c>
      <c r="G6" s="1">
        <f t="shared" ref="G6" si="21" xml:space="preserve"> $G$10 * E50 / 7</f>
        <v>0</v>
      </c>
      <c r="H6" s="1">
        <f t="shared" ref="H6" si="22" xml:space="preserve"> $H$10 * F50 / 7</f>
        <v>0</v>
      </c>
      <c r="I6" s="1">
        <f xml:space="preserve"> $I$10 * $G50 / 7</f>
        <v>0.8571428571428571</v>
      </c>
      <c r="J6" s="32">
        <v>70</v>
      </c>
      <c r="L6" s="18" t="s">
        <v>90</v>
      </c>
      <c r="M6" s="8" t="s">
        <v>215</v>
      </c>
      <c r="N6" s="8" t="s">
        <v>79</v>
      </c>
      <c r="O6" s="1">
        <f t="shared" si="0"/>
        <v>0</v>
      </c>
      <c r="P6" s="1">
        <f t="shared" si="1"/>
        <v>0.8571428571428571</v>
      </c>
      <c r="Q6" s="1">
        <f t="shared" si="2"/>
        <v>1.1428571428571428</v>
      </c>
      <c r="R6" s="1">
        <f t="shared" si="3"/>
        <v>0</v>
      </c>
      <c r="S6" s="1">
        <f t="shared" si="4"/>
        <v>0</v>
      </c>
      <c r="T6" s="1">
        <f t="shared" si="5"/>
        <v>1.1428571428571428</v>
      </c>
      <c r="U6" s="32">
        <v>70</v>
      </c>
      <c r="W6" s="18" t="s">
        <v>90</v>
      </c>
      <c r="X6" s="8" t="s">
        <v>215</v>
      </c>
      <c r="Y6" s="8" t="s">
        <v>79</v>
      </c>
      <c r="Z6" s="1">
        <f t="shared" si="6"/>
        <v>0</v>
      </c>
      <c r="AA6" s="1">
        <f t="shared" si="7"/>
        <v>1.1428571428571428</v>
      </c>
      <c r="AB6" s="1">
        <f t="shared" si="8"/>
        <v>0.8571428571428571</v>
      </c>
      <c r="AC6" s="1">
        <f t="shared" si="9"/>
        <v>0</v>
      </c>
      <c r="AD6" s="1">
        <f t="shared" si="10"/>
        <v>0</v>
      </c>
      <c r="AE6" s="1">
        <f t="shared" si="11"/>
        <v>0.8571428571428571</v>
      </c>
      <c r="AF6" s="32">
        <v>70</v>
      </c>
      <c r="AH6" s="18" t="s">
        <v>90</v>
      </c>
      <c r="AI6" s="8" t="s">
        <v>215</v>
      </c>
      <c r="AJ6" s="8" t="s">
        <v>79</v>
      </c>
      <c r="AK6" s="1">
        <f t="shared" si="12"/>
        <v>0</v>
      </c>
      <c r="AL6" s="1">
        <f t="shared" si="13"/>
        <v>0.8571428571428571</v>
      </c>
      <c r="AM6" s="1">
        <f t="shared" si="14"/>
        <v>0.8571428571428571</v>
      </c>
      <c r="AN6" s="1">
        <f t="shared" si="15"/>
        <v>0</v>
      </c>
      <c r="AO6" s="1">
        <f t="shared" si="16"/>
        <v>0</v>
      </c>
      <c r="AP6" s="1">
        <f t="shared" si="17"/>
        <v>1.1428571428571428</v>
      </c>
      <c r="AQ6" s="32">
        <v>70</v>
      </c>
    </row>
    <row r="7" spans="1:43" x14ac:dyDescent="0.3">
      <c r="A7" s="18"/>
      <c r="B7" s="8" t="s">
        <v>216</v>
      </c>
      <c r="C7" s="8" t="s">
        <v>80</v>
      </c>
      <c r="D7" s="1">
        <f xml:space="preserve"> $D$10 *$B51 / 7</f>
        <v>0</v>
      </c>
      <c r="E7" s="1">
        <f xml:space="preserve"> $E$10 * $C51 / 7</f>
        <v>0</v>
      </c>
      <c r="F7" s="1">
        <f xml:space="preserve"> $F$10 * $D51 / 7</f>
        <v>0</v>
      </c>
      <c r="G7" s="1">
        <f xml:space="preserve"> $G$10 * $E51 / 7</f>
        <v>0.5714285714285714</v>
      </c>
      <c r="H7" s="1">
        <f xml:space="preserve"> $H$10 * $F51 / 7</f>
        <v>1.7142857142857142</v>
      </c>
      <c r="I7" s="1">
        <f xml:space="preserve"> $I$10 * $G51 / 7</f>
        <v>0.8571428571428571</v>
      </c>
      <c r="J7" s="32">
        <v>60</v>
      </c>
      <c r="L7" s="18"/>
      <c r="M7" s="8" t="s">
        <v>216</v>
      </c>
      <c r="N7" s="8" t="s">
        <v>80</v>
      </c>
      <c r="O7" s="1">
        <f t="shared" si="0"/>
        <v>0</v>
      </c>
      <c r="P7" s="1">
        <f t="shared" si="1"/>
        <v>0</v>
      </c>
      <c r="Q7" s="1">
        <f t="shared" si="2"/>
        <v>0</v>
      </c>
      <c r="R7" s="1">
        <f t="shared" si="3"/>
        <v>0.42857142857142855</v>
      </c>
      <c r="S7" s="1">
        <f t="shared" si="4"/>
        <v>1.2857142857142858</v>
      </c>
      <c r="T7" s="1">
        <f t="shared" si="5"/>
        <v>1.1428571428571428</v>
      </c>
      <c r="U7" s="32">
        <v>60</v>
      </c>
      <c r="W7" s="18"/>
      <c r="X7" s="8" t="s">
        <v>216</v>
      </c>
      <c r="Y7" s="8" t="s">
        <v>80</v>
      </c>
      <c r="Z7" s="1">
        <f t="shared" si="6"/>
        <v>0</v>
      </c>
      <c r="AA7" s="1">
        <f t="shared" si="7"/>
        <v>0</v>
      </c>
      <c r="AB7" s="1">
        <f t="shared" si="8"/>
        <v>0</v>
      </c>
      <c r="AC7" s="1">
        <f t="shared" si="9"/>
        <v>0.5714285714285714</v>
      </c>
      <c r="AD7" s="1">
        <f t="shared" si="10"/>
        <v>1.2857142857142858</v>
      </c>
      <c r="AE7" s="1">
        <f t="shared" si="11"/>
        <v>0.8571428571428571</v>
      </c>
      <c r="AF7" s="32">
        <v>60</v>
      </c>
      <c r="AH7" s="18"/>
      <c r="AI7" s="8" t="s">
        <v>216</v>
      </c>
      <c r="AJ7" s="8" t="s">
        <v>80</v>
      </c>
      <c r="AK7" s="1">
        <f t="shared" si="12"/>
        <v>0</v>
      </c>
      <c r="AL7" s="1">
        <f t="shared" si="13"/>
        <v>0</v>
      </c>
      <c r="AM7" s="1">
        <f t="shared" si="14"/>
        <v>0</v>
      </c>
      <c r="AN7" s="1">
        <f t="shared" si="15"/>
        <v>0.5714285714285714</v>
      </c>
      <c r="AO7" s="1">
        <f t="shared" si="16"/>
        <v>1.2857142857142858</v>
      </c>
      <c r="AP7" s="1">
        <f t="shared" si="17"/>
        <v>1.1428571428571428</v>
      </c>
      <c r="AQ7" s="32">
        <v>60</v>
      </c>
    </row>
    <row r="8" spans="1:43" x14ac:dyDescent="0.3">
      <c r="A8" s="18"/>
      <c r="B8" s="8" t="s">
        <v>219</v>
      </c>
      <c r="C8" s="8" t="s">
        <v>81</v>
      </c>
      <c r="D8" s="1">
        <f xml:space="preserve"> $D$10 *$B52 / 7</f>
        <v>1.7142857142857142</v>
      </c>
      <c r="E8" s="1">
        <f xml:space="preserve"> $E$10 * $C52 / 7</f>
        <v>1.2857142857142858</v>
      </c>
      <c r="F8" s="1">
        <f xml:space="preserve"> $F$10 * $D52 / 7</f>
        <v>0</v>
      </c>
      <c r="G8" s="1">
        <f xml:space="preserve"> $G$10 * $E52 / 7</f>
        <v>0</v>
      </c>
      <c r="H8" s="1">
        <f xml:space="preserve"> $H$10 * $F52 / 7</f>
        <v>0.5714285714285714</v>
      </c>
      <c r="I8" s="1">
        <f xml:space="preserve"> $I$10 * $G52 / 7</f>
        <v>0</v>
      </c>
      <c r="J8" s="32">
        <v>60</v>
      </c>
      <c r="L8" s="18"/>
      <c r="M8" s="8" t="s">
        <v>219</v>
      </c>
      <c r="N8" s="8" t="s">
        <v>81</v>
      </c>
      <c r="O8" s="1">
        <f t="shared" si="0"/>
        <v>1.4285714285714286</v>
      </c>
      <c r="P8" s="1">
        <f t="shared" si="1"/>
        <v>1.2857142857142858</v>
      </c>
      <c r="Q8" s="1">
        <f t="shared" si="2"/>
        <v>0</v>
      </c>
      <c r="R8" s="1">
        <f t="shared" si="3"/>
        <v>0</v>
      </c>
      <c r="S8" s="1">
        <f t="shared" si="4"/>
        <v>0.42857142857142855</v>
      </c>
      <c r="T8" s="1">
        <f t="shared" si="5"/>
        <v>0</v>
      </c>
      <c r="U8" s="32">
        <v>60</v>
      </c>
      <c r="W8" s="18"/>
      <c r="X8" s="8" t="s">
        <v>219</v>
      </c>
      <c r="Y8" s="8" t="s">
        <v>81</v>
      </c>
      <c r="Z8" s="1">
        <f t="shared" si="6"/>
        <v>2.2857142857142856</v>
      </c>
      <c r="AA8" s="1">
        <f t="shared" si="7"/>
        <v>1.7142857142857142</v>
      </c>
      <c r="AB8" s="1">
        <f t="shared" si="8"/>
        <v>0</v>
      </c>
      <c r="AC8" s="1">
        <f t="shared" si="9"/>
        <v>0</v>
      </c>
      <c r="AD8" s="1">
        <f t="shared" si="10"/>
        <v>0.42857142857142855</v>
      </c>
      <c r="AE8" s="1">
        <f t="shared" si="11"/>
        <v>0</v>
      </c>
      <c r="AF8" s="32">
        <v>60</v>
      </c>
      <c r="AH8" s="18"/>
      <c r="AI8" s="8" t="s">
        <v>219</v>
      </c>
      <c r="AJ8" s="8" t="s">
        <v>81</v>
      </c>
      <c r="AK8" s="1">
        <f t="shared" si="12"/>
        <v>2</v>
      </c>
      <c r="AL8" s="1">
        <f t="shared" si="13"/>
        <v>1.2857142857142858</v>
      </c>
      <c r="AM8" s="1">
        <f t="shared" si="14"/>
        <v>0</v>
      </c>
      <c r="AN8" s="1">
        <f t="shared" si="15"/>
        <v>0</v>
      </c>
      <c r="AO8" s="1">
        <f t="shared" si="16"/>
        <v>0.42857142857142855</v>
      </c>
      <c r="AP8" s="1">
        <f t="shared" si="17"/>
        <v>0</v>
      </c>
      <c r="AQ8" s="32">
        <v>60</v>
      </c>
    </row>
    <row r="9" spans="1:43" x14ac:dyDescent="0.3">
      <c r="A9" s="18"/>
      <c r="B9" s="22" t="s">
        <v>244</v>
      </c>
      <c r="C9" s="22" t="s">
        <v>82</v>
      </c>
      <c r="D9" s="1">
        <f xml:space="preserve"> $D$10 *$B53 / 7</f>
        <v>0</v>
      </c>
      <c r="E9" s="1">
        <f xml:space="preserve"> $E$10 * $C53 / 7</f>
        <v>0</v>
      </c>
      <c r="F9" s="1">
        <f xml:space="preserve"> $F$10 * $D53 / 7</f>
        <v>0.42857142857142855</v>
      </c>
      <c r="G9" s="1">
        <f xml:space="preserve"> $G$10 * $E53 / 7</f>
        <v>2.2857142857142856</v>
      </c>
      <c r="H9" s="1">
        <f xml:space="preserve"> $H$10 * $F53 / 7</f>
        <v>0</v>
      </c>
      <c r="I9" s="1">
        <f xml:space="preserve"> $I$10 * $G53 / 7</f>
        <v>0.42857142857142855</v>
      </c>
      <c r="J9" s="32">
        <v>80</v>
      </c>
      <c r="L9" s="18"/>
      <c r="M9" s="29" t="s">
        <v>249</v>
      </c>
      <c r="N9" s="22" t="s">
        <v>82</v>
      </c>
      <c r="O9" s="1">
        <f t="shared" si="0"/>
        <v>0</v>
      </c>
      <c r="P9" s="1">
        <f t="shared" si="1"/>
        <v>0</v>
      </c>
      <c r="Q9" s="1">
        <f t="shared" si="2"/>
        <v>0.5714285714285714</v>
      </c>
      <c r="R9" s="1">
        <f t="shared" si="3"/>
        <v>1.7142857142857142</v>
      </c>
      <c r="S9" s="1">
        <f t="shared" si="4"/>
        <v>0</v>
      </c>
      <c r="T9" s="1">
        <f t="shared" si="5"/>
        <v>0.5714285714285714</v>
      </c>
      <c r="U9" s="32">
        <v>80</v>
      </c>
      <c r="W9" s="18"/>
      <c r="X9" s="29" t="s">
        <v>253</v>
      </c>
      <c r="Y9" s="22" t="s">
        <v>82</v>
      </c>
      <c r="Z9" s="1">
        <f t="shared" si="6"/>
        <v>0</v>
      </c>
      <c r="AA9" s="1">
        <f t="shared" si="7"/>
        <v>0</v>
      </c>
      <c r="AB9" s="1">
        <f t="shared" si="8"/>
        <v>0.42857142857142855</v>
      </c>
      <c r="AC9" s="1">
        <f t="shared" si="9"/>
        <v>2.2857142857142856</v>
      </c>
      <c r="AD9" s="1">
        <f t="shared" si="10"/>
        <v>0</v>
      </c>
      <c r="AE9" s="1">
        <f t="shared" si="11"/>
        <v>0.42857142857142855</v>
      </c>
      <c r="AF9" s="32">
        <v>80</v>
      </c>
      <c r="AH9" s="18"/>
      <c r="AI9" s="8" t="s">
        <v>261</v>
      </c>
      <c r="AJ9" s="22" t="s">
        <v>82</v>
      </c>
      <c r="AK9" s="1">
        <f t="shared" si="12"/>
        <v>0</v>
      </c>
      <c r="AL9" s="1">
        <f t="shared" si="13"/>
        <v>0</v>
      </c>
      <c r="AM9" s="1">
        <f t="shared" si="14"/>
        <v>0.42857142857142855</v>
      </c>
      <c r="AN9" s="1">
        <f t="shared" si="15"/>
        <v>2.2857142857142856</v>
      </c>
      <c r="AO9" s="1">
        <f t="shared" si="16"/>
        <v>0</v>
      </c>
      <c r="AP9" s="1">
        <f t="shared" si="17"/>
        <v>0.5714285714285714</v>
      </c>
      <c r="AQ9" s="32">
        <v>80</v>
      </c>
    </row>
    <row r="10" spans="1:43" x14ac:dyDescent="0.3">
      <c r="A10" s="21" t="s">
        <v>91</v>
      </c>
      <c r="B10" s="19"/>
      <c r="C10" s="19"/>
      <c r="D10" s="30">
        <f>ROUND((Demon!$B$3 + ((1 / 10) + Demon!$B$3 / 8) * 1) / 2, 0)</f>
        <v>6</v>
      </c>
      <c r="E10" s="30">
        <f>ROUND(Demon!$D$3 /2, 0)</f>
        <v>3</v>
      </c>
      <c r="F10" s="30">
        <f>ROUND(Demon!$E$3 /2,0)</f>
        <v>3</v>
      </c>
      <c r="G10" s="30">
        <f>ROUND(Demon!$F$3 /2,0)</f>
        <v>4</v>
      </c>
      <c r="H10" s="30">
        <f>ROUND(Demon!$G$3 /2,0)</f>
        <v>4</v>
      </c>
      <c r="I10" s="30">
        <f>ROUND(Demon!$H$3 /2,0)</f>
        <v>3</v>
      </c>
      <c r="J10" s="33">
        <v>500</v>
      </c>
      <c r="K10" s="31"/>
      <c r="L10" s="21" t="s">
        <v>91</v>
      </c>
      <c r="M10" s="19"/>
      <c r="N10" s="19"/>
      <c r="O10" s="30">
        <f>ROUND((Elf!$B$3 + ((1 / 10) + Elf!$B$3 / 8) * 1) / 2, 0)</f>
        <v>5</v>
      </c>
      <c r="P10" s="30">
        <f>ROUND(Elf!$D$3 /2, 0)</f>
        <v>3</v>
      </c>
      <c r="Q10" s="30">
        <f>ROUND(Elf!$E$3 /2,0)</f>
        <v>4</v>
      </c>
      <c r="R10" s="30">
        <f>ROUND(Elf!$F$3 /2,0)</f>
        <v>3</v>
      </c>
      <c r="S10" s="30">
        <f>ROUND(Elf!$G$3 /2,0)</f>
        <v>3</v>
      </c>
      <c r="T10" s="30">
        <f>ROUND(Elf!$H$3 /2,0)</f>
        <v>4</v>
      </c>
      <c r="U10" s="33">
        <v>500</v>
      </c>
      <c r="W10" s="21" t="s">
        <v>91</v>
      </c>
      <c r="X10" s="19"/>
      <c r="Y10" s="19"/>
      <c r="Z10" s="30">
        <f>ROUND((Beastgirl!$B$3 + ((1 / 10) + Beastgirl!$B$3 / 8) * 1) / 2, 0)</f>
        <v>8</v>
      </c>
      <c r="AA10" s="30">
        <f>ROUND(Beastgirl!$D$3 /2, 0)</f>
        <v>4</v>
      </c>
      <c r="AB10" s="30">
        <f>ROUND(Beastgirl!$E$3 /2,0)</f>
        <v>3</v>
      </c>
      <c r="AC10" s="30">
        <f>ROUND(Beastgirl!$F$3 /2,0)</f>
        <v>4</v>
      </c>
      <c r="AD10" s="30">
        <f>ROUND(Beastgirl!$G$3 /2,0)</f>
        <v>3</v>
      </c>
      <c r="AE10" s="30">
        <f>ROUND(Beastgirl!$H$3 /2,0)</f>
        <v>3</v>
      </c>
      <c r="AF10" s="33">
        <v>500</v>
      </c>
      <c r="AH10" s="21" t="s">
        <v>91</v>
      </c>
      <c r="AI10" s="19"/>
      <c r="AJ10" s="19"/>
      <c r="AK10" s="30">
        <f>ROUND((Warrior!$B$3 + ((1 / 10) + Warrior!$B$3 / 8) * 1) / 2, 0)</f>
        <v>7</v>
      </c>
      <c r="AL10" s="30">
        <f>ROUND(Warrior!$D$3 /2, 0)</f>
        <v>3</v>
      </c>
      <c r="AM10" s="30">
        <f>ROUND(Warrior!$E$3 /2,0)</f>
        <v>3</v>
      </c>
      <c r="AN10" s="30">
        <f>ROUND(Warrior!$F$3 /2,0)</f>
        <v>4</v>
      </c>
      <c r="AO10" s="30">
        <f>ROUND(Warrior!$G$3 /2,0)</f>
        <v>3</v>
      </c>
      <c r="AP10" s="30">
        <f>ROUND(Warrior!$H$3 /2,0)</f>
        <v>4</v>
      </c>
      <c r="AQ10" s="33">
        <v>500</v>
      </c>
    </row>
    <row r="11" spans="1:43" x14ac:dyDescent="0.3">
      <c r="A11" s="20"/>
      <c r="B11" s="8" t="s">
        <v>220</v>
      </c>
      <c r="C11" s="8" t="s">
        <v>76</v>
      </c>
      <c r="D11" s="1">
        <f xml:space="preserve"> $D$18 *$B47 / 7</f>
        <v>0</v>
      </c>
      <c r="E11" s="1">
        <f xml:space="preserve"> $E$18 * $C47 / 7</f>
        <v>0</v>
      </c>
      <c r="F11" s="1">
        <f xml:space="preserve"> $F$18 * $D47 / 7</f>
        <v>4.7142857142857144</v>
      </c>
      <c r="G11" s="1">
        <f xml:space="preserve"> $G$18 * $E47 / 7</f>
        <v>1.7142857142857142</v>
      </c>
      <c r="H11" s="1">
        <f xml:space="preserve"> $H$18 * $F47 / 7</f>
        <v>0</v>
      </c>
      <c r="I11" s="1">
        <f xml:space="preserve"> $I$18 * $G47 / 7</f>
        <v>3.1428571428571428</v>
      </c>
      <c r="J11" s="32">
        <v>240</v>
      </c>
      <c r="L11" s="20"/>
      <c r="M11" s="8" t="s">
        <v>220</v>
      </c>
      <c r="N11" s="8" t="s">
        <v>76</v>
      </c>
      <c r="O11" s="1">
        <f xml:space="preserve"> $O$18 *$B47 / 7</f>
        <v>0</v>
      </c>
      <c r="P11" s="1">
        <f xml:space="preserve"> $P$18 * $C47 / 7</f>
        <v>0</v>
      </c>
      <c r="Q11" s="1">
        <f xml:space="preserve"> $Q$18 * $D47 / 7</f>
        <v>5.1428571428571432</v>
      </c>
      <c r="R11" s="1">
        <f xml:space="preserve"> $R$18 * $E47 / 7</f>
        <v>1.2857142857142858</v>
      </c>
      <c r="S11" s="1">
        <f xml:space="preserve"> $S$18 * $F47 / 7</f>
        <v>0</v>
      </c>
      <c r="T11" s="1">
        <f xml:space="preserve"> $T$18 * $G47 / 7</f>
        <v>4</v>
      </c>
      <c r="U11" s="32">
        <v>240</v>
      </c>
      <c r="W11" s="20"/>
      <c r="X11" s="8" t="s">
        <v>220</v>
      </c>
      <c r="Y11" s="8" t="s">
        <v>76</v>
      </c>
      <c r="Z11" s="1">
        <f xml:space="preserve"> $Z$18 *$B47 / 7</f>
        <v>0</v>
      </c>
      <c r="AA11" s="1">
        <f xml:space="preserve"> $AA$18 * $C47 / 7</f>
        <v>0</v>
      </c>
      <c r="AB11" s="1">
        <f xml:space="preserve"> $AB$18 * $D47 / 7</f>
        <v>4.7142857142857144</v>
      </c>
      <c r="AC11" s="1">
        <f xml:space="preserve"> $AC$18 * $E47 / 7</f>
        <v>1.7142857142857142</v>
      </c>
      <c r="AD11" s="1">
        <f xml:space="preserve"> $AD$18 * $F47 / 7</f>
        <v>0</v>
      </c>
      <c r="AE11" s="1">
        <f xml:space="preserve"> $AE$18 * $G47 / 7</f>
        <v>3.1428571428571428</v>
      </c>
      <c r="AF11" s="32">
        <v>240</v>
      </c>
      <c r="AH11" s="20"/>
      <c r="AI11" s="8" t="s">
        <v>220</v>
      </c>
      <c r="AJ11" s="8" t="s">
        <v>76</v>
      </c>
      <c r="AK11" s="1">
        <f xml:space="preserve"> $AK$18 *$B47 / 7</f>
        <v>0</v>
      </c>
      <c r="AL11" s="1">
        <f xml:space="preserve"> $AL$18 * $C47 / 7</f>
        <v>0</v>
      </c>
      <c r="AM11" s="1">
        <f xml:space="preserve"> $AM$18 * $D47 / 7</f>
        <v>3.8571428571428572</v>
      </c>
      <c r="AN11" s="1">
        <f xml:space="preserve"> $AN$18 * $E47 / 7</f>
        <v>2</v>
      </c>
      <c r="AO11" s="1">
        <f xml:space="preserve"> $AO$18 * $F47 / 7</f>
        <v>0</v>
      </c>
      <c r="AP11" s="1">
        <f xml:space="preserve"> $AP$18 * $G47 / 7</f>
        <v>3.4285714285714284</v>
      </c>
      <c r="AQ11" s="32">
        <v>240</v>
      </c>
    </row>
    <row r="12" spans="1:43" x14ac:dyDescent="0.3">
      <c r="A12" s="20"/>
      <c r="B12" s="8" t="s">
        <v>221</v>
      </c>
      <c r="C12" s="8" t="s">
        <v>77</v>
      </c>
      <c r="D12" s="1">
        <f t="shared" ref="D12:D17" si="23" xml:space="preserve"> $D$18 *$B48 / 7</f>
        <v>6.8571428571428568</v>
      </c>
      <c r="E12" s="1">
        <f t="shared" ref="E12:E17" si="24" xml:space="preserve"> $E$18 * $C48 / 7</f>
        <v>2.5714285714285716</v>
      </c>
      <c r="F12" s="1">
        <f t="shared" ref="F12:F17" si="25" xml:space="preserve"> $F$18 * $D48 / 7</f>
        <v>0</v>
      </c>
      <c r="G12" s="1">
        <f t="shared" ref="G12:G17" si="26" xml:space="preserve"> $G$18 * $E48 / 7</f>
        <v>1.7142857142857142</v>
      </c>
      <c r="H12" s="1">
        <f t="shared" ref="H12:H17" si="27" xml:space="preserve"> $H$18 * $F48 / 7</f>
        <v>0</v>
      </c>
      <c r="I12" s="1">
        <f t="shared" ref="I12:I17" si="28" xml:space="preserve"> $I$18 * $G48 / 7</f>
        <v>0</v>
      </c>
      <c r="J12" s="32">
        <v>240</v>
      </c>
      <c r="L12" s="20"/>
      <c r="M12" s="8" t="s">
        <v>221</v>
      </c>
      <c r="N12" s="8" t="s">
        <v>77</v>
      </c>
      <c r="O12" s="1">
        <f t="shared" ref="O12:O17" si="29" xml:space="preserve"> $O$18 *$B48 / 7</f>
        <v>6</v>
      </c>
      <c r="P12" s="1">
        <f t="shared" ref="P12:P17" si="30" xml:space="preserve"> $P$18 * $C48 / 7</f>
        <v>3.1428571428571428</v>
      </c>
      <c r="Q12" s="1">
        <f t="shared" ref="Q12:Q17" si="31" xml:space="preserve"> $Q$18 * $D48 / 7</f>
        <v>0</v>
      </c>
      <c r="R12" s="1">
        <f t="shared" ref="R12:R17" si="32" xml:space="preserve"> $R$18 * $E48 / 7</f>
        <v>1.2857142857142858</v>
      </c>
      <c r="S12" s="1">
        <f t="shared" ref="S12:S17" si="33" xml:space="preserve"> $S$18 * $F48 / 7</f>
        <v>0</v>
      </c>
      <c r="T12" s="1">
        <f t="shared" ref="T12:T17" si="34" xml:space="preserve"> $T$18 * $G48 / 7</f>
        <v>0</v>
      </c>
      <c r="U12" s="32">
        <v>240</v>
      </c>
      <c r="W12" s="20"/>
      <c r="X12" s="8" t="s">
        <v>221</v>
      </c>
      <c r="Y12" s="8" t="s">
        <v>77</v>
      </c>
      <c r="Z12" s="1">
        <f t="shared" ref="Z12:Z17" si="35" xml:space="preserve"> $Z$18 *$B48 / 7</f>
        <v>9</v>
      </c>
      <c r="AA12" s="1">
        <f t="shared" ref="AA12:AA17" si="36" xml:space="preserve"> $AA$18 * $C48 / 7</f>
        <v>4</v>
      </c>
      <c r="AB12" s="1">
        <f t="shared" ref="AB12:AB17" si="37" xml:space="preserve"> $AB$18 * $D48 / 7</f>
        <v>0</v>
      </c>
      <c r="AC12" s="1">
        <f t="shared" ref="AC12:AC17" si="38" xml:space="preserve"> $AC$18 * $E48 / 7</f>
        <v>1.7142857142857142</v>
      </c>
      <c r="AD12" s="1">
        <f t="shared" ref="AD12:AD17" si="39" xml:space="preserve"> $AD$18 * $F48 / 7</f>
        <v>0</v>
      </c>
      <c r="AE12" s="1">
        <f t="shared" ref="AE12:AE17" si="40" xml:space="preserve"> $AE$18 * $G48 / 7</f>
        <v>0</v>
      </c>
      <c r="AF12" s="32">
        <v>240</v>
      </c>
      <c r="AH12" s="20"/>
      <c r="AI12" s="8" t="s">
        <v>221</v>
      </c>
      <c r="AJ12" s="8" t="s">
        <v>77</v>
      </c>
      <c r="AK12" s="1">
        <f t="shared" ref="AK12:AK17" si="41" xml:space="preserve"> $AK$18 *$B48 / 7</f>
        <v>8.1428571428571423</v>
      </c>
      <c r="AL12" s="1">
        <f t="shared" ref="AL12:AL17" si="42" xml:space="preserve"> $AL$18 * $C48 / 7</f>
        <v>3.1428571428571428</v>
      </c>
      <c r="AM12" s="1">
        <f t="shared" ref="AM12:AM17" si="43" xml:space="preserve"> $AM$18 * $D48 / 7</f>
        <v>0</v>
      </c>
      <c r="AN12" s="1">
        <f t="shared" ref="AN12:AN17" si="44" xml:space="preserve"> $AN$18 * $E48 / 7</f>
        <v>2</v>
      </c>
      <c r="AO12" s="1">
        <f t="shared" ref="AO12:AO17" si="45" xml:space="preserve"> $AO$18 * $F48 / 7</f>
        <v>0</v>
      </c>
      <c r="AP12" s="1">
        <f t="shared" ref="AP12:AP17" si="46" xml:space="preserve"> $AP$18 * $G48 / 7</f>
        <v>0</v>
      </c>
      <c r="AQ12" s="32">
        <v>240</v>
      </c>
    </row>
    <row r="13" spans="1:43" x14ac:dyDescent="0.3">
      <c r="A13" s="20"/>
      <c r="B13" s="8" t="s">
        <v>222</v>
      </c>
      <c r="C13" s="8" t="s">
        <v>78</v>
      </c>
      <c r="D13" s="1">
        <f t="shared" si="23"/>
        <v>4.5714285714285712</v>
      </c>
      <c r="E13" s="1">
        <f t="shared" si="24"/>
        <v>0</v>
      </c>
      <c r="F13" s="1">
        <f t="shared" si="25"/>
        <v>1.5714285714285714</v>
      </c>
      <c r="G13" s="1">
        <f t="shared" si="26"/>
        <v>0</v>
      </c>
      <c r="H13" s="1">
        <f t="shared" si="27"/>
        <v>6</v>
      </c>
      <c r="I13" s="1">
        <f t="shared" si="28"/>
        <v>0</v>
      </c>
      <c r="J13" s="32">
        <v>210</v>
      </c>
      <c r="L13" s="20"/>
      <c r="M13" s="8" t="s">
        <v>222</v>
      </c>
      <c r="N13" s="8" t="s">
        <v>78</v>
      </c>
      <c r="O13" s="1">
        <f t="shared" si="29"/>
        <v>4</v>
      </c>
      <c r="P13" s="1">
        <f t="shared" si="30"/>
        <v>0</v>
      </c>
      <c r="Q13" s="1">
        <f t="shared" si="31"/>
        <v>1.7142857142857142</v>
      </c>
      <c r="R13" s="1">
        <f t="shared" si="32"/>
        <v>0</v>
      </c>
      <c r="S13" s="1">
        <f t="shared" si="33"/>
        <v>4.7142857142857144</v>
      </c>
      <c r="T13" s="1">
        <f t="shared" si="34"/>
        <v>0</v>
      </c>
      <c r="U13" s="32">
        <v>210</v>
      </c>
      <c r="W13" s="20"/>
      <c r="X13" s="8" t="s">
        <v>222</v>
      </c>
      <c r="Y13" s="8" t="s">
        <v>78</v>
      </c>
      <c r="Z13" s="1">
        <f t="shared" si="35"/>
        <v>6</v>
      </c>
      <c r="AA13" s="1">
        <f t="shared" si="36"/>
        <v>0</v>
      </c>
      <c r="AB13" s="1">
        <f t="shared" si="37"/>
        <v>1.5714285714285714</v>
      </c>
      <c r="AC13" s="1">
        <f t="shared" si="38"/>
        <v>0</v>
      </c>
      <c r="AD13" s="1">
        <f t="shared" si="39"/>
        <v>3.8571428571428572</v>
      </c>
      <c r="AE13" s="1">
        <f t="shared" si="40"/>
        <v>0</v>
      </c>
      <c r="AF13" s="32">
        <v>210</v>
      </c>
      <c r="AH13" s="20"/>
      <c r="AI13" s="8" t="s">
        <v>222</v>
      </c>
      <c r="AJ13" s="8" t="s">
        <v>78</v>
      </c>
      <c r="AK13" s="1">
        <f t="shared" si="41"/>
        <v>5.4285714285714288</v>
      </c>
      <c r="AL13" s="1">
        <f t="shared" si="42"/>
        <v>0</v>
      </c>
      <c r="AM13" s="1">
        <f t="shared" si="43"/>
        <v>1.2857142857142858</v>
      </c>
      <c r="AN13" s="1">
        <f t="shared" si="44"/>
        <v>0</v>
      </c>
      <c r="AO13" s="1">
        <f t="shared" si="45"/>
        <v>4.7142857142857144</v>
      </c>
      <c r="AP13" s="1">
        <f t="shared" si="46"/>
        <v>0</v>
      </c>
      <c r="AQ13" s="32">
        <v>210</v>
      </c>
    </row>
    <row r="14" spans="1:43" x14ac:dyDescent="0.3">
      <c r="A14" s="20" t="s">
        <v>83</v>
      </c>
      <c r="B14" s="8" t="s">
        <v>223</v>
      </c>
      <c r="C14" s="8" t="s">
        <v>79</v>
      </c>
      <c r="D14" s="1">
        <f t="shared" si="23"/>
        <v>0</v>
      </c>
      <c r="E14" s="1">
        <f t="shared" si="24"/>
        <v>2.5714285714285716</v>
      </c>
      <c r="F14" s="1">
        <f t="shared" si="25"/>
        <v>3.1428571428571428</v>
      </c>
      <c r="G14" s="1">
        <f t="shared" si="26"/>
        <v>0</v>
      </c>
      <c r="H14" s="1">
        <f t="shared" si="27"/>
        <v>0</v>
      </c>
      <c r="I14" s="1">
        <f t="shared" si="28"/>
        <v>3.1428571428571428</v>
      </c>
      <c r="J14" s="32">
        <v>210</v>
      </c>
      <c r="L14" s="20" t="s">
        <v>83</v>
      </c>
      <c r="M14" s="8" t="s">
        <v>223</v>
      </c>
      <c r="N14" s="8" t="s">
        <v>79</v>
      </c>
      <c r="O14" s="1">
        <f t="shared" si="29"/>
        <v>0</v>
      </c>
      <c r="P14" s="1">
        <f t="shared" si="30"/>
        <v>3.1428571428571428</v>
      </c>
      <c r="Q14" s="1">
        <f t="shared" si="31"/>
        <v>3.4285714285714284</v>
      </c>
      <c r="R14" s="1">
        <f t="shared" si="32"/>
        <v>0</v>
      </c>
      <c r="S14" s="1">
        <f t="shared" si="33"/>
        <v>0</v>
      </c>
      <c r="T14" s="1">
        <f t="shared" si="34"/>
        <v>4</v>
      </c>
      <c r="U14" s="32">
        <v>210</v>
      </c>
      <c r="W14" s="20" t="s">
        <v>83</v>
      </c>
      <c r="X14" s="8" t="s">
        <v>223</v>
      </c>
      <c r="Y14" s="8" t="s">
        <v>79</v>
      </c>
      <c r="Z14" s="1">
        <f t="shared" si="35"/>
        <v>0</v>
      </c>
      <c r="AA14" s="1">
        <f t="shared" si="36"/>
        <v>4</v>
      </c>
      <c r="AB14" s="1">
        <f t="shared" si="37"/>
        <v>3.1428571428571428</v>
      </c>
      <c r="AC14" s="1">
        <f t="shared" si="38"/>
        <v>0</v>
      </c>
      <c r="AD14" s="1">
        <f t="shared" si="39"/>
        <v>0</v>
      </c>
      <c r="AE14" s="1">
        <f t="shared" si="40"/>
        <v>3.1428571428571428</v>
      </c>
      <c r="AF14" s="32">
        <v>210</v>
      </c>
      <c r="AH14" s="20" t="s">
        <v>83</v>
      </c>
      <c r="AI14" s="8" t="s">
        <v>223</v>
      </c>
      <c r="AJ14" s="8" t="s">
        <v>79</v>
      </c>
      <c r="AK14" s="1">
        <f t="shared" si="41"/>
        <v>0</v>
      </c>
      <c r="AL14" s="1">
        <f t="shared" si="42"/>
        <v>3.1428571428571428</v>
      </c>
      <c r="AM14" s="1">
        <f t="shared" si="43"/>
        <v>2.5714285714285716</v>
      </c>
      <c r="AN14" s="1">
        <f t="shared" si="44"/>
        <v>0</v>
      </c>
      <c r="AO14" s="1">
        <f t="shared" si="45"/>
        <v>0</v>
      </c>
      <c r="AP14" s="1">
        <f t="shared" si="46"/>
        <v>3.4285714285714284</v>
      </c>
      <c r="AQ14" s="32">
        <v>210</v>
      </c>
    </row>
    <row r="15" spans="1:43" x14ac:dyDescent="0.3">
      <c r="A15" s="20"/>
      <c r="B15" s="8" t="s">
        <v>224</v>
      </c>
      <c r="C15" s="8" t="s">
        <v>80</v>
      </c>
      <c r="D15" s="1">
        <f t="shared" si="23"/>
        <v>0</v>
      </c>
      <c r="E15" s="1">
        <f t="shared" si="24"/>
        <v>0</v>
      </c>
      <c r="F15" s="1">
        <f t="shared" si="25"/>
        <v>0</v>
      </c>
      <c r="G15" s="1">
        <f t="shared" si="26"/>
        <v>1.7142857142857142</v>
      </c>
      <c r="H15" s="1">
        <f t="shared" si="27"/>
        <v>6</v>
      </c>
      <c r="I15" s="1">
        <f t="shared" si="28"/>
        <v>3.1428571428571428</v>
      </c>
      <c r="J15" s="32">
        <v>180</v>
      </c>
      <c r="L15" s="20"/>
      <c r="M15" s="8" t="s">
        <v>224</v>
      </c>
      <c r="N15" s="8" t="s">
        <v>80</v>
      </c>
      <c r="O15" s="1">
        <f t="shared" si="29"/>
        <v>0</v>
      </c>
      <c r="P15" s="1">
        <f t="shared" si="30"/>
        <v>0</v>
      </c>
      <c r="Q15" s="1">
        <f t="shared" si="31"/>
        <v>0</v>
      </c>
      <c r="R15" s="1">
        <f t="shared" si="32"/>
        <v>1.2857142857142858</v>
      </c>
      <c r="S15" s="1">
        <f t="shared" si="33"/>
        <v>4.7142857142857144</v>
      </c>
      <c r="T15" s="1">
        <f t="shared" si="34"/>
        <v>4</v>
      </c>
      <c r="U15" s="32">
        <v>180</v>
      </c>
      <c r="W15" s="20"/>
      <c r="X15" s="8" t="s">
        <v>224</v>
      </c>
      <c r="Y15" s="8" t="s">
        <v>80</v>
      </c>
      <c r="Z15" s="1">
        <f t="shared" si="35"/>
        <v>0</v>
      </c>
      <c r="AA15" s="1">
        <f t="shared" si="36"/>
        <v>0</v>
      </c>
      <c r="AB15" s="1">
        <f t="shared" si="37"/>
        <v>0</v>
      </c>
      <c r="AC15" s="1">
        <f t="shared" si="38"/>
        <v>1.7142857142857142</v>
      </c>
      <c r="AD15" s="1">
        <f t="shared" si="39"/>
        <v>3.8571428571428572</v>
      </c>
      <c r="AE15" s="1">
        <f t="shared" si="40"/>
        <v>3.1428571428571428</v>
      </c>
      <c r="AF15" s="32">
        <v>180</v>
      </c>
      <c r="AH15" s="20"/>
      <c r="AI15" s="8" t="s">
        <v>224</v>
      </c>
      <c r="AJ15" s="8" t="s">
        <v>80</v>
      </c>
      <c r="AK15" s="1">
        <f t="shared" si="41"/>
        <v>0</v>
      </c>
      <c r="AL15" s="1">
        <f t="shared" si="42"/>
        <v>0</v>
      </c>
      <c r="AM15" s="1">
        <f t="shared" si="43"/>
        <v>0</v>
      </c>
      <c r="AN15" s="1">
        <f t="shared" si="44"/>
        <v>2</v>
      </c>
      <c r="AO15" s="1">
        <f t="shared" si="45"/>
        <v>4.7142857142857144</v>
      </c>
      <c r="AP15" s="1">
        <f t="shared" si="46"/>
        <v>3.4285714285714284</v>
      </c>
      <c r="AQ15" s="32">
        <v>180</v>
      </c>
    </row>
    <row r="16" spans="1:43" x14ac:dyDescent="0.3">
      <c r="A16" s="20"/>
      <c r="B16" s="8" t="s">
        <v>225</v>
      </c>
      <c r="C16" s="8" t="s">
        <v>81</v>
      </c>
      <c r="D16" s="1">
        <f t="shared" si="23"/>
        <v>4.5714285714285712</v>
      </c>
      <c r="E16" s="1">
        <f t="shared" si="24"/>
        <v>3.8571428571428572</v>
      </c>
      <c r="F16" s="1">
        <f t="shared" si="25"/>
        <v>0</v>
      </c>
      <c r="G16" s="1">
        <f t="shared" si="26"/>
        <v>0</v>
      </c>
      <c r="H16" s="1">
        <f t="shared" si="27"/>
        <v>2</v>
      </c>
      <c r="I16" s="1">
        <f t="shared" si="28"/>
        <v>0</v>
      </c>
      <c r="J16" s="32">
        <v>180</v>
      </c>
      <c r="L16" s="20"/>
      <c r="M16" s="8" t="s">
        <v>225</v>
      </c>
      <c r="N16" s="8" t="s">
        <v>81</v>
      </c>
      <c r="O16" s="1">
        <f t="shared" si="29"/>
        <v>4</v>
      </c>
      <c r="P16" s="1">
        <f t="shared" si="30"/>
        <v>4.7142857142857144</v>
      </c>
      <c r="Q16" s="1">
        <f t="shared" si="31"/>
        <v>0</v>
      </c>
      <c r="R16" s="1">
        <f t="shared" si="32"/>
        <v>0</v>
      </c>
      <c r="S16" s="1">
        <f t="shared" si="33"/>
        <v>1.5714285714285714</v>
      </c>
      <c r="T16" s="1">
        <f t="shared" si="34"/>
        <v>0</v>
      </c>
      <c r="U16" s="32">
        <v>180</v>
      </c>
      <c r="W16" s="20"/>
      <c r="X16" s="8" t="s">
        <v>225</v>
      </c>
      <c r="Y16" s="8" t="s">
        <v>81</v>
      </c>
      <c r="Z16" s="1">
        <f t="shared" si="35"/>
        <v>6</v>
      </c>
      <c r="AA16" s="1">
        <f t="shared" si="36"/>
        <v>6</v>
      </c>
      <c r="AB16" s="1">
        <f t="shared" si="37"/>
        <v>0</v>
      </c>
      <c r="AC16" s="1">
        <f t="shared" si="38"/>
        <v>0</v>
      </c>
      <c r="AD16" s="1">
        <f t="shared" si="39"/>
        <v>1.2857142857142858</v>
      </c>
      <c r="AE16" s="1">
        <f t="shared" si="40"/>
        <v>0</v>
      </c>
      <c r="AF16" s="32">
        <v>180</v>
      </c>
      <c r="AH16" s="20"/>
      <c r="AI16" s="8" t="s">
        <v>225</v>
      </c>
      <c r="AJ16" s="8" t="s">
        <v>81</v>
      </c>
      <c r="AK16" s="1">
        <f t="shared" si="41"/>
        <v>5.4285714285714288</v>
      </c>
      <c r="AL16" s="1">
        <f t="shared" si="42"/>
        <v>4.7142857142857144</v>
      </c>
      <c r="AM16" s="1">
        <f t="shared" si="43"/>
        <v>0</v>
      </c>
      <c r="AN16" s="1">
        <f t="shared" si="44"/>
        <v>0</v>
      </c>
      <c r="AO16" s="1">
        <f t="shared" si="45"/>
        <v>1.5714285714285714</v>
      </c>
      <c r="AP16" s="1">
        <f t="shared" si="46"/>
        <v>0</v>
      </c>
      <c r="AQ16" s="32">
        <v>180</v>
      </c>
    </row>
    <row r="17" spans="1:43" x14ac:dyDescent="0.3">
      <c r="A17" s="20"/>
      <c r="B17" s="29" t="s">
        <v>246</v>
      </c>
      <c r="C17" s="22" t="s">
        <v>82</v>
      </c>
      <c r="D17" s="1">
        <f t="shared" si="23"/>
        <v>0</v>
      </c>
      <c r="E17" s="1">
        <f t="shared" si="24"/>
        <v>0</v>
      </c>
      <c r="F17" s="1">
        <f t="shared" si="25"/>
        <v>1.5714285714285714</v>
      </c>
      <c r="G17" s="1">
        <f t="shared" si="26"/>
        <v>6.8571428571428568</v>
      </c>
      <c r="H17" s="1">
        <f t="shared" si="27"/>
        <v>0</v>
      </c>
      <c r="I17" s="1">
        <f t="shared" si="28"/>
        <v>1.5714285714285714</v>
      </c>
      <c r="J17" s="32">
        <v>240</v>
      </c>
      <c r="L17" s="20"/>
      <c r="M17" s="29" t="s">
        <v>250</v>
      </c>
      <c r="N17" s="22" t="s">
        <v>82</v>
      </c>
      <c r="O17" s="1">
        <f t="shared" si="29"/>
        <v>0</v>
      </c>
      <c r="P17" s="1">
        <f t="shared" si="30"/>
        <v>0</v>
      </c>
      <c r="Q17" s="1">
        <f t="shared" si="31"/>
        <v>1.7142857142857142</v>
      </c>
      <c r="R17" s="1">
        <f t="shared" si="32"/>
        <v>5.1428571428571432</v>
      </c>
      <c r="S17" s="1">
        <f t="shared" si="33"/>
        <v>0</v>
      </c>
      <c r="T17" s="1">
        <f t="shared" si="34"/>
        <v>2</v>
      </c>
      <c r="U17" s="32">
        <v>240</v>
      </c>
      <c r="W17" s="20"/>
      <c r="X17" s="29" t="s">
        <v>257</v>
      </c>
      <c r="Y17" s="22" t="s">
        <v>82</v>
      </c>
      <c r="Z17" s="1">
        <f t="shared" si="35"/>
        <v>0</v>
      </c>
      <c r="AA17" s="1">
        <f t="shared" si="36"/>
        <v>0</v>
      </c>
      <c r="AB17" s="1">
        <f t="shared" si="37"/>
        <v>1.5714285714285714</v>
      </c>
      <c r="AC17" s="1">
        <f t="shared" si="38"/>
        <v>6.8571428571428568</v>
      </c>
      <c r="AD17" s="1">
        <f t="shared" si="39"/>
        <v>0</v>
      </c>
      <c r="AE17" s="1">
        <f t="shared" si="40"/>
        <v>1.5714285714285714</v>
      </c>
      <c r="AF17" s="32">
        <v>240</v>
      </c>
      <c r="AH17" s="20"/>
      <c r="AI17" s="8" t="s">
        <v>262</v>
      </c>
      <c r="AJ17" s="22" t="s">
        <v>82</v>
      </c>
      <c r="AK17" s="1">
        <f t="shared" si="41"/>
        <v>0</v>
      </c>
      <c r="AL17" s="1">
        <f t="shared" si="42"/>
        <v>0</v>
      </c>
      <c r="AM17" s="1">
        <f t="shared" si="43"/>
        <v>1.2857142857142858</v>
      </c>
      <c r="AN17" s="1">
        <f t="shared" si="44"/>
        <v>8</v>
      </c>
      <c r="AO17" s="1">
        <f t="shared" si="45"/>
        <v>0</v>
      </c>
      <c r="AP17" s="1">
        <f t="shared" si="46"/>
        <v>1.7142857142857142</v>
      </c>
      <c r="AQ17" s="32">
        <v>240</v>
      </c>
    </row>
    <row r="18" spans="1:43" x14ac:dyDescent="0.3">
      <c r="A18" s="21" t="s">
        <v>91</v>
      </c>
      <c r="B18" s="19"/>
      <c r="C18" s="19"/>
      <c r="D18" s="30">
        <f>ROUND((Demon!$B$3 + ((10 / 10) + Demon!$B$3 / 8) * 10) / 2,0)</f>
        <v>16</v>
      </c>
      <c r="E18" s="30">
        <f>ROUND((Demon!$D$3 + (Demon!$D$3 / 4) * 10) /2,0)</f>
        <v>9</v>
      </c>
      <c r="F18" s="30">
        <f>ROUND((Demon!$E$3 + (Demon!$E$3 / 4) * 10) /2,0)</f>
        <v>11</v>
      </c>
      <c r="G18" s="30">
        <f>ROUND((Demon!$F$3 + (Demon!$F$3 / 4) * 10) /2,0)</f>
        <v>12</v>
      </c>
      <c r="H18" s="30">
        <f>ROUND((Demon!$G$3 + (Demon!$G$3 / 4) * 10) /2,0)</f>
        <v>14</v>
      </c>
      <c r="I18" s="30">
        <f>ROUND((Demon!$H$3 + (Demon!$H$3 / 4) * 10) /2,0)</f>
        <v>11</v>
      </c>
      <c r="J18" s="33">
        <v>1500</v>
      </c>
      <c r="K18" s="31"/>
      <c r="L18" s="21" t="s">
        <v>91</v>
      </c>
      <c r="M18" s="19"/>
      <c r="N18" s="19"/>
      <c r="O18" s="30">
        <f>ROUND((Elf!$B$3 + ((10 / 10) + Elf!$B$3 / 8) * 10) / 2,0)</f>
        <v>14</v>
      </c>
      <c r="P18" s="30">
        <f>ROUND((Elf!$D$3 + (Elf!$D$3 / 4) * 10) /2,0)</f>
        <v>11</v>
      </c>
      <c r="Q18" s="30">
        <f>ROUND((Elf!$E$3 + (Elf!$E$3 / 4) * 10) /2,0)</f>
        <v>12</v>
      </c>
      <c r="R18" s="30">
        <f>ROUND((Elf!$F$3 + (Elf!$F$3 / 4) * 10) /2,0)</f>
        <v>9</v>
      </c>
      <c r="S18" s="30">
        <f>ROUND((Elf!$G$3 + (Elf!$G$3 / 4) * 10) /2,0)</f>
        <v>11</v>
      </c>
      <c r="T18" s="30">
        <f>ROUND((Elf!$H$3 + (Elf!$H$3 / 4) * 10) /2,0)</f>
        <v>14</v>
      </c>
      <c r="U18" s="33">
        <v>1500</v>
      </c>
      <c r="W18" s="21" t="s">
        <v>91</v>
      </c>
      <c r="X18" s="19"/>
      <c r="Y18" s="19"/>
      <c r="Z18" s="30">
        <f>ROUND((Beastgirl!$B$3 + ((10 / 10) + Beastgirl!$B$3 / 8) * 10) / 2,0)</f>
        <v>21</v>
      </c>
      <c r="AA18" s="30">
        <f>ROUND((Beastgirl!$D$3 + (Beastgirl!$D$3 / 4) * 10) /2,0)</f>
        <v>14</v>
      </c>
      <c r="AB18" s="30">
        <f>ROUND((Beastgirl!$E$3 + (Beastgirl!$E$3 / 4) * 10) /2,0)</f>
        <v>11</v>
      </c>
      <c r="AC18" s="30">
        <f>ROUND((Beastgirl!$F$3 + (Beastgirl!$F$3 / 4) * 10) /2,0)</f>
        <v>12</v>
      </c>
      <c r="AD18" s="30">
        <f>ROUND((Beastgirl!$G$3 + (Beastgirl!$G$3 / 4) * 10) /2,0)</f>
        <v>9</v>
      </c>
      <c r="AE18" s="30">
        <f>ROUND((Beastgirl!$H$3 + (Beastgirl!$H$3 / 4) * 10) /2,0)</f>
        <v>11</v>
      </c>
      <c r="AF18" s="33">
        <v>1500</v>
      </c>
      <c r="AH18" s="21" t="s">
        <v>91</v>
      </c>
      <c r="AI18" s="19"/>
      <c r="AJ18" s="19"/>
      <c r="AK18" s="30">
        <f>ROUND((Warrior!$B$3 + ((10 / 10) + Warrior!$B$3 / 8) * 10) / 2,0)</f>
        <v>19</v>
      </c>
      <c r="AL18" s="30">
        <f>ROUND((Warrior!$D$3 + (Warrior!$D$3 / 4) * 10) /2,0)</f>
        <v>11</v>
      </c>
      <c r="AM18" s="30">
        <f>ROUND((Warrior!$E$3 + (Warrior!$E$3 / 4) * 10) /2,0)</f>
        <v>9</v>
      </c>
      <c r="AN18" s="30">
        <f>ROUND((Warrior!$F$3 + (Warrior!$F$3 / 4) * 10) /2,0)</f>
        <v>14</v>
      </c>
      <c r="AO18" s="30">
        <f>ROUND((Warrior!$G$3 + (Warrior!$G$3 / 4) * 10) /2,0)</f>
        <v>11</v>
      </c>
      <c r="AP18" s="30">
        <f>ROUND((Warrior!$H$3 + (Warrior!$H$3 / 4) * 10) /2,0)</f>
        <v>12</v>
      </c>
      <c r="AQ18" s="33">
        <v>1500</v>
      </c>
    </row>
    <row r="19" spans="1:43" x14ac:dyDescent="0.3">
      <c r="A19" s="20"/>
      <c r="B19" s="8" t="s">
        <v>237</v>
      </c>
      <c r="C19" s="8" t="s">
        <v>76</v>
      </c>
      <c r="D19" s="1">
        <f xml:space="preserve"> $D$26 *$B47 / 7</f>
        <v>0</v>
      </c>
      <c r="E19" s="1">
        <f xml:space="preserve"> $E$26 * $C47 / 7</f>
        <v>0</v>
      </c>
      <c r="F19" s="1">
        <f xml:space="preserve"> $F$26 * $D47/ 7</f>
        <v>7.7142857142857144</v>
      </c>
      <c r="G19" s="1">
        <f xml:space="preserve"> $G$26 * $E47 / 7</f>
        <v>3</v>
      </c>
      <c r="H19" s="1">
        <f xml:space="preserve"> $H$26 * $F47 / 7</f>
        <v>0</v>
      </c>
      <c r="I19" s="1">
        <f xml:space="preserve"> $I$26 * $G47 / 7</f>
        <v>5.1428571428571432</v>
      </c>
      <c r="J19" s="32">
        <v>740</v>
      </c>
      <c r="L19" s="20"/>
      <c r="M19" s="8" t="s">
        <v>237</v>
      </c>
      <c r="N19" s="8" t="s">
        <v>76</v>
      </c>
      <c r="O19" s="1">
        <f xml:space="preserve"> $O$26 *$B47 / 7</f>
        <v>0</v>
      </c>
      <c r="P19" s="1">
        <f xml:space="preserve"> $P$26 * $C47 / 7</f>
        <v>0</v>
      </c>
      <c r="Q19" s="1">
        <f xml:space="preserve"> $Q$26 * $D47/ 7</f>
        <v>9</v>
      </c>
      <c r="R19" s="1">
        <f xml:space="preserve"> $R$26 * $E47 / 7</f>
        <v>2.1428571428571428</v>
      </c>
      <c r="S19" s="1">
        <f xml:space="preserve"> $S$26 * $F47 / 7</f>
        <v>0</v>
      </c>
      <c r="T19" s="1">
        <f xml:space="preserve"> $T$26 * $G47 / 7</f>
        <v>6.8571428571428568</v>
      </c>
      <c r="U19" s="32">
        <v>740</v>
      </c>
      <c r="W19" s="20"/>
      <c r="X19" s="8" t="s">
        <v>237</v>
      </c>
      <c r="Y19" s="8" t="s">
        <v>76</v>
      </c>
      <c r="Z19" s="1">
        <f xml:space="preserve"> $Z$26 *$B47 / 7</f>
        <v>0</v>
      </c>
      <c r="AA19" s="1">
        <f xml:space="preserve"> $AA$26 * $C47 / 7</f>
        <v>0</v>
      </c>
      <c r="AB19" s="1">
        <f xml:space="preserve"> $AB$26 * $D47/ 7</f>
        <v>7.7142857142857144</v>
      </c>
      <c r="AC19" s="1">
        <f xml:space="preserve"> $AC$26 * $E47 / 7</f>
        <v>3</v>
      </c>
      <c r="AD19" s="1">
        <f xml:space="preserve"> $AD$26 * $F47 / 7</f>
        <v>0</v>
      </c>
      <c r="AE19" s="1">
        <f xml:space="preserve"> $AE$26 * $G47 / 7</f>
        <v>5.1428571428571432</v>
      </c>
      <c r="AF19" s="32">
        <v>740</v>
      </c>
      <c r="AH19" s="20"/>
      <c r="AI19" s="8" t="s">
        <v>237</v>
      </c>
      <c r="AJ19" s="8" t="s">
        <v>76</v>
      </c>
      <c r="AK19" s="1">
        <f xml:space="preserve"> $AK$26 *$B47 / 7</f>
        <v>0</v>
      </c>
      <c r="AL19" s="1">
        <f xml:space="preserve"> $AL$26 * $C47 / 7</f>
        <v>0</v>
      </c>
      <c r="AM19" s="1">
        <f xml:space="preserve"> $AM$26 * $D47/ 7</f>
        <v>6.4285714285714288</v>
      </c>
      <c r="AN19" s="1">
        <f xml:space="preserve"> $AN$26 * $E47 / 7</f>
        <v>3.4285714285714284</v>
      </c>
      <c r="AO19" s="1">
        <f xml:space="preserve"> $AO$26 * $F47 / 7</f>
        <v>0</v>
      </c>
      <c r="AP19" s="1">
        <f xml:space="preserve"> $AP$26 * $G47 / 7</f>
        <v>6</v>
      </c>
      <c r="AQ19" s="32">
        <v>740</v>
      </c>
    </row>
    <row r="20" spans="1:43" x14ac:dyDescent="0.3">
      <c r="A20" s="20"/>
      <c r="B20" s="8" t="s">
        <v>226</v>
      </c>
      <c r="C20" s="8" t="s">
        <v>77</v>
      </c>
      <c r="D20" s="1">
        <f t="shared" ref="D20:D25" si="47" xml:space="preserve"> $D$26 *$B48 / 7</f>
        <v>16.285714285714285</v>
      </c>
      <c r="E20" s="1">
        <f t="shared" ref="E20:E25" si="48" xml:space="preserve"> $E$26 * $C48 / 7</f>
        <v>4.2857142857142856</v>
      </c>
      <c r="F20" s="1">
        <f t="shared" ref="F20:F25" si="49" xml:space="preserve"> $F$26 * $D48/ 7</f>
        <v>0</v>
      </c>
      <c r="G20" s="1">
        <f t="shared" ref="G20:G25" si="50" xml:space="preserve"> $G$26 * $E48 / 7</f>
        <v>3</v>
      </c>
      <c r="H20" s="1">
        <f t="shared" ref="H20:H25" si="51" xml:space="preserve"> $H$26 * $F48 / 7</f>
        <v>0</v>
      </c>
      <c r="I20" s="1">
        <f t="shared" ref="I20:I25" si="52" xml:space="preserve"> $I$26 * $G48 / 7</f>
        <v>0</v>
      </c>
      <c r="J20" s="32">
        <v>740</v>
      </c>
      <c r="L20" s="20"/>
      <c r="M20" s="8" t="s">
        <v>226</v>
      </c>
      <c r="N20" s="8" t="s">
        <v>77</v>
      </c>
      <c r="O20" s="1">
        <f t="shared" ref="O20:O25" si="53" xml:space="preserve"> $O$26 *$B48 / 7</f>
        <v>14.571428571428571</v>
      </c>
      <c r="P20" s="1">
        <f t="shared" ref="P20:P25" si="54" xml:space="preserve"> $P$26 * $C48 / 7</f>
        <v>5.1428571428571432</v>
      </c>
      <c r="Q20" s="1">
        <f t="shared" ref="Q20:Q25" si="55" xml:space="preserve"> $Q$26 * $D48/ 7</f>
        <v>0</v>
      </c>
      <c r="R20" s="1">
        <f t="shared" ref="R20:R25" si="56" xml:space="preserve"> $R$26 * $E48 / 7</f>
        <v>2.1428571428571428</v>
      </c>
      <c r="S20" s="1">
        <f t="shared" ref="S20:S25" si="57" xml:space="preserve"> $S$26 * $F48 / 7</f>
        <v>0</v>
      </c>
      <c r="T20" s="1">
        <f t="shared" ref="T20:T25" si="58" xml:space="preserve"> $T$26 * $G48 / 7</f>
        <v>0</v>
      </c>
      <c r="U20" s="32">
        <v>740</v>
      </c>
      <c r="W20" s="20"/>
      <c r="X20" s="8" t="s">
        <v>226</v>
      </c>
      <c r="Y20" s="8" t="s">
        <v>77</v>
      </c>
      <c r="Z20" s="1">
        <f t="shared" ref="Z20:Z25" si="59" xml:space="preserve"> $Z$26 *$B48 / 7</f>
        <v>19.285714285714285</v>
      </c>
      <c r="AA20" s="1">
        <f t="shared" ref="AA20:AA25" si="60" xml:space="preserve"> $AA$26 * $C48 / 7</f>
        <v>6.8571428571428568</v>
      </c>
      <c r="AB20" s="1">
        <f t="shared" ref="AB20:AB25" si="61" xml:space="preserve"> $AB$26 * $D48/ 7</f>
        <v>0</v>
      </c>
      <c r="AC20" s="1">
        <f t="shared" ref="AC20:AC25" si="62" xml:space="preserve"> $AC$26 * $E48 / 7</f>
        <v>3</v>
      </c>
      <c r="AD20" s="1">
        <f t="shared" ref="AD20:AD25" si="63" xml:space="preserve"> $AD$26 * $F48 / 7</f>
        <v>0</v>
      </c>
      <c r="AE20" s="1">
        <f t="shared" ref="AE20:AE25" si="64" xml:space="preserve"> $AE$26 * $G48 / 7</f>
        <v>0</v>
      </c>
      <c r="AF20" s="32">
        <v>740</v>
      </c>
      <c r="AH20" s="20"/>
      <c r="AI20" s="8" t="s">
        <v>226</v>
      </c>
      <c r="AJ20" s="8" t="s">
        <v>77</v>
      </c>
      <c r="AK20" s="1">
        <f t="shared" ref="AK20:AK25" si="65" xml:space="preserve"> $AK$26 *$B48 / 7</f>
        <v>17.571428571428573</v>
      </c>
      <c r="AL20" s="1">
        <f t="shared" ref="AL20:AL25" si="66" xml:space="preserve"> $AL$26 * $C48 / 7</f>
        <v>5.1428571428571432</v>
      </c>
      <c r="AM20" s="1">
        <f t="shared" ref="AM20:AM25" si="67" xml:space="preserve"> $AM$26 * $D48/ 7</f>
        <v>0</v>
      </c>
      <c r="AN20" s="1">
        <f t="shared" ref="AN20:AN25" si="68" xml:space="preserve"> $AN$26 * $E48 / 7</f>
        <v>3.4285714285714284</v>
      </c>
      <c r="AO20" s="1">
        <f t="shared" ref="AO20:AO25" si="69" xml:space="preserve"> $AO$26 * $F48 / 7</f>
        <v>0</v>
      </c>
      <c r="AP20" s="1">
        <f t="shared" ref="AP20:AP25" si="70" xml:space="preserve"> $AP$26 * $G48 / 7</f>
        <v>0</v>
      </c>
      <c r="AQ20" s="32">
        <v>740</v>
      </c>
    </row>
    <row r="21" spans="1:43" x14ac:dyDescent="0.3">
      <c r="A21" s="20"/>
      <c r="B21" s="8" t="s">
        <v>227</v>
      </c>
      <c r="C21" s="8" t="s">
        <v>78</v>
      </c>
      <c r="D21" s="1">
        <f t="shared" si="47"/>
        <v>10.857142857142858</v>
      </c>
      <c r="E21" s="1">
        <f t="shared" si="48"/>
        <v>0</v>
      </c>
      <c r="F21" s="1">
        <f t="shared" si="49"/>
        <v>2.5714285714285716</v>
      </c>
      <c r="G21" s="1">
        <f t="shared" si="50"/>
        <v>0</v>
      </c>
      <c r="H21" s="1">
        <f t="shared" si="51"/>
        <v>8.5714285714285712</v>
      </c>
      <c r="I21" s="1">
        <f t="shared" si="52"/>
        <v>0</v>
      </c>
      <c r="J21" s="32">
        <v>710</v>
      </c>
      <c r="L21" s="20"/>
      <c r="M21" s="8" t="s">
        <v>227</v>
      </c>
      <c r="N21" s="8" t="s">
        <v>78</v>
      </c>
      <c r="O21" s="1">
        <f t="shared" si="53"/>
        <v>9.7142857142857135</v>
      </c>
      <c r="P21" s="1">
        <f t="shared" si="54"/>
        <v>0</v>
      </c>
      <c r="Q21" s="1">
        <f t="shared" si="55"/>
        <v>3</v>
      </c>
      <c r="R21" s="1">
        <f t="shared" si="56"/>
        <v>0</v>
      </c>
      <c r="S21" s="1">
        <f t="shared" si="57"/>
        <v>6.4285714285714288</v>
      </c>
      <c r="T21" s="1">
        <f t="shared" si="58"/>
        <v>0</v>
      </c>
      <c r="U21" s="32">
        <v>710</v>
      </c>
      <c r="W21" s="20"/>
      <c r="X21" s="8" t="s">
        <v>227</v>
      </c>
      <c r="Y21" s="8" t="s">
        <v>78</v>
      </c>
      <c r="Z21" s="1">
        <f t="shared" si="59"/>
        <v>12.857142857142858</v>
      </c>
      <c r="AA21" s="1">
        <f t="shared" si="60"/>
        <v>0</v>
      </c>
      <c r="AB21" s="1">
        <f t="shared" si="61"/>
        <v>2.5714285714285716</v>
      </c>
      <c r="AC21" s="1">
        <f t="shared" si="62"/>
        <v>0</v>
      </c>
      <c r="AD21" s="1">
        <f t="shared" si="63"/>
        <v>5.5714285714285712</v>
      </c>
      <c r="AE21" s="1">
        <f t="shared" si="64"/>
        <v>0</v>
      </c>
      <c r="AF21" s="32">
        <v>710</v>
      </c>
      <c r="AH21" s="20"/>
      <c r="AI21" s="8" t="s">
        <v>227</v>
      </c>
      <c r="AJ21" s="8" t="s">
        <v>78</v>
      </c>
      <c r="AK21" s="1">
        <f t="shared" si="65"/>
        <v>11.714285714285714</v>
      </c>
      <c r="AL21" s="1">
        <f t="shared" si="66"/>
        <v>0</v>
      </c>
      <c r="AM21" s="1">
        <f t="shared" si="67"/>
        <v>2.1428571428571428</v>
      </c>
      <c r="AN21" s="1">
        <f t="shared" si="68"/>
        <v>0</v>
      </c>
      <c r="AO21" s="1">
        <f t="shared" si="69"/>
        <v>6.4285714285714288</v>
      </c>
      <c r="AP21" s="1">
        <f t="shared" si="70"/>
        <v>0</v>
      </c>
      <c r="AQ21" s="32">
        <v>710</v>
      </c>
    </row>
    <row r="22" spans="1:43" x14ac:dyDescent="0.3">
      <c r="A22" s="20" t="s">
        <v>84</v>
      </c>
      <c r="B22" s="8" t="s">
        <v>228</v>
      </c>
      <c r="C22" s="8" t="s">
        <v>79</v>
      </c>
      <c r="D22" s="1">
        <f t="shared" si="47"/>
        <v>0</v>
      </c>
      <c r="E22" s="1">
        <f t="shared" si="48"/>
        <v>4.2857142857142856</v>
      </c>
      <c r="F22" s="1">
        <f t="shared" si="49"/>
        <v>5.1428571428571432</v>
      </c>
      <c r="G22" s="1">
        <f t="shared" si="50"/>
        <v>0</v>
      </c>
      <c r="H22" s="1">
        <f t="shared" si="51"/>
        <v>0</v>
      </c>
      <c r="I22" s="1">
        <f t="shared" si="52"/>
        <v>5.1428571428571432</v>
      </c>
      <c r="J22" s="32">
        <v>710</v>
      </c>
      <c r="L22" s="20" t="s">
        <v>84</v>
      </c>
      <c r="M22" s="8" t="s">
        <v>228</v>
      </c>
      <c r="N22" s="8" t="s">
        <v>79</v>
      </c>
      <c r="O22" s="1">
        <f t="shared" si="53"/>
        <v>0</v>
      </c>
      <c r="P22" s="1">
        <f t="shared" si="54"/>
        <v>5.1428571428571432</v>
      </c>
      <c r="Q22" s="1">
        <f t="shared" si="55"/>
        <v>6</v>
      </c>
      <c r="R22" s="1">
        <f t="shared" si="56"/>
        <v>0</v>
      </c>
      <c r="S22" s="1">
        <f t="shared" si="57"/>
        <v>0</v>
      </c>
      <c r="T22" s="1">
        <f t="shared" si="58"/>
        <v>6.8571428571428568</v>
      </c>
      <c r="U22" s="32">
        <v>710</v>
      </c>
      <c r="W22" s="20" t="s">
        <v>84</v>
      </c>
      <c r="X22" s="8" t="s">
        <v>228</v>
      </c>
      <c r="Y22" s="8" t="s">
        <v>79</v>
      </c>
      <c r="Z22" s="1">
        <f t="shared" si="59"/>
        <v>0</v>
      </c>
      <c r="AA22" s="1">
        <f t="shared" si="60"/>
        <v>6.8571428571428568</v>
      </c>
      <c r="AB22" s="1">
        <f t="shared" si="61"/>
        <v>5.1428571428571432</v>
      </c>
      <c r="AC22" s="1">
        <f t="shared" si="62"/>
        <v>0</v>
      </c>
      <c r="AD22" s="1">
        <f t="shared" si="63"/>
        <v>0</v>
      </c>
      <c r="AE22" s="1">
        <f t="shared" si="64"/>
        <v>5.1428571428571432</v>
      </c>
      <c r="AF22" s="32">
        <v>710</v>
      </c>
      <c r="AH22" s="20" t="s">
        <v>84</v>
      </c>
      <c r="AI22" s="8" t="s">
        <v>228</v>
      </c>
      <c r="AJ22" s="8" t="s">
        <v>79</v>
      </c>
      <c r="AK22" s="1">
        <f t="shared" si="65"/>
        <v>0</v>
      </c>
      <c r="AL22" s="1">
        <f t="shared" si="66"/>
        <v>5.1428571428571432</v>
      </c>
      <c r="AM22" s="1">
        <f t="shared" si="67"/>
        <v>4.2857142857142856</v>
      </c>
      <c r="AN22" s="1">
        <f t="shared" si="68"/>
        <v>0</v>
      </c>
      <c r="AO22" s="1">
        <f t="shared" si="69"/>
        <v>0</v>
      </c>
      <c r="AP22" s="1">
        <f t="shared" si="70"/>
        <v>6</v>
      </c>
      <c r="AQ22" s="32">
        <v>710</v>
      </c>
    </row>
    <row r="23" spans="1:43" x14ac:dyDescent="0.3">
      <c r="A23" s="20"/>
      <c r="B23" s="8" t="s">
        <v>229</v>
      </c>
      <c r="C23" s="8" t="s">
        <v>80</v>
      </c>
      <c r="D23" s="1">
        <f t="shared" si="47"/>
        <v>0</v>
      </c>
      <c r="E23" s="1">
        <f t="shared" si="48"/>
        <v>0</v>
      </c>
      <c r="F23" s="1">
        <f t="shared" si="49"/>
        <v>0</v>
      </c>
      <c r="G23" s="1">
        <f t="shared" si="50"/>
        <v>3</v>
      </c>
      <c r="H23" s="1">
        <f t="shared" si="51"/>
        <v>8.5714285714285712</v>
      </c>
      <c r="I23" s="1">
        <f t="shared" si="52"/>
        <v>5.1428571428571432</v>
      </c>
      <c r="J23" s="32">
        <v>680</v>
      </c>
      <c r="L23" s="20"/>
      <c r="M23" s="8" t="s">
        <v>229</v>
      </c>
      <c r="N23" s="8" t="s">
        <v>80</v>
      </c>
      <c r="O23" s="1">
        <f t="shared" si="53"/>
        <v>0</v>
      </c>
      <c r="P23" s="1">
        <f t="shared" si="54"/>
        <v>0</v>
      </c>
      <c r="Q23" s="1">
        <f t="shared" si="55"/>
        <v>0</v>
      </c>
      <c r="R23" s="1">
        <f t="shared" si="56"/>
        <v>2.1428571428571428</v>
      </c>
      <c r="S23" s="1">
        <f t="shared" si="57"/>
        <v>6.4285714285714288</v>
      </c>
      <c r="T23" s="1">
        <f t="shared" si="58"/>
        <v>6.8571428571428568</v>
      </c>
      <c r="U23" s="32">
        <v>680</v>
      </c>
      <c r="W23" s="20"/>
      <c r="X23" s="8" t="s">
        <v>229</v>
      </c>
      <c r="Y23" s="8" t="s">
        <v>80</v>
      </c>
      <c r="Z23" s="1">
        <f t="shared" si="59"/>
        <v>0</v>
      </c>
      <c r="AA23" s="1">
        <f t="shared" si="60"/>
        <v>0</v>
      </c>
      <c r="AB23" s="1">
        <f t="shared" si="61"/>
        <v>0</v>
      </c>
      <c r="AC23" s="1">
        <f t="shared" si="62"/>
        <v>3</v>
      </c>
      <c r="AD23" s="1">
        <f t="shared" si="63"/>
        <v>5.5714285714285712</v>
      </c>
      <c r="AE23" s="1">
        <f t="shared" si="64"/>
        <v>5.1428571428571432</v>
      </c>
      <c r="AF23" s="32">
        <v>680</v>
      </c>
      <c r="AH23" s="20"/>
      <c r="AI23" s="8" t="s">
        <v>229</v>
      </c>
      <c r="AJ23" s="8" t="s">
        <v>80</v>
      </c>
      <c r="AK23" s="1">
        <f t="shared" si="65"/>
        <v>0</v>
      </c>
      <c r="AL23" s="1">
        <f t="shared" si="66"/>
        <v>0</v>
      </c>
      <c r="AM23" s="1">
        <f t="shared" si="67"/>
        <v>0</v>
      </c>
      <c r="AN23" s="1">
        <f t="shared" si="68"/>
        <v>3.4285714285714284</v>
      </c>
      <c r="AO23" s="1">
        <f t="shared" si="69"/>
        <v>6.4285714285714288</v>
      </c>
      <c r="AP23" s="1">
        <f t="shared" si="70"/>
        <v>6</v>
      </c>
      <c r="AQ23" s="32">
        <v>680</v>
      </c>
    </row>
    <row r="24" spans="1:43" x14ac:dyDescent="0.3">
      <c r="A24" s="20"/>
      <c r="B24" s="8" t="s">
        <v>230</v>
      </c>
      <c r="C24" s="8" t="s">
        <v>81</v>
      </c>
      <c r="D24" s="1">
        <f t="shared" si="47"/>
        <v>10.857142857142858</v>
      </c>
      <c r="E24" s="1">
        <f t="shared" si="48"/>
        <v>6.4285714285714288</v>
      </c>
      <c r="F24" s="1">
        <f t="shared" si="49"/>
        <v>0</v>
      </c>
      <c r="G24" s="1">
        <f t="shared" si="50"/>
        <v>0</v>
      </c>
      <c r="H24" s="1">
        <f t="shared" si="51"/>
        <v>2.8571428571428572</v>
      </c>
      <c r="I24" s="1">
        <f t="shared" si="52"/>
        <v>0</v>
      </c>
      <c r="J24" s="32">
        <v>680</v>
      </c>
      <c r="L24" s="20"/>
      <c r="M24" s="8" t="s">
        <v>230</v>
      </c>
      <c r="N24" s="8" t="s">
        <v>81</v>
      </c>
      <c r="O24" s="1">
        <f t="shared" si="53"/>
        <v>9.7142857142857135</v>
      </c>
      <c r="P24" s="1">
        <f t="shared" si="54"/>
        <v>7.7142857142857144</v>
      </c>
      <c r="Q24" s="1">
        <f t="shared" si="55"/>
        <v>0</v>
      </c>
      <c r="R24" s="1">
        <f t="shared" si="56"/>
        <v>0</v>
      </c>
      <c r="S24" s="1">
        <f t="shared" si="57"/>
        <v>2.1428571428571428</v>
      </c>
      <c r="T24" s="1">
        <f t="shared" si="58"/>
        <v>0</v>
      </c>
      <c r="U24" s="32">
        <v>680</v>
      </c>
      <c r="W24" s="20"/>
      <c r="X24" s="8" t="s">
        <v>230</v>
      </c>
      <c r="Y24" s="8" t="s">
        <v>81</v>
      </c>
      <c r="Z24" s="1">
        <f t="shared" si="59"/>
        <v>12.857142857142858</v>
      </c>
      <c r="AA24" s="1">
        <f t="shared" si="60"/>
        <v>10.285714285714286</v>
      </c>
      <c r="AB24" s="1">
        <f t="shared" si="61"/>
        <v>0</v>
      </c>
      <c r="AC24" s="1">
        <f t="shared" si="62"/>
        <v>0</v>
      </c>
      <c r="AD24" s="1">
        <f t="shared" si="63"/>
        <v>1.8571428571428572</v>
      </c>
      <c r="AE24" s="1">
        <f t="shared" si="64"/>
        <v>0</v>
      </c>
      <c r="AF24" s="32">
        <v>680</v>
      </c>
      <c r="AH24" s="20"/>
      <c r="AI24" s="8" t="s">
        <v>230</v>
      </c>
      <c r="AJ24" s="8" t="s">
        <v>81</v>
      </c>
      <c r="AK24" s="1">
        <f t="shared" si="65"/>
        <v>11.714285714285714</v>
      </c>
      <c r="AL24" s="1">
        <f t="shared" si="66"/>
        <v>7.7142857142857144</v>
      </c>
      <c r="AM24" s="1">
        <f t="shared" si="67"/>
        <v>0</v>
      </c>
      <c r="AN24" s="1">
        <f t="shared" si="68"/>
        <v>0</v>
      </c>
      <c r="AO24" s="1">
        <f t="shared" si="69"/>
        <v>2.1428571428571428</v>
      </c>
      <c r="AP24" s="1">
        <f t="shared" si="70"/>
        <v>0</v>
      </c>
      <c r="AQ24" s="32">
        <v>680</v>
      </c>
    </row>
    <row r="25" spans="1:43" x14ac:dyDescent="0.3">
      <c r="A25" s="20"/>
      <c r="B25" s="29" t="s">
        <v>247</v>
      </c>
      <c r="C25" s="22" t="s">
        <v>82</v>
      </c>
      <c r="D25" s="1">
        <f t="shared" si="47"/>
        <v>0</v>
      </c>
      <c r="E25" s="1">
        <f t="shared" si="48"/>
        <v>0</v>
      </c>
      <c r="F25" s="1">
        <f t="shared" si="49"/>
        <v>2.5714285714285716</v>
      </c>
      <c r="G25" s="1">
        <f t="shared" si="50"/>
        <v>12</v>
      </c>
      <c r="H25" s="1">
        <f t="shared" si="51"/>
        <v>0</v>
      </c>
      <c r="I25" s="1">
        <f t="shared" si="52"/>
        <v>2.5714285714285716</v>
      </c>
      <c r="J25" s="32">
        <v>740</v>
      </c>
      <c r="L25" s="20"/>
      <c r="M25" s="29" t="s">
        <v>251</v>
      </c>
      <c r="N25" s="22" t="s">
        <v>82</v>
      </c>
      <c r="O25" s="1">
        <f t="shared" si="53"/>
        <v>0</v>
      </c>
      <c r="P25" s="1">
        <f t="shared" si="54"/>
        <v>0</v>
      </c>
      <c r="Q25" s="1">
        <f t="shared" si="55"/>
        <v>3</v>
      </c>
      <c r="R25" s="1">
        <f t="shared" si="56"/>
        <v>8.5714285714285712</v>
      </c>
      <c r="S25" s="1">
        <f t="shared" si="57"/>
        <v>0</v>
      </c>
      <c r="T25" s="1">
        <f t="shared" si="58"/>
        <v>3.4285714285714284</v>
      </c>
      <c r="U25" s="32">
        <v>740</v>
      </c>
      <c r="W25" s="20"/>
      <c r="X25" s="29" t="s">
        <v>255</v>
      </c>
      <c r="Y25" s="22" t="s">
        <v>82</v>
      </c>
      <c r="Z25" s="1">
        <f t="shared" si="59"/>
        <v>0</v>
      </c>
      <c r="AA25" s="1">
        <f t="shared" si="60"/>
        <v>0</v>
      </c>
      <c r="AB25" s="1">
        <f t="shared" si="61"/>
        <v>2.5714285714285716</v>
      </c>
      <c r="AC25" s="1">
        <f t="shared" si="62"/>
        <v>12</v>
      </c>
      <c r="AD25" s="1">
        <f t="shared" si="63"/>
        <v>0</v>
      </c>
      <c r="AE25" s="1">
        <f t="shared" si="64"/>
        <v>2.5714285714285716</v>
      </c>
      <c r="AF25" s="32">
        <v>740</v>
      </c>
      <c r="AH25" s="20"/>
      <c r="AI25" s="8" t="s">
        <v>259</v>
      </c>
      <c r="AJ25" s="22" t="s">
        <v>82</v>
      </c>
      <c r="AK25" s="1">
        <f t="shared" si="65"/>
        <v>0</v>
      </c>
      <c r="AL25" s="1">
        <f t="shared" si="66"/>
        <v>0</v>
      </c>
      <c r="AM25" s="1">
        <f t="shared" si="67"/>
        <v>2.1428571428571428</v>
      </c>
      <c r="AN25" s="1">
        <f t="shared" si="68"/>
        <v>13.714285714285714</v>
      </c>
      <c r="AO25" s="1">
        <f t="shared" si="69"/>
        <v>0</v>
      </c>
      <c r="AP25" s="1">
        <f t="shared" si="70"/>
        <v>3</v>
      </c>
      <c r="AQ25" s="32">
        <v>740</v>
      </c>
    </row>
    <row r="26" spans="1:43" x14ac:dyDescent="0.3">
      <c r="A26" s="21" t="s">
        <v>91</v>
      </c>
      <c r="B26" s="19"/>
      <c r="C26" s="19"/>
      <c r="D26" s="30">
        <f>ROUND((Demon!$B$3 + ((20 / 10) + Demon!$B$3 / 8) * 20) / 2,0)</f>
        <v>38</v>
      </c>
      <c r="E26" s="30">
        <f>ROUND((Demon!$D$3 + (Demon!$D$3 / 4) * 20) /2,0)</f>
        <v>15</v>
      </c>
      <c r="F26" s="30">
        <f>ROUND((Demon!$E$3 + (Demon!$E$3 / 4) * 20) /2,0)</f>
        <v>18</v>
      </c>
      <c r="G26" s="30">
        <f>ROUND((Demon!$F$3 + (Demon!$F$3 / 4) * 20) /2,0)</f>
        <v>21</v>
      </c>
      <c r="H26" s="30">
        <f>ROUND((Demon!$DG$3 + (Demon!$G$3 / 4) * 20) /2,0)</f>
        <v>20</v>
      </c>
      <c r="I26" s="30">
        <f>ROUND((Demon!$H$3 + (Demon!$H$3 / 4) * 20) /2,0)</f>
        <v>18</v>
      </c>
      <c r="J26" s="33">
        <v>5000</v>
      </c>
      <c r="K26" s="31"/>
      <c r="L26" s="21" t="s">
        <v>91</v>
      </c>
      <c r="M26" s="19"/>
      <c r="N26" s="19"/>
      <c r="O26" s="30">
        <f>ROUND((Elf!$B$3 + ((20 / 10) + Elf!$B$3 / 8) * 20) / 2,0)</f>
        <v>34</v>
      </c>
      <c r="P26" s="30">
        <f>ROUND((Elf!$D$3 + (Elf!$D$3 / 4) * 20) /2,0)</f>
        <v>18</v>
      </c>
      <c r="Q26" s="30">
        <f>ROUND((Elf!$E$3 + (Elf!$E$3 / 4) * 20) /2,0)</f>
        <v>21</v>
      </c>
      <c r="R26" s="30">
        <f>ROUND((Elf!$F$3 + (Elf!$F$3 / 4) * 20) /2,0)</f>
        <v>15</v>
      </c>
      <c r="S26" s="30">
        <f>ROUND((Elf!$DG$3 + (Elf!$G$3 / 4) * 20) /2,0)</f>
        <v>15</v>
      </c>
      <c r="T26" s="30">
        <f>ROUND((Elf!$H$3 + (Elf!$H$3 / 4) * 20) /2,0)</f>
        <v>24</v>
      </c>
      <c r="U26" s="33">
        <v>5000</v>
      </c>
      <c r="W26" s="21" t="s">
        <v>91</v>
      </c>
      <c r="X26" s="19"/>
      <c r="Y26" s="19"/>
      <c r="Z26" s="30">
        <f>ROUND((Beastgirl!$B$3 + ((20 / 10) + Beastgirl!$B$3 / 8) * 20) / 2,0)</f>
        <v>45</v>
      </c>
      <c r="AA26" s="30">
        <f>ROUND((Beastgirl!$D$3 + (Beastgirl!$D$3 / 4) * 20) /2,0)</f>
        <v>24</v>
      </c>
      <c r="AB26" s="30">
        <f>ROUND((Beastgirl!$E$3 + (Beastgirl!$E$3 / 4) * 20) /2,0)</f>
        <v>18</v>
      </c>
      <c r="AC26" s="30">
        <f>ROUND((Beastgirl!$F$3 + (Beastgirl!$F$3 / 4) * 20) /2,0)</f>
        <v>21</v>
      </c>
      <c r="AD26" s="30">
        <f>ROUND((Beastgirl!$DG$3 + (Beastgirl!$G$3 / 4) * 20) /2,0)</f>
        <v>13</v>
      </c>
      <c r="AE26" s="30">
        <f>ROUND((Beastgirl!$H$3 + (Beastgirl!$H$3 / 4) * 20) /2,0)</f>
        <v>18</v>
      </c>
      <c r="AF26" s="33">
        <v>5000</v>
      </c>
      <c r="AH26" s="21" t="s">
        <v>91</v>
      </c>
      <c r="AI26" s="19"/>
      <c r="AJ26" s="19"/>
      <c r="AK26" s="30">
        <f>ROUND((Warrior!$B$3 + ((20 / 10) + Warrior!$B$3 / 8) * 20) / 2,0)</f>
        <v>41</v>
      </c>
      <c r="AL26" s="30">
        <f>ROUND((Warrior!$D$3 + (Warrior!$D$3 / 4) * 20) /2,0)</f>
        <v>18</v>
      </c>
      <c r="AM26" s="30">
        <f>ROUND((Warrior!$E$3 + (Warrior!$E$3 / 4) * 20) /2,0)</f>
        <v>15</v>
      </c>
      <c r="AN26" s="30">
        <f>ROUND((Warrior!$F$3 + (Warrior!$F$3 / 4) * 20) /2,0)</f>
        <v>24</v>
      </c>
      <c r="AO26" s="30">
        <f>ROUND((Warrior!$DG$3 + (Warrior!$G$3 / 4) * 20) /2,0)</f>
        <v>15</v>
      </c>
      <c r="AP26" s="30">
        <f>ROUND((Warrior!$H$3 + (Warrior!$H$3 / 4) * 20) /2,0)</f>
        <v>21</v>
      </c>
      <c r="AQ26" s="33">
        <v>5000</v>
      </c>
    </row>
    <row r="27" spans="1:43" x14ac:dyDescent="0.3">
      <c r="A27" s="20"/>
      <c r="B27" s="8" t="s">
        <v>239</v>
      </c>
      <c r="C27" s="8" t="s">
        <v>76</v>
      </c>
      <c r="D27" s="1">
        <f xml:space="preserve"> $D$34 *$B47 / 7</f>
        <v>0</v>
      </c>
      <c r="E27" s="1">
        <f xml:space="preserve"> $E$34 * $C47 / 7</f>
        <v>0</v>
      </c>
      <c r="F27" s="1">
        <f xml:space="preserve"> $F$34 * $D47 / 7</f>
        <v>11.142857142857142</v>
      </c>
      <c r="G27" s="1">
        <f xml:space="preserve"> $G$34 * $E47 / 7</f>
        <v>4.2857142857142856</v>
      </c>
      <c r="H27" s="1">
        <f xml:space="preserve"> $H$34 * $F47/ 7</f>
        <v>0</v>
      </c>
      <c r="I27" s="1">
        <f xml:space="preserve"> $I$34 * $G47 / 7</f>
        <v>7.4285714285714288</v>
      </c>
      <c r="J27" s="32">
        <v>2400</v>
      </c>
      <c r="L27" s="20"/>
      <c r="M27" s="8" t="s">
        <v>239</v>
      </c>
      <c r="N27" s="8" t="s">
        <v>76</v>
      </c>
      <c r="O27" s="1">
        <f xml:space="preserve"> $O$34 *$B47 / 7</f>
        <v>0</v>
      </c>
      <c r="P27" s="1">
        <f xml:space="preserve"> $P$34 * $C47 / 7</f>
        <v>0</v>
      </c>
      <c r="Q27" s="1">
        <f xml:space="preserve"> $Q$34 * $D47 / 7</f>
        <v>12.857142857142858</v>
      </c>
      <c r="R27" s="1">
        <f xml:space="preserve"> $R$34 * $E47 / 7</f>
        <v>3</v>
      </c>
      <c r="S27" s="1">
        <f xml:space="preserve"> $S$34 * $F47/ 7</f>
        <v>0</v>
      </c>
      <c r="T27" s="1">
        <f xml:space="preserve"> $T$34 * $G47 / 7</f>
        <v>9.7142857142857135</v>
      </c>
      <c r="U27" s="32">
        <v>2400</v>
      </c>
      <c r="W27" s="20"/>
      <c r="X27" s="8" t="s">
        <v>239</v>
      </c>
      <c r="Y27" s="8" t="s">
        <v>76</v>
      </c>
      <c r="Z27" s="1">
        <f xml:space="preserve"> $Z$34 *$B47 / 7</f>
        <v>0</v>
      </c>
      <c r="AA27" s="1">
        <f xml:space="preserve"> $AA$34 * $C47 / 7</f>
        <v>0</v>
      </c>
      <c r="AB27" s="1">
        <f xml:space="preserve"> $AB$34 * $D47 / 7</f>
        <v>11.142857142857142</v>
      </c>
      <c r="AC27" s="1">
        <f xml:space="preserve"> $AC$34 * $E47 / 7</f>
        <v>4.2857142857142856</v>
      </c>
      <c r="AD27" s="1">
        <f xml:space="preserve"> $AD$34 * $F47/ 7</f>
        <v>0</v>
      </c>
      <c r="AE27" s="1">
        <f xml:space="preserve"> $AE$34 * $G47 / 7</f>
        <v>7.4285714285714288</v>
      </c>
      <c r="AF27" s="32">
        <v>2400</v>
      </c>
      <c r="AH27" s="20"/>
      <c r="AI27" s="8" t="s">
        <v>239</v>
      </c>
      <c r="AJ27" s="8" t="s">
        <v>76</v>
      </c>
      <c r="AK27" s="1">
        <f xml:space="preserve"> $AK$34 *$B47 / 7</f>
        <v>0</v>
      </c>
      <c r="AL27" s="1">
        <f xml:space="preserve"> $AL$34 * $C47 / 7</f>
        <v>0</v>
      </c>
      <c r="AM27" s="1">
        <f xml:space="preserve"> $AM$34 * $D47 / 7</f>
        <v>9</v>
      </c>
      <c r="AN27" s="1">
        <f xml:space="preserve"> $AN$34 * $E47 / 7</f>
        <v>4.8571428571428568</v>
      </c>
      <c r="AO27" s="1">
        <f xml:space="preserve"> $AO$34 * $F47/ 7</f>
        <v>0</v>
      </c>
      <c r="AP27" s="1">
        <f xml:space="preserve"> $AP$34 * $G47 / 7</f>
        <v>8.5714285714285712</v>
      </c>
      <c r="AQ27" s="32">
        <v>2400</v>
      </c>
    </row>
    <row r="28" spans="1:43" x14ac:dyDescent="0.3">
      <c r="A28" s="20"/>
      <c r="B28" s="8" t="s">
        <v>231</v>
      </c>
      <c r="C28" s="8" t="s">
        <v>77</v>
      </c>
      <c r="D28" s="1">
        <f t="shared" ref="D28:D33" si="71" xml:space="preserve"> $D$34 *$B48 / 7</f>
        <v>29.571428571428573</v>
      </c>
      <c r="E28" s="1">
        <f t="shared" ref="E28:E33" si="72" xml:space="preserve"> $E$34 * $C48 / 7</f>
        <v>6</v>
      </c>
      <c r="F28" s="1">
        <f t="shared" ref="F28:F33" si="73" xml:space="preserve"> $F$34 * $D48 / 7</f>
        <v>0</v>
      </c>
      <c r="G28" s="1">
        <f t="shared" ref="G28:G33" si="74" xml:space="preserve"> $G$34 * $E48 / 7</f>
        <v>4.2857142857142856</v>
      </c>
      <c r="H28" s="1">
        <f t="shared" ref="H28:H33" si="75" xml:space="preserve"> $H$34 * $F48/ 7</f>
        <v>0</v>
      </c>
      <c r="I28" s="1">
        <f t="shared" ref="I28:I33" si="76" xml:space="preserve"> $I$34 * $G48 / 7</f>
        <v>0</v>
      </c>
      <c r="J28" s="32">
        <v>2400</v>
      </c>
      <c r="L28" s="20"/>
      <c r="M28" s="8" t="s">
        <v>231</v>
      </c>
      <c r="N28" s="8" t="s">
        <v>77</v>
      </c>
      <c r="O28" s="1">
        <f t="shared" ref="O28:O33" si="77" xml:space="preserve"> $O$34 *$B48 / 7</f>
        <v>27.428571428571427</v>
      </c>
      <c r="P28" s="1">
        <f t="shared" ref="P28:P33" si="78" xml:space="preserve"> $P$34 * $C48 / 7</f>
        <v>7.4285714285714288</v>
      </c>
      <c r="Q28" s="1">
        <f t="shared" ref="Q28:Q33" si="79" xml:space="preserve"> $Q$34 * $D48 / 7</f>
        <v>0</v>
      </c>
      <c r="R28" s="1">
        <f t="shared" ref="R28:R33" si="80" xml:space="preserve"> $R$34 * $E48 / 7</f>
        <v>3</v>
      </c>
      <c r="S28" s="1">
        <f t="shared" ref="S28:S33" si="81" xml:space="preserve"> $S$34 * $F48/ 7</f>
        <v>0</v>
      </c>
      <c r="T28" s="1">
        <f t="shared" ref="T28:T33" si="82" xml:space="preserve"> $T$34 * $G48 / 7</f>
        <v>0</v>
      </c>
      <c r="U28" s="32">
        <v>2400</v>
      </c>
      <c r="W28" s="20"/>
      <c r="X28" s="8" t="s">
        <v>231</v>
      </c>
      <c r="Y28" s="8" t="s">
        <v>77</v>
      </c>
      <c r="Z28" s="1">
        <f t="shared" ref="Z28:Z33" si="83" xml:space="preserve"> $Z$34 *$B48 / 7</f>
        <v>33.428571428571431</v>
      </c>
      <c r="AA28" s="1">
        <f t="shared" ref="AA28:AA33" si="84" xml:space="preserve"> $AA$34 * $C48 / 7</f>
        <v>9.7142857142857135</v>
      </c>
      <c r="AB28" s="1">
        <f t="shared" ref="AB28:AB33" si="85" xml:space="preserve"> $AB$34 * $D48 / 7</f>
        <v>0</v>
      </c>
      <c r="AC28" s="1">
        <f t="shared" ref="AC28:AC33" si="86" xml:space="preserve"> $AC$34 * $E48 / 7</f>
        <v>4.2857142857142856</v>
      </c>
      <c r="AD28" s="1">
        <f t="shared" ref="AD28:AD33" si="87" xml:space="preserve"> $AD$34 * $F48/ 7</f>
        <v>0</v>
      </c>
      <c r="AE28" s="1">
        <f t="shared" ref="AE28:AE33" si="88" xml:space="preserve"> $AE$34 * $G48 / 7</f>
        <v>0</v>
      </c>
      <c r="AF28" s="32">
        <v>2400</v>
      </c>
      <c r="AH28" s="20"/>
      <c r="AI28" s="8" t="s">
        <v>231</v>
      </c>
      <c r="AJ28" s="8" t="s">
        <v>77</v>
      </c>
      <c r="AK28" s="1">
        <f t="shared" ref="AK28:AK33" si="89" xml:space="preserve"> $AK$34 *$B48 / 7</f>
        <v>31.714285714285715</v>
      </c>
      <c r="AL28" s="1">
        <f t="shared" ref="AL28:AL33" si="90" xml:space="preserve"> $AL$34 * $C48 / 7</f>
        <v>7.4285714285714288</v>
      </c>
      <c r="AM28" s="1">
        <f t="shared" ref="AM28:AM33" si="91" xml:space="preserve"> $AM$34 * $D48 / 7</f>
        <v>0</v>
      </c>
      <c r="AN28" s="1">
        <f t="shared" ref="AN28:AN33" si="92" xml:space="preserve"> $AN$34 * $E48 / 7</f>
        <v>4.8571428571428568</v>
      </c>
      <c r="AO28" s="1">
        <f t="shared" ref="AO28:AO33" si="93" xml:space="preserve"> $AO$34 * $F48/ 7</f>
        <v>0</v>
      </c>
      <c r="AP28" s="1">
        <f t="shared" ref="AP28:AP33" si="94" xml:space="preserve"> $AP$34 * $G48 / 7</f>
        <v>0</v>
      </c>
      <c r="AQ28" s="32">
        <v>2400</v>
      </c>
    </row>
    <row r="29" spans="1:43" x14ac:dyDescent="0.3">
      <c r="A29" s="20"/>
      <c r="B29" s="8" t="s">
        <v>232</v>
      </c>
      <c r="C29" s="8" t="s">
        <v>78</v>
      </c>
      <c r="D29" s="1">
        <f t="shared" si="71"/>
        <v>19.714285714285715</v>
      </c>
      <c r="E29" s="1">
        <f t="shared" si="72"/>
        <v>0</v>
      </c>
      <c r="F29" s="1">
        <f t="shared" si="73"/>
        <v>3.7142857142857144</v>
      </c>
      <c r="G29" s="1">
        <f t="shared" si="74"/>
        <v>0</v>
      </c>
      <c r="H29" s="1">
        <f t="shared" si="75"/>
        <v>14.571428571428571</v>
      </c>
      <c r="I29" s="1">
        <f t="shared" si="76"/>
        <v>0</v>
      </c>
      <c r="J29" s="32">
        <v>2100</v>
      </c>
      <c r="L29" s="20"/>
      <c r="M29" s="8" t="s">
        <v>232</v>
      </c>
      <c r="N29" s="8" t="s">
        <v>78</v>
      </c>
      <c r="O29" s="1">
        <f t="shared" si="77"/>
        <v>18.285714285714285</v>
      </c>
      <c r="P29" s="1">
        <f t="shared" si="78"/>
        <v>0</v>
      </c>
      <c r="Q29" s="1">
        <f t="shared" si="79"/>
        <v>4.2857142857142856</v>
      </c>
      <c r="R29" s="1">
        <f t="shared" si="80"/>
        <v>0</v>
      </c>
      <c r="S29" s="1">
        <f t="shared" si="81"/>
        <v>11.142857142857142</v>
      </c>
      <c r="T29" s="1">
        <f t="shared" si="82"/>
        <v>0</v>
      </c>
      <c r="U29" s="32">
        <v>2100</v>
      </c>
      <c r="W29" s="20"/>
      <c r="X29" s="8" t="s">
        <v>232</v>
      </c>
      <c r="Y29" s="8" t="s">
        <v>78</v>
      </c>
      <c r="Z29" s="1">
        <f t="shared" si="83"/>
        <v>22.285714285714285</v>
      </c>
      <c r="AA29" s="1">
        <f t="shared" si="84"/>
        <v>0</v>
      </c>
      <c r="AB29" s="1">
        <f t="shared" si="85"/>
        <v>3.7142857142857144</v>
      </c>
      <c r="AC29" s="1">
        <f t="shared" si="86"/>
        <v>0</v>
      </c>
      <c r="AD29" s="1">
        <f t="shared" si="87"/>
        <v>9</v>
      </c>
      <c r="AE29" s="1">
        <f t="shared" si="88"/>
        <v>0</v>
      </c>
      <c r="AF29" s="32">
        <v>2100</v>
      </c>
      <c r="AH29" s="20"/>
      <c r="AI29" s="8" t="s">
        <v>232</v>
      </c>
      <c r="AJ29" s="8" t="s">
        <v>78</v>
      </c>
      <c r="AK29" s="1">
        <f t="shared" si="89"/>
        <v>21.142857142857142</v>
      </c>
      <c r="AL29" s="1">
        <f t="shared" si="90"/>
        <v>0</v>
      </c>
      <c r="AM29" s="1">
        <f t="shared" si="91"/>
        <v>3</v>
      </c>
      <c r="AN29" s="1">
        <f t="shared" si="92"/>
        <v>0</v>
      </c>
      <c r="AO29" s="1">
        <f t="shared" si="93"/>
        <v>11.142857142857142</v>
      </c>
      <c r="AP29" s="1">
        <f t="shared" si="94"/>
        <v>0</v>
      </c>
      <c r="AQ29" s="32">
        <v>2100</v>
      </c>
    </row>
    <row r="30" spans="1:43" x14ac:dyDescent="0.3">
      <c r="A30" s="20" t="s">
        <v>85</v>
      </c>
      <c r="B30" s="8" t="s">
        <v>233</v>
      </c>
      <c r="C30" s="8" t="s">
        <v>79</v>
      </c>
      <c r="D30" s="1">
        <f t="shared" si="71"/>
        <v>0</v>
      </c>
      <c r="E30" s="1">
        <f t="shared" si="72"/>
        <v>6</v>
      </c>
      <c r="F30" s="1">
        <f t="shared" si="73"/>
        <v>7.4285714285714288</v>
      </c>
      <c r="G30" s="1">
        <f t="shared" si="74"/>
        <v>0</v>
      </c>
      <c r="H30" s="1">
        <f t="shared" si="75"/>
        <v>0</v>
      </c>
      <c r="I30" s="1">
        <f t="shared" si="76"/>
        <v>7.4285714285714288</v>
      </c>
      <c r="J30" s="32">
        <v>2100</v>
      </c>
      <c r="L30" s="20" t="s">
        <v>85</v>
      </c>
      <c r="M30" s="8" t="s">
        <v>233</v>
      </c>
      <c r="N30" s="8" t="s">
        <v>79</v>
      </c>
      <c r="O30" s="1">
        <f t="shared" si="77"/>
        <v>0</v>
      </c>
      <c r="P30" s="1">
        <f t="shared" si="78"/>
        <v>7.4285714285714288</v>
      </c>
      <c r="Q30" s="1">
        <f t="shared" si="79"/>
        <v>8.5714285714285712</v>
      </c>
      <c r="R30" s="1">
        <f t="shared" si="80"/>
        <v>0</v>
      </c>
      <c r="S30" s="1">
        <f t="shared" si="81"/>
        <v>0</v>
      </c>
      <c r="T30" s="1">
        <f t="shared" si="82"/>
        <v>9.7142857142857135</v>
      </c>
      <c r="U30" s="32">
        <v>2100</v>
      </c>
      <c r="W30" s="20" t="s">
        <v>85</v>
      </c>
      <c r="X30" s="8" t="s">
        <v>233</v>
      </c>
      <c r="Y30" s="8" t="s">
        <v>79</v>
      </c>
      <c r="Z30" s="1">
        <f t="shared" si="83"/>
        <v>0</v>
      </c>
      <c r="AA30" s="1">
        <f t="shared" si="84"/>
        <v>9.7142857142857135</v>
      </c>
      <c r="AB30" s="1">
        <f t="shared" si="85"/>
        <v>7.4285714285714288</v>
      </c>
      <c r="AC30" s="1">
        <f t="shared" si="86"/>
        <v>0</v>
      </c>
      <c r="AD30" s="1">
        <f t="shared" si="87"/>
        <v>0</v>
      </c>
      <c r="AE30" s="1">
        <f t="shared" si="88"/>
        <v>7.4285714285714288</v>
      </c>
      <c r="AF30" s="32">
        <v>2100</v>
      </c>
      <c r="AH30" s="20" t="s">
        <v>85</v>
      </c>
      <c r="AI30" s="8" t="s">
        <v>233</v>
      </c>
      <c r="AJ30" s="8" t="s">
        <v>79</v>
      </c>
      <c r="AK30" s="1">
        <f t="shared" si="89"/>
        <v>0</v>
      </c>
      <c r="AL30" s="1">
        <f t="shared" si="90"/>
        <v>7.4285714285714288</v>
      </c>
      <c r="AM30" s="1">
        <f t="shared" si="91"/>
        <v>6</v>
      </c>
      <c r="AN30" s="1">
        <f t="shared" si="92"/>
        <v>0</v>
      </c>
      <c r="AO30" s="1">
        <f t="shared" si="93"/>
        <v>0</v>
      </c>
      <c r="AP30" s="1">
        <f t="shared" si="94"/>
        <v>8.5714285714285712</v>
      </c>
      <c r="AQ30" s="32">
        <v>2100</v>
      </c>
    </row>
    <row r="31" spans="1:43" x14ac:dyDescent="0.3">
      <c r="A31" s="20"/>
      <c r="B31" s="8" t="s">
        <v>234</v>
      </c>
      <c r="C31" s="8" t="s">
        <v>80</v>
      </c>
      <c r="D31" s="1">
        <f t="shared" si="71"/>
        <v>0</v>
      </c>
      <c r="E31" s="1">
        <f t="shared" si="72"/>
        <v>0</v>
      </c>
      <c r="F31" s="1">
        <f t="shared" si="73"/>
        <v>0</v>
      </c>
      <c r="G31" s="1">
        <f t="shared" si="74"/>
        <v>4.2857142857142856</v>
      </c>
      <c r="H31" s="1">
        <f t="shared" si="75"/>
        <v>14.571428571428571</v>
      </c>
      <c r="I31" s="1">
        <f t="shared" si="76"/>
        <v>7.4285714285714288</v>
      </c>
      <c r="J31" s="32">
        <v>1800</v>
      </c>
      <c r="L31" s="20"/>
      <c r="M31" s="8" t="s">
        <v>234</v>
      </c>
      <c r="N31" s="8" t="s">
        <v>80</v>
      </c>
      <c r="O31" s="1">
        <f t="shared" si="77"/>
        <v>0</v>
      </c>
      <c r="P31" s="1">
        <f t="shared" si="78"/>
        <v>0</v>
      </c>
      <c r="Q31" s="1">
        <f t="shared" si="79"/>
        <v>0</v>
      </c>
      <c r="R31" s="1">
        <f t="shared" si="80"/>
        <v>3</v>
      </c>
      <c r="S31" s="1">
        <f t="shared" si="81"/>
        <v>11.142857142857142</v>
      </c>
      <c r="T31" s="1">
        <f t="shared" si="82"/>
        <v>9.7142857142857135</v>
      </c>
      <c r="U31" s="32">
        <v>1800</v>
      </c>
      <c r="W31" s="20"/>
      <c r="X31" s="8" t="s">
        <v>234</v>
      </c>
      <c r="Y31" s="8" t="s">
        <v>80</v>
      </c>
      <c r="Z31" s="1">
        <f t="shared" si="83"/>
        <v>0</v>
      </c>
      <c r="AA31" s="1">
        <f t="shared" si="84"/>
        <v>0</v>
      </c>
      <c r="AB31" s="1">
        <f t="shared" si="85"/>
        <v>0</v>
      </c>
      <c r="AC31" s="1">
        <f t="shared" si="86"/>
        <v>4.2857142857142856</v>
      </c>
      <c r="AD31" s="1">
        <f t="shared" si="87"/>
        <v>9</v>
      </c>
      <c r="AE31" s="1">
        <f t="shared" si="88"/>
        <v>7.4285714285714288</v>
      </c>
      <c r="AF31" s="32">
        <v>1800</v>
      </c>
      <c r="AH31" s="20"/>
      <c r="AI31" s="8" t="s">
        <v>234</v>
      </c>
      <c r="AJ31" s="8" t="s">
        <v>80</v>
      </c>
      <c r="AK31" s="1">
        <f t="shared" si="89"/>
        <v>0</v>
      </c>
      <c r="AL31" s="1">
        <f t="shared" si="90"/>
        <v>0</v>
      </c>
      <c r="AM31" s="1">
        <f t="shared" si="91"/>
        <v>0</v>
      </c>
      <c r="AN31" s="1">
        <f t="shared" si="92"/>
        <v>4.8571428571428568</v>
      </c>
      <c r="AO31" s="1">
        <f t="shared" si="93"/>
        <v>11.142857142857142</v>
      </c>
      <c r="AP31" s="1">
        <f t="shared" si="94"/>
        <v>8.5714285714285712</v>
      </c>
      <c r="AQ31" s="32">
        <v>1800</v>
      </c>
    </row>
    <row r="32" spans="1:43" x14ac:dyDescent="0.3">
      <c r="A32" s="20"/>
      <c r="B32" s="8" t="s">
        <v>235</v>
      </c>
      <c r="C32" s="8" t="s">
        <v>81</v>
      </c>
      <c r="D32" s="1">
        <f t="shared" si="71"/>
        <v>19.714285714285715</v>
      </c>
      <c r="E32" s="1">
        <f t="shared" si="72"/>
        <v>9</v>
      </c>
      <c r="F32" s="1">
        <f t="shared" si="73"/>
        <v>0</v>
      </c>
      <c r="G32" s="1">
        <f t="shared" si="74"/>
        <v>0</v>
      </c>
      <c r="H32" s="1">
        <f t="shared" si="75"/>
        <v>4.8571428571428568</v>
      </c>
      <c r="I32" s="1">
        <f t="shared" si="76"/>
        <v>0</v>
      </c>
      <c r="J32" s="32">
        <v>1800</v>
      </c>
      <c r="L32" s="20"/>
      <c r="M32" s="8" t="s">
        <v>235</v>
      </c>
      <c r="N32" s="8" t="s">
        <v>81</v>
      </c>
      <c r="O32" s="1">
        <f t="shared" si="77"/>
        <v>18.285714285714285</v>
      </c>
      <c r="P32" s="1">
        <f t="shared" si="78"/>
        <v>11.142857142857142</v>
      </c>
      <c r="Q32" s="1">
        <f t="shared" si="79"/>
        <v>0</v>
      </c>
      <c r="R32" s="1">
        <f t="shared" si="80"/>
        <v>0</v>
      </c>
      <c r="S32" s="1">
        <f t="shared" si="81"/>
        <v>3.7142857142857144</v>
      </c>
      <c r="T32" s="1">
        <f t="shared" si="82"/>
        <v>0</v>
      </c>
      <c r="U32" s="32">
        <v>1800</v>
      </c>
      <c r="W32" s="20"/>
      <c r="X32" s="8" t="s">
        <v>235</v>
      </c>
      <c r="Y32" s="8" t="s">
        <v>81</v>
      </c>
      <c r="Z32" s="1">
        <f t="shared" si="83"/>
        <v>22.285714285714285</v>
      </c>
      <c r="AA32" s="1">
        <f t="shared" si="84"/>
        <v>14.571428571428571</v>
      </c>
      <c r="AB32" s="1">
        <f t="shared" si="85"/>
        <v>0</v>
      </c>
      <c r="AC32" s="1">
        <f t="shared" si="86"/>
        <v>0</v>
      </c>
      <c r="AD32" s="1">
        <f t="shared" si="87"/>
        <v>3</v>
      </c>
      <c r="AE32" s="1">
        <f t="shared" si="88"/>
        <v>0</v>
      </c>
      <c r="AF32" s="32">
        <v>1800</v>
      </c>
      <c r="AH32" s="20"/>
      <c r="AI32" s="8" t="s">
        <v>235</v>
      </c>
      <c r="AJ32" s="8" t="s">
        <v>81</v>
      </c>
      <c r="AK32" s="1">
        <f t="shared" si="89"/>
        <v>21.142857142857142</v>
      </c>
      <c r="AL32" s="1">
        <f t="shared" si="90"/>
        <v>11.142857142857142</v>
      </c>
      <c r="AM32" s="1">
        <f t="shared" si="91"/>
        <v>0</v>
      </c>
      <c r="AN32" s="1">
        <f t="shared" si="92"/>
        <v>0</v>
      </c>
      <c r="AO32" s="1">
        <f t="shared" si="93"/>
        <v>3.7142857142857144</v>
      </c>
      <c r="AP32" s="1">
        <f t="shared" si="94"/>
        <v>0</v>
      </c>
      <c r="AQ32" s="32">
        <v>1800</v>
      </c>
    </row>
    <row r="33" spans="1:43" x14ac:dyDescent="0.3">
      <c r="A33" s="20"/>
      <c r="B33" s="22" t="s">
        <v>248</v>
      </c>
      <c r="C33" s="22" t="s">
        <v>82</v>
      </c>
      <c r="D33" s="1">
        <f t="shared" si="71"/>
        <v>0</v>
      </c>
      <c r="E33" s="1">
        <f t="shared" si="72"/>
        <v>0</v>
      </c>
      <c r="F33" s="1">
        <f t="shared" si="73"/>
        <v>3.7142857142857144</v>
      </c>
      <c r="G33" s="1">
        <f t="shared" si="74"/>
        <v>17.142857142857142</v>
      </c>
      <c r="H33" s="1">
        <f t="shared" si="75"/>
        <v>0</v>
      </c>
      <c r="I33" s="1">
        <f t="shared" si="76"/>
        <v>3.7142857142857144</v>
      </c>
      <c r="J33" s="32">
        <v>2400</v>
      </c>
      <c r="L33" s="20"/>
      <c r="M33" s="29" t="s">
        <v>258</v>
      </c>
      <c r="N33" s="22" t="s">
        <v>82</v>
      </c>
      <c r="O33" s="1">
        <f t="shared" si="77"/>
        <v>0</v>
      </c>
      <c r="P33" s="1">
        <f t="shared" si="78"/>
        <v>0</v>
      </c>
      <c r="Q33" s="1">
        <f t="shared" si="79"/>
        <v>4.2857142857142856</v>
      </c>
      <c r="R33" s="1">
        <f t="shared" si="80"/>
        <v>12</v>
      </c>
      <c r="S33" s="1">
        <f t="shared" si="81"/>
        <v>0</v>
      </c>
      <c r="T33" s="1">
        <f t="shared" si="82"/>
        <v>4.8571428571428568</v>
      </c>
      <c r="U33" s="32">
        <v>2400</v>
      </c>
      <c r="W33" s="20"/>
      <c r="X33" s="29" t="s">
        <v>256</v>
      </c>
      <c r="Y33" s="22" t="s">
        <v>82</v>
      </c>
      <c r="Z33" s="1">
        <f t="shared" si="83"/>
        <v>0</v>
      </c>
      <c r="AA33" s="1">
        <f t="shared" si="84"/>
        <v>0</v>
      </c>
      <c r="AB33" s="1">
        <f t="shared" si="85"/>
        <v>3.7142857142857144</v>
      </c>
      <c r="AC33" s="1">
        <f t="shared" si="86"/>
        <v>17.142857142857142</v>
      </c>
      <c r="AD33" s="1">
        <f t="shared" si="87"/>
        <v>0</v>
      </c>
      <c r="AE33" s="1">
        <f t="shared" si="88"/>
        <v>3.7142857142857144</v>
      </c>
      <c r="AF33" s="32">
        <v>2400</v>
      </c>
      <c r="AH33" s="20"/>
      <c r="AI33" s="8" t="s">
        <v>260</v>
      </c>
      <c r="AJ33" s="22" t="s">
        <v>82</v>
      </c>
      <c r="AK33" s="1">
        <f t="shared" si="89"/>
        <v>0</v>
      </c>
      <c r="AL33" s="1">
        <f t="shared" si="90"/>
        <v>0</v>
      </c>
      <c r="AM33" s="1">
        <f t="shared" si="91"/>
        <v>3</v>
      </c>
      <c r="AN33" s="1">
        <f t="shared" si="92"/>
        <v>19.428571428571427</v>
      </c>
      <c r="AO33" s="1">
        <f t="shared" si="93"/>
        <v>0</v>
      </c>
      <c r="AP33" s="1">
        <f t="shared" si="94"/>
        <v>4.2857142857142856</v>
      </c>
      <c r="AQ33" s="32">
        <v>2400</v>
      </c>
    </row>
    <row r="34" spans="1:43" x14ac:dyDescent="0.3">
      <c r="A34" s="21" t="s">
        <v>91</v>
      </c>
      <c r="B34" s="19"/>
      <c r="C34" s="19"/>
      <c r="D34" s="30">
        <f>ROUND((Demon!$B$3 + ((30 / 10) + Demon!$B$3 / 8) * 30) / 2,0)</f>
        <v>69</v>
      </c>
      <c r="E34" s="30">
        <f>ROUND((Demon!$D$3 + (Demon!$D$3 / 4) * 30) /2,0)</f>
        <v>21</v>
      </c>
      <c r="F34" s="30">
        <f>ROUND((Demon!$E$3 + (Demon!$E$3 / 4) * 30) /2,0)</f>
        <v>26</v>
      </c>
      <c r="G34" s="30">
        <f>ROUND((Demon!$F$3 + (Demon!$F$3 / 4) * 30) /2,0)</f>
        <v>30</v>
      </c>
      <c r="H34" s="30">
        <f>ROUND((Demon!$G$3 + (Demon!$G$3 / 4) * 30) /2,0)</f>
        <v>34</v>
      </c>
      <c r="I34" s="30">
        <f>ROUND((Demon!$H$3 + (Demon!$H$3 / 4) * 30) /2,0)</f>
        <v>26</v>
      </c>
      <c r="J34" s="33">
        <v>15000</v>
      </c>
      <c r="K34" s="31"/>
      <c r="L34" s="21" t="s">
        <v>91</v>
      </c>
      <c r="M34" s="19"/>
      <c r="N34" s="19"/>
      <c r="O34" s="30">
        <f>ROUND((Elf!$B$3 + ((30 / 10) + Elf!$B$3 / 8) * 30) / 2,0)</f>
        <v>64</v>
      </c>
      <c r="P34" s="30">
        <f>ROUND((Elf!$D$3 + (Elf!$D$3 / 4) * 30) /2,0)</f>
        <v>26</v>
      </c>
      <c r="Q34" s="30">
        <f>ROUND((Elf!$E$3 + (Elf!$E$3 / 4) * 30) /2,0)</f>
        <v>30</v>
      </c>
      <c r="R34" s="30">
        <f>ROUND((Elf!$F$3 + (Elf!$F$3 / 4) * 30) /2,0)</f>
        <v>21</v>
      </c>
      <c r="S34" s="30">
        <f>ROUND((Elf!$G$3 + (Elf!$G$3 / 4) * 30) /2,0)</f>
        <v>26</v>
      </c>
      <c r="T34" s="30">
        <f>ROUND((Elf!$H$3 + (Elf!$H$3 / 4) * 30) /2,0)</f>
        <v>34</v>
      </c>
      <c r="U34" s="33">
        <v>15000</v>
      </c>
      <c r="W34" s="21" t="s">
        <v>91</v>
      </c>
      <c r="X34" s="19"/>
      <c r="Y34" s="19"/>
      <c r="Z34" s="30">
        <f>ROUND((Beastgirl!$B$3 + ((30 / 10) + Beastgirl!$B$3 / 8) * 30) / 2,0)</f>
        <v>78</v>
      </c>
      <c r="AA34" s="30">
        <f>ROUND((Beastgirl!$D$3 + (Beastgirl!$D$3 / 4) * 30) /2,0)</f>
        <v>34</v>
      </c>
      <c r="AB34" s="30">
        <f>ROUND((Beastgirl!$E$3 + (Beastgirl!$E$3 / 4) * 30) /2,0)</f>
        <v>26</v>
      </c>
      <c r="AC34" s="30">
        <f>ROUND((Beastgirl!$F$3 + (Beastgirl!$F$3 / 4) * 30) /2,0)</f>
        <v>30</v>
      </c>
      <c r="AD34" s="30">
        <f>ROUND((Beastgirl!$G$3 + (Beastgirl!$G$3 / 4) * 30) /2,0)</f>
        <v>21</v>
      </c>
      <c r="AE34" s="30">
        <f>ROUND((Beastgirl!$H$3 + (Beastgirl!$H$3 / 4) * 30) /2,0)</f>
        <v>26</v>
      </c>
      <c r="AF34" s="33">
        <v>15000</v>
      </c>
      <c r="AH34" s="21" t="s">
        <v>91</v>
      </c>
      <c r="AI34" s="19"/>
      <c r="AJ34" s="19"/>
      <c r="AK34" s="30">
        <f>ROUND((Warrior!$B$3 + ((30 / 10) + Warrior!$B$3 / 8) * 30) / 2,0)</f>
        <v>74</v>
      </c>
      <c r="AL34" s="30">
        <f>ROUND((Warrior!$D$3 + (Warrior!$D$3 / 4) * 30) /2,0)</f>
        <v>26</v>
      </c>
      <c r="AM34" s="30">
        <f>ROUND((Warrior!$E$3 + (Warrior!$E$3 / 4) * 30) /2,0)</f>
        <v>21</v>
      </c>
      <c r="AN34" s="30">
        <f>ROUND((Warrior!$F$3 + (Warrior!$F$3 / 4) * 30) /2,0)</f>
        <v>34</v>
      </c>
      <c r="AO34" s="30">
        <f>ROUND((Warrior!$G$3 + (Warrior!$G$3 / 4) * 30) /2,0)</f>
        <v>26</v>
      </c>
      <c r="AP34" s="30">
        <f>ROUND((Warrior!$H$3 + (Warrior!$H$3 / 4) * 30) /2,0)</f>
        <v>30</v>
      </c>
      <c r="AQ34" s="33">
        <v>15000</v>
      </c>
    </row>
    <row r="35" spans="1:43" x14ac:dyDescent="0.3">
      <c r="A35" s="20"/>
      <c r="B35" s="8" t="s">
        <v>238</v>
      </c>
      <c r="C35" s="8" t="s">
        <v>76</v>
      </c>
      <c r="D35" s="1">
        <f xml:space="preserve"> $D$42 *$B47 / 7</f>
        <v>0</v>
      </c>
      <c r="E35" s="1">
        <f xml:space="preserve"> $E$42 * $C47/ 7</f>
        <v>0</v>
      </c>
      <c r="F35" s="1">
        <f xml:space="preserve"> $F$42 * $D47 / 7</f>
        <v>14.142857142857142</v>
      </c>
      <c r="G35" s="1">
        <f xml:space="preserve"> $G$42 * $E47 / 7</f>
        <v>5.5714285714285712</v>
      </c>
      <c r="H35" s="1">
        <f xml:space="preserve"> $H$42 * $F47 / 7</f>
        <v>0</v>
      </c>
      <c r="I35" s="1">
        <f xml:space="preserve"> $I$42 * $G47 / 7</f>
        <v>9.4285714285714288</v>
      </c>
      <c r="J35" s="32">
        <v>7100</v>
      </c>
      <c r="L35" s="20"/>
      <c r="M35" s="8" t="s">
        <v>238</v>
      </c>
      <c r="N35" s="8" t="s">
        <v>76</v>
      </c>
      <c r="O35" s="1">
        <f xml:space="preserve"> $O$42 *$B47 / 7</f>
        <v>0</v>
      </c>
      <c r="P35" s="1">
        <f xml:space="preserve"> $P$42 * $C47/ 7</f>
        <v>0</v>
      </c>
      <c r="Q35" s="1">
        <f xml:space="preserve"> $Q$42 * $D47 / 7</f>
        <v>16.714285714285715</v>
      </c>
      <c r="R35" s="1">
        <f xml:space="preserve"> $R$42 * $E47 / 7</f>
        <v>4</v>
      </c>
      <c r="S35" s="1">
        <f xml:space="preserve"> $S$42 * $F47 / 7</f>
        <v>0</v>
      </c>
      <c r="T35" s="1">
        <f xml:space="preserve"> $T$42 * $G47 / 7</f>
        <v>12.571428571428571</v>
      </c>
      <c r="U35" s="32">
        <v>7100</v>
      </c>
      <c r="W35" s="20"/>
      <c r="X35" s="8" t="s">
        <v>238</v>
      </c>
      <c r="Y35" s="8" t="s">
        <v>76</v>
      </c>
      <c r="Z35" s="1">
        <f xml:space="preserve"> $Z$42 *$B47 / 7</f>
        <v>0</v>
      </c>
      <c r="AA35" s="1">
        <f xml:space="preserve"> $AA$42 * $C47/ 7</f>
        <v>0</v>
      </c>
      <c r="AB35" s="1">
        <f xml:space="preserve"> $AB$42 * $D47 / 7</f>
        <v>14.142857142857142</v>
      </c>
      <c r="AC35" s="1">
        <f xml:space="preserve"> $AC$42 * $E47 / 7</f>
        <v>5.5714285714285712</v>
      </c>
      <c r="AD35" s="1">
        <f xml:space="preserve"> $AD$42 * $F47 / 7</f>
        <v>0</v>
      </c>
      <c r="AE35" s="1">
        <f xml:space="preserve"> $AE$42 * $G47 / 7</f>
        <v>9.4285714285714288</v>
      </c>
      <c r="AF35" s="32">
        <v>7100</v>
      </c>
      <c r="AH35" s="20"/>
      <c r="AI35" s="8" t="s">
        <v>238</v>
      </c>
      <c r="AJ35" s="8" t="s">
        <v>76</v>
      </c>
      <c r="AK35" s="1">
        <f xml:space="preserve"> $AK$42 *$B47 / 7</f>
        <v>0</v>
      </c>
      <c r="AL35" s="1">
        <f xml:space="preserve"> $AL$42 * $C47/ 7</f>
        <v>0</v>
      </c>
      <c r="AM35" s="1">
        <f xml:space="preserve"> $AM$42 * $D47 / 7</f>
        <v>12</v>
      </c>
      <c r="AN35" s="1">
        <f xml:space="preserve"> $AN$42 * $E47 / 7</f>
        <v>6.2857142857142856</v>
      </c>
      <c r="AO35" s="1">
        <f xml:space="preserve"> $AO$42 * $F47 / 7</f>
        <v>0</v>
      </c>
      <c r="AP35" s="1">
        <f xml:space="preserve"> $AP$42 * $G47 / 7</f>
        <v>11.142857142857142</v>
      </c>
      <c r="AQ35" s="32">
        <v>7100</v>
      </c>
    </row>
    <row r="36" spans="1:43" x14ac:dyDescent="0.3">
      <c r="A36" s="20"/>
      <c r="B36" s="8" t="s">
        <v>236</v>
      </c>
      <c r="C36" s="8" t="s">
        <v>77</v>
      </c>
      <c r="D36" s="1">
        <f t="shared" ref="D36:D41" si="95" xml:space="preserve"> $D$42 *$B48 / 7</f>
        <v>47.142857142857146</v>
      </c>
      <c r="E36" s="1">
        <f t="shared" ref="E36:E41" si="96" xml:space="preserve"> $E$42 * $C48/ 7</f>
        <v>8</v>
      </c>
      <c r="F36" s="1">
        <f t="shared" ref="F36:F41" si="97" xml:space="preserve"> $F$42 * $D48 / 7</f>
        <v>0</v>
      </c>
      <c r="G36" s="1">
        <f t="shared" ref="G36:G41" si="98" xml:space="preserve"> $G$42 * $E48 / 7</f>
        <v>5.5714285714285712</v>
      </c>
      <c r="H36" s="1">
        <f t="shared" ref="H36:H41" si="99" xml:space="preserve"> $H$42 * $F48 / 7</f>
        <v>0</v>
      </c>
      <c r="I36" s="1">
        <f t="shared" ref="I36:I41" si="100" xml:space="preserve"> $I$42 * $G48 / 7</f>
        <v>0</v>
      </c>
      <c r="J36" s="32">
        <v>7500</v>
      </c>
      <c r="L36" s="20"/>
      <c r="M36" s="8" t="s">
        <v>236</v>
      </c>
      <c r="N36" s="8" t="s">
        <v>77</v>
      </c>
      <c r="O36" s="1">
        <f t="shared" ref="O36:O41" si="101" xml:space="preserve"> $O$42 *$B48 / 7</f>
        <v>44.571428571428569</v>
      </c>
      <c r="P36" s="1">
        <f t="shared" ref="P36:P41" si="102" xml:space="preserve"> $P$42 * $C48/ 7</f>
        <v>9.4285714285714288</v>
      </c>
      <c r="Q36" s="1">
        <f t="shared" ref="Q36:Q41" si="103" xml:space="preserve"> $Q$42 * $D48 / 7</f>
        <v>0</v>
      </c>
      <c r="R36" s="1">
        <f t="shared" ref="R36:R41" si="104" xml:space="preserve"> $R$42 * $E48 / 7</f>
        <v>4</v>
      </c>
      <c r="S36" s="1">
        <f t="shared" ref="S36:S41" si="105" xml:space="preserve"> $S$42 * $F48 / 7</f>
        <v>0</v>
      </c>
      <c r="T36" s="1">
        <f t="shared" ref="T36:T41" si="106" xml:space="preserve"> $T$42 * $G48 / 7</f>
        <v>0</v>
      </c>
      <c r="U36" s="32">
        <v>7500</v>
      </c>
      <c r="W36" s="20"/>
      <c r="X36" s="8" t="s">
        <v>236</v>
      </c>
      <c r="Y36" s="8" t="s">
        <v>77</v>
      </c>
      <c r="Z36" s="1">
        <f t="shared" ref="Z36:Z41" si="107" xml:space="preserve"> $Z$42 *$B48 / 7</f>
        <v>52.285714285714285</v>
      </c>
      <c r="AA36" s="1">
        <f t="shared" ref="AA36:AA41" si="108" xml:space="preserve"> $AA$42 * $C48/ 7</f>
        <v>12.571428571428571</v>
      </c>
      <c r="AB36" s="1">
        <f t="shared" ref="AB36:AB41" si="109" xml:space="preserve"> $AB$42 * $D48 / 7</f>
        <v>0</v>
      </c>
      <c r="AC36" s="1">
        <f t="shared" ref="AC36:AC41" si="110" xml:space="preserve"> $AC$42 * $E48 / 7</f>
        <v>5.5714285714285712</v>
      </c>
      <c r="AD36" s="1">
        <f t="shared" ref="AD36:AD41" si="111" xml:space="preserve"> $AD$42 * $F48 / 7</f>
        <v>0</v>
      </c>
      <c r="AE36" s="1">
        <f t="shared" ref="AE36:AE41" si="112" xml:space="preserve"> $AE$42 * $G48 / 7</f>
        <v>0</v>
      </c>
      <c r="AF36" s="32">
        <v>7500</v>
      </c>
      <c r="AH36" s="20"/>
      <c r="AI36" s="8" t="s">
        <v>236</v>
      </c>
      <c r="AJ36" s="8" t="s">
        <v>77</v>
      </c>
      <c r="AK36" s="1">
        <f t="shared" ref="AK36:AK41" si="113" xml:space="preserve"> $AK$42 *$B48 / 7</f>
        <v>49.714285714285715</v>
      </c>
      <c r="AL36" s="1">
        <f t="shared" ref="AL36:AL41" si="114" xml:space="preserve"> $AL$42 * $C48/ 7</f>
        <v>9.4285714285714288</v>
      </c>
      <c r="AM36" s="1">
        <f t="shared" ref="AM36:AM41" si="115" xml:space="preserve"> $AM$42 * $D48 / 7</f>
        <v>0</v>
      </c>
      <c r="AN36" s="1">
        <f t="shared" ref="AN36:AN41" si="116" xml:space="preserve"> $AN$42 * $E48 / 7</f>
        <v>6.2857142857142856</v>
      </c>
      <c r="AO36" s="1">
        <f t="shared" ref="AO36:AO41" si="117" xml:space="preserve"> $AO$42 * $F48 / 7</f>
        <v>0</v>
      </c>
      <c r="AP36" s="1">
        <f t="shared" ref="AP36:AP41" si="118" xml:space="preserve"> $AP$42 * $G48 / 7</f>
        <v>0</v>
      </c>
      <c r="AQ36" s="32">
        <v>7500</v>
      </c>
    </row>
    <row r="37" spans="1:43" x14ac:dyDescent="0.3">
      <c r="A37" s="20"/>
      <c r="B37" s="8" t="s">
        <v>240</v>
      </c>
      <c r="C37" s="8" t="s">
        <v>78</v>
      </c>
      <c r="D37" s="1">
        <f t="shared" si="95"/>
        <v>31.428571428571427</v>
      </c>
      <c r="E37" s="1">
        <f t="shared" si="96"/>
        <v>0</v>
      </c>
      <c r="F37" s="1">
        <f t="shared" si="97"/>
        <v>4.7142857142857144</v>
      </c>
      <c r="G37" s="1">
        <f t="shared" si="98"/>
        <v>0</v>
      </c>
      <c r="H37" s="1">
        <f t="shared" si="99"/>
        <v>18.857142857142858</v>
      </c>
      <c r="I37" s="1">
        <f t="shared" si="100"/>
        <v>0</v>
      </c>
      <c r="J37" s="32">
        <v>6400</v>
      </c>
      <c r="L37" s="20"/>
      <c r="M37" s="8" t="s">
        <v>240</v>
      </c>
      <c r="N37" s="8" t="s">
        <v>78</v>
      </c>
      <c r="O37" s="1">
        <f t="shared" si="101"/>
        <v>29.714285714285715</v>
      </c>
      <c r="P37" s="1">
        <f t="shared" si="102"/>
        <v>0</v>
      </c>
      <c r="Q37" s="1">
        <f t="shared" si="103"/>
        <v>5.5714285714285712</v>
      </c>
      <c r="R37" s="1">
        <f t="shared" si="104"/>
        <v>0</v>
      </c>
      <c r="S37" s="1">
        <f t="shared" si="105"/>
        <v>14.142857142857142</v>
      </c>
      <c r="T37" s="1">
        <f t="shared" si="106"/>
        <v>0</v>
      </c>
      <c r="U37" s="32">
        <v>6400</v>
      </c>
      <c r="W37" s="20"/>
      <c r="X37" s="8" t="s">
        <v>240</v>
      </c>
      <c r="Y37" s="8" t="s">
        <v>78</v>
      </c>
      <c r="Z37" s="1">
        <f t="shared" si="107"/>
        <v>34.857142857142854</v>
      </c>
      <c r="AA37" s="1">
        <f t="shared" si="108"/>
        <v>0</v>
      </c>
      <c r="AB37" s="1">
        <f t="shared" si="109"/>
        <v>4.7142857142857144</v>
      </c>
      <c r="AC37" s="1">
        <f t="shared" si="110"/>
        <v>0</v>
      </c>
      <c r="AD37" s="1">
        <f t="shared" si="111"/>
        <v>12</v>
      </c>
      <c r="AE37" s="1">
        <f t="shared" si="112"/>
        <v>0</v>
      </c>
      <c r="AF37" s="32">
        <v>6400</v>
      </c>
      <c r="AH37" s="20"/>
      <c r="AI37" s="8" t="s">
        <v>240</v>
      </c>
      <c r="AJ37" s="8" t="s">
        <v>78</v>
      </c>
      <c r="AK37" s="1">
        <f t="shared" si="113"/>
        <v>33.142857142857146</v>
      </c>
      <c r="AL37" s="1">
        <f t="shared" si="114"/>
        <v>0</v>
      </c>
      <c r="AM37" s="1">
        <f t="shared" si="115"/>
        <v>4</v>
      </c>
      <c r="AN37" s="1">
        <f t="shared" si="116"/>
        <v>0</v>
      </c>
      <c r="AO37" s="1">
        <f t="shared" si="117"/>
        <v>14.142857142857142</v>
      </c>
      <c r="AP37" s="1">
        <f t="shared" si="118"/>
        <v>0</v>
      </c>
      <c r="AQ37" s="32">
        <v>6400</v>
      </c>
    </row>
    <row r="38" spans="1:43" x14ac:dyDescent="0.3">
      <c r="A38" s="20" t="s">
        <v>86</v>
      </c>
      <c r="B38" s="8" t="s">
        <v>241</v>
      </c>
      <c r="C38" s="8" t="s">
        <v>79</v>
      </c>
      <c r="D38" s="1">
        <f t="shared" si="95"/>
        <v>0</v>
      </c>
      <c r="E38" s="1">
        <f t="shared" si="96"/>
        <v>8</v>
      </c>
      <c r="F38" s="1">
        <f t="shared" si="97"/>
        <v>9.4285714285714288</v>
      </c>
      <c r="G38" s="1">
        <f t="shared" si="98"/>
        <v>0</v>
      </c>
      <c r="H38" s="1">
        <f t="shared" si="99"/>
        <v>0</v>
      </c>
      <c r="I38" s="1">
        <f t="shared" si="100"/>
        <v>9.4285714285714288</v>
      </c>
      <c r="J38" s="32">
        <v>7500</v>
      </c>
      <c r="L38" s="20" t="s">
        <v>86</v>
      </c>
      <c r="M38" s="8" t="s">
        <v>241</v>
      </c>
      <c r="N38" s="8" t="s">
        <v>79</v>
      </c>
      <c r="O38" s="1">
        <f t="shared" si="101"/>
        <v>0</v>
      </c>
      <c r="P38" s="1">
        <f t="shared" si="102"/>
        <v>9.4285714285714288</v>
      </c>
      <c r="Q38" s="1">
        <f t="shared" si="103"/>
        <v>11.142857142857142</v>
      </c>
      <c r="R38" s="1">
        <f t="shared" si="104"/>
        <v>0</v>
      </c>
      <c r="S38" s="1">
        <f t="shared" si="105"/>
        <v>0</v>
      </c>
      <c r="T38" s="1">
        <f t="shared" si="106"/>
        <v>12.571428571428571</v>
      </c>
      <c r="U38" s="32">
        <v>7500</v>
      </c>
      <c r="W38" s="20" t="s">
        <v>86</v>
      </c>
      <c r="X38" s="8" t="s">
        <v>241</v>
      </c>
      <c r="Y38" s="8" t="s">
        <v>79</v>
      </c>
      <c r="Z38" s="1">
        <f t="shared" si="107"/>
        <v>0</v>
      </c>
      <c r="AA38" s="1">
        <f t="shared" si="108"/>
        <v>12.571428571428571</v>
      </c>
      <c r="AB38" s="1">
        <f t="shared" si="109"/>
        <v>9.4285714285714288</v>
      </c>
      <c r="AC38" s="1">
        <f t="shared" si="110"/>
        <v>0</v>
      </c>
      <c r="AD38" s="1">
        <f t="shared" si="111"/>
        <v>0</v>
      </c>
      <c r="AE38" s="1">
        <f t="shared" si="112"/>
        <v>9.4285714285714288</v>
      </c>
      <c r="AF38" s="32">
        <v>7500</v>
      </c>
      <c r="AH38" s="20" t="s">
        <v>86</v>
      </c>
      <c r="AI38" s="8" t="s">
        <v>241</v>
      </c>
      <c r="AJ38" s="8" t="s">
        <v>79</v>
      </c>
      <c r="AK38" s="1">
        <f t="shared" si="113"/>
        <v>0</v>
      </c>
      <c r="AL38" s="1">
        <f t="shared" si="114"/>
        <v>9.4285714285714288</v>
      </c>
      <c r="AM38" s="1">
        <f t="shared" si="115"/>
        <v>8</v>
      </c>
      <c r="AN38" s="1">
        <f t="shared" si="116"/>
        <v>0</v>
      </c>
      <c r="AO38" s="1">
        <f t="shared" si="117"/>
        <v>0</v>
      </c>
      <c r="AP38" s="1">
        <f t="shared" si="118"/>
        <v>11.142857142857142</v>
      </c>
      <c r="AQ38" s="32">
        <v>7500</v>
      </c>
    </row>
    <row r="39" spans="1:43" x14ac:dyDescent="0.3">
      <c r="A39" s="20"/>
      <c r="B39" s="8" t="s">
        <v>242</v>
      </c>
      <c r="C39" s="8" t="s">
        <v>80</v>
      </c>
      <c r="D39" s="1">
        <f t="shared" si="95"/>
        <v>0</v>
      </c>
      <c r="E39" s="1">
        <f t="shared" si="96"/>
        <v>0</v>
      </c>
      <c r="F39" s="1">
        <f t="shared" si="97"/>
        <v>0</v>
      </c>
      <c r="G39" s="1">
        <f t="shared" si="98"/>
        <v>5.5714285714285712</v>
      </c>
      <c r="H39" s="1">
        <f t="shared" si="99"/>
        <v>18.857142857142858</v>
      </c>
      <c r="I39" s="1">
        <f t="shared" si="100"/>
        <v>9.4285714285714288</v>
      </c>
      <c r="J39" s="32">
        <v>6400</v>
      </c>
      <c r="L39" s="20"/>
      <c r="M39" s="8" t="s">
        <v>242</v>
      </c>
      <c r="N39" s="8" t="s">
        <v>80</v>
      </c>
      <c r="O39" s="1">
        <f t="shared" si="101"/>
        <v>0</v>
      </c>
      <c r="P39" s="1">
        <f t="shared" si="102"/>
        <v>0</v>
      </c>
      <c r="Q39" s="1">
        <f t="shared" si="103"/>
        <v>0</v>
      </c>
      <c r="R39" s="1">
        <f t="shared" si="104"/>
        <v>4</v>
      </c>
      <c r="S39" s="1">
        <f t="shared" si="105"/>
        <v>14.142857142857142</v>
      </c>
      <c r="T39" s="1">
        <f t="shared" si="106"/>
        <v>12.571428571428571</v>
      </c>
      <c r="U39" s="32">
        <v>6400</v>
      </c>
      <c r="W39" s="20"/>
      <c r="X39" s="8" t="s">
        <v>242</v>
      </c>
      <c r="Y39" s="8" t="s">
        <v>80</v>
      </c>
      <c r="Z39" s="1">
        <f t="shared" si="107"/>
        <v>0</v>
      </c>
      <c r="AA39" s="1">
        <f t="shared" si="108"/>
        <v>0</v>
      </c>
      <c r="AB39" s="1">
        <f t="shared" si="109"/>
        <v>0</v>
      </c>
      <c r="AC39" s="1">
        <f t="shared" si="110"/>
        <v>5.5714285714285712</v>
      </c>
      <c r="AD39" s="1">
        <f t="shared" si="111"/>
        <v>12</v>
      </c>
      <c r="AE39" s="1">
        <f t="shared" si="112"/>
        <v>9.4285714285714288</v>
      </c>
      <c r="AF39" s="32">
        <v>6400</v>
      </c>
      <c r="AH39" s="20"/>
      <c r="AI39" s="8" t="s">
        <v>242</v>
      </c>
      <c r="AJ39" s="8" t="s">
        <v>80</v>
      </c>
      <c r="AK39" s="1">
        <f t="shared" si="113"/>
        <v>0</v>
      </c>
      <c r="AL39" s="1">
        <f t="shared" si="114"/>
        <v>0</v>
      </c>
      <c r="AM39" s="1">
        <f t="shared" si="115"/>
        <v>0</v>
      </c>
      <c r="AN39" s="1">
        <f t="shared" si="116"/>
        <v>6.2857142857142856</v>
      </c>
      <c r="AO39" s="1">
        <f t="shared" si="117"/>
        <v>14.142857142857142</v>
      </c>
      <c r="AP39" s="1">
        <f t="shared" si="118"/>
        <v>11.142857142857142</v>
      </c>
      <c r="AQ39" s="32">
        <v>6400</v>
      </c>
    </row>
    <row r="40" spans="1:43" x14ac:dyDescent="0.3">
      <c r="A40" s="20"/>
      <c r="B40" s="8" t="s">
        <v>243</v>
      </c>
      <c r="C40" s="8" t="s">
        <v>81</v>
      </c>
      <c r="D40" s="1">
        <f t="shared" si="95"/>
        <v>31.428571428571427</v>
      </c>
      <c r="E40" s="1">
        <f t="shared" si="96"/>
        <v>12</v>
      </c>
      <c r="F40" s="1">
        <f t="shared" si="97"/>
        <v>0</v>
      </c>
      <c r="G40" s="1">
        <f t="shared" si="98"/>
        <v>0</v>
      </c>
      <c r="H40" s="1">
        <f t="shared" si="99"/>
        <v>6.2857142857142856</v>
      </c>
      <c r="I40" s="1">
        <f t="shared" si="100"/>
        <v>0</v>
      </c>
      <c r="J40" s="32">
        <v>7100</v>
      </c>
      <c r="L40" s="20"/>
      <c r="M40" s="8" t="s">
        <v>243</v>
      </c>
      <c r="N40" s="8" t="s">
        <v>81</v>
      </c>
      <c r="O40" s="1">
        <f t="shared" si="101"/>
        <v>29.714285714285715</v>
      </c>
      <c r="P40" s="1">
        <f t="shared" si="102"/>
        <v>14.142857142857142</v>
      </c>
      <c r="Q40" s="1">
        <f t="shared" si="103"/>
        <v>0</v>
      </c>
      <c r="R40" s="1">
        <f t="shared" si="104"/>
        <v>0</v>
      </c>
      <c r="S40" s="1">
        <f t="shared" si="105"/>
        <v>4.7142857142857144</v>
      </c>
      <c r="T40" s="1">
        <f t="shared" si="106"/>
        <v>0</v>
      </c>
      <c r="U40" s="32">
        <v>7100</v>
      </c>
      <c r="W40" s="20"/>
      <c r="X40" s="8" t="s">
        <v>243</v>
      </c>
      <c r="Y40" s="8" t="s">
        <v>81</v>
      </c>
      <c r="Z40" s="1">
        <f t="shared" si="107"/>
        <v>34.857142857142854</v>
      </c>
      <c r="AA40" s="1">
        <f t="shared" si="108"/>
        <v>18.857142857142858</v>
      </c>
      <c r="AB40" s="1">
        <f t="shared" si="109"/>
        <v>0</v>
      </c>
      <c r="AC40" s="1">
        <f t="shared" si="110"/>
        <v>0</v>
      </c>
      <c r="AD40" s="1">
        <f t="shared" si="111"/>
        <v>4</v>
      </c>
      <c r="AE40" s="1">
        <f t="shared" si="112"/>
        <v>0</v>
      </c>
      <c r="AF40" s="32">
        <v>7100</v>
      </c>
      <c r="AH40" s="20"/>
      <c r="AI40" s="8" t="s">
        <v>243</v>
      </c>
      <c r="AJ40" s="8" t="s">
        <v>81</v>
      </c>
      <c r="AK40" s="1">
        <f t="shared" si="113"/>
        <v>33.142857142857146</v>
      </c>
      <c r="AL40" s="1">
        <f t="shared" si="114"/>
        <v>14.142857142857142</v>
      </c>
      <c r="AM40" s="1">
        <f t="shared" si="115"/>
        <v>0</v>
      </c>
      <c r="AN40" s="1">
        <f t="shared" si="116"/>
        <v>0</v>
      </c>
      <c r="AO40" s="1">
        <f t="shared" si="117"/>
        <v>4.7142857142857144</v>
      </c>
      <c r="AP40" s="1">
        <f t="shared" si="118"/>
        <v>0</v>
      </c>
      <c r="AQ40" s="32">
        <v>7100</v>
      </c>
    </row>
    <row r="41" spans="1:43" x14ac:dyDescent="0.3">
      <c r="A41" s="20"/>
      <c r="B41" s="22" t="s">
        <v>245</v>
      </c>
      <c r="C41" s="22" t="s">
        <v>82</v>
      </c>
      <c r="D41" s="1">
        <f t="shared" si="95"/>
        <v>0</v>
      </c>
      <c r="E41" s="1">
        <f t="shared" si="96"/>
        <v>0</v>
      </c>
      <c r="F41" s="1">
        <f t="shared" si="97"/>
        <v>4.7142857142857144</v>
      </c>
      <c r="G41" s="1">
        <f t="shared" si="98"/>
        <v>22.285714285714285</v>
      </c>
      <c r="H41" s="1">
        <f t="shared" si="99"/>
        <v>0</v>
      </c>
      <c r="I41" s="1">
        <f t="shared" si="100"/>
        <v>4.7142857142857144</v>
      </c>
      <c r="J41" s="32">
        <v>8000</v>
      </c>
      <c r="L41" s="20"/>
      <c r="M41" s="29" t="s">
        <v>252</v>
      </c>
      <c r="N41" s="22" t="s">
        <v>82</v>
      </c>
      <c r="O41" s="1">
        <f t="shared" si="101"/>
        <v>0</v>
      </c>
      <c r="P41" s="1">
        <f t="shared" si="102"/>
        <v>0</v>
      </c>
      <c r="Q41" s="1">
        <f t="shared" si="103"/>
        <v>5.5714285714285712</v>
      </c>
      <c r="R41" s="1">
        <f t="shared" si="104"/>
        <v>16</v>
      </c>
      <c r="S41" s="1">
        <f t="shared" si="105"/>
        <v>0</v>
      </c>
      <c r="T41" s="1">
        <f t="shared" si="106"/>
        <v>6.2857142857142856</v>
      </c>
      <c r="U41" s="32">
        <v>8000</v>
      </c>
      <c r="W41" s="20"/>
      <c r="X41" s="29" t="s">
        <v>254</v>
      </c>
      <c r="Y41" s="22" t="s">
        <v>82</v>
      </c>
      <c r="Z41" s="1">
        <f t="shared" si="107"/>
        <v>0</v>
      </c>
      <c r="AA41" s="1">
        <f t="shared" si="108"/>
        <v>0</v>
      </c>
      <c r="AB41" s="1">
        <f t="shared" si="109"/>
        <v>4.7142857142857144</v>
      </c>
      <c r="AC41" s="1">
        <f t="shared" si="110"/>
        <v>22.285714285714285</v>
      </c>
      <c r="AD41" s="1">
        <f t="shared" si="111"/>
        <v>0</v>
      </c>
      <c r="AE41" s="1">
        <f t="shared" si="112"/>
        <v>4.7142857142857144</v>
      </c>
      <c r="AF41" s="32">
        <v>8000</v>
      </c>
      <c r="AH41" s="20"/>
      <c r="AI41" s="8" t="s">
        <v>263</v>
      </c>
      <c r="AJ41" s="22" t="s">
        <v>82</v>
      </c>
      <c r="AK41" s="1">
        <f t="shared" si="113"/>
        <v>0</v>
      </c>
      <c r="AL41" s="1">
        <f t="shared" si="114"/>
        <v>0</v>
      </c>
      <c r="AM41" s="1">
        <f t="shared" si="115"/>
        <v>4</v>
      </c>
      <c r="AN41" s="1">
        <f t="shared" si="116"/>
        <v>25.142857142857142</v>
      </c>
      <c r="AO41" s="1">
        <f t="shared" si="117"/>
        <v>0</v>
      </c>
      <c r="AP41" s="1">
        <f t="shared" si="118"/>
        <v>5.5714285714285712</v>
      </c>
      <c r="AQ41" s="32">
        <v>8000</v>
      </c>
    </row>
    <row r="42" spans="1:43" x14ac:dyDescent="0.3">
      <c r="A42" s="21" t="s">
        <v>91</v>
      </c>
      <c r="B42" s="19"/>
      <c r="C42" s="19"/>
      <c r="D42" s="30">
        <f>ROUND((Demon!$B$3 + ((40 / 10) + Demon!$B$3 / 8) * 40) / 2,0)</f>
        <v>110</v>
      </c>
      <c r="E42" s="30">
        <f>ROUND((Demon!$D$3 + (Demon!$D$3 / 4) * 40) /2,0)</f>
        <v>28</v>
      </c>
      <c r="F42" s="30">
        <f>ROUND((Demon!$E$3 + (Demon!$E$3 / 4) * 40) /2,0)</f>
        <v>33</v>
      </c>
      <c r="G42" s="30">
        <f>ROUND((Demon!$F$3 + (Demon!$F$3 / 4) * 40) /2,0)</f>
        <v>39</v>
      </c>
      <c r="H42" s="30">
        <f>ROUND((Demon!$G$3 + (Demon!$G$3 / 4) * 40) /2,0)</f>
        <v>44</v>
      </c>
      <c r="I42" s="30">
        <f>ROUND((Demon!$H$3 + (Demon!$H$3 / 4) * 40) /2,0)</f>
        <v>33</v>
      </c>
      <c r="J42" s="33">
        <v>50000</v>
      </c>
      <c r="K42" s="31"/>
      <c r="L42" s="21" t="s">
        <v>91</v>
      </c>
      <c r="M42" s="19"/>
      <c r="N42" s="19"/>
      <c r="O42" s="30">
        <f>ROUND((Elf!$B$3 + ((40 / 10) + Elf!$B$3 / 8) * 40) / 2,0)</f>
        <v>104</v>
      </c>
      <c r="P42" s="30">
        <f>ROUND((Elf!$D$3 + (Elf!$D$3 / 4) * 40) /2,0)</f>
        <v>33</v>
      </c>
      <c r="Q42" s="30">
        <f>ROUND((Elf!$E$3 + (Elf!$E$3 / 4) * 40) /2,0)</f>
        <v>39</v>
      </c>
      <c r="R42" s="30">
        <f>ROUND((Elf!$F$3 + (Elf!$F$3 / 4) * 40) /2,0)</f>
        <v>28</v>
      </c>
      <c r="S42" s="30">
        <f>ROUND((Elf!$G$3 + (Elf!$G$3 / 4) * 40) /2,0)</f>
        <v>33</v>
      </c>
      <c r="T42" s="30">
        <f>ROUND((Elf!$H$3 + (Elf!$H$3 / 4) * 40) /2,0)</f>
        <v>44</v>
      </c>
      <c r="U42" s="33">
        <v>50000</v>
      </c>
      <c r="W42" s="21" t="s">
        <v>91</v>
      </c>
      <c r="X42" s="19"/>
      <c r="Y42" s="19"/>
      <c r="Z42" s="30">
        <f>ROUND((Beastgirl!$B$3 + ((40 / 10) + Beastgirl!$B$3 / 8) * 40) / 2,0)</f>
        <v>122</v>
      </c>
      <c r="AA42" s="30">
        <f>ROUND((Beastgirl!$D$3 + (Beastgirl!$D$3 / 4) * 40) /2,0)</f>
        <v>44</v>
      </c>
      <c r="AB42" s="30">
        <f>ROUND((Beastgirl!$E$3 + (Beastgirl!$E$3 / 4) * 40) /2,0)</f>
        <v>33</v>
      </c>
      <c r="AC42" s="30">
        <f>ROUND((Beastgirl!$F$3 + (Beastgirl!$F$3 / 4) * 40) /2,0)</f>
        <v>39</v>
      </c>
      <c r="AD42" s="30">
        <f>ROUND((Beastgirl!$G$3 + (Beastgirl!$G$3 / 4) * 40) /2,0)</f>
        <v>28</v>
      </c>
      <c r="AE42" s="30">
        <f>ROUND((Beastgirl!$H$3 + (Beastgirl!$H$3 / 4) * 40) /2,0)</f>
        <v>33</v>
      </c>
      <c r="AF42" s="33">
        <v>50000</v>
      </c>
      <c r="AH42" s="21" t="s">
        <v>91</v>
      </c>
      <c r="AI42" s="19"/>
      <c r="AJ42" s="19"/>
      <c r="AK42" s="30">
        <f>ROUND((Warrior!$B$3 + ((40 / 10) + Warrior!$B$3 / 8) * 40) / 2,0)</f>
        <v>116</v>
      </c>
      <c r="AL42" s="30">
        <f>ROUND((Warrior!$D$3 + (Warrior!$D$3 / 4) * 40) /2,0)</f>
        <v>33</v>
      </c>
      <c r="AM42" s="30">
        <f>ROUND((Warrior!$E$3 + (Warrior!$E$3 / 4) * 40) /2,0)</f>
        <v>28</v>
      </c>
      <c r="AN42" s="30">
        <f>ROUND((Warrior!$F$3 + (Warrior!$F$3 / 4) * 40) /2,0)</f>
        <v>44</v>
      </c>
      <c r="AO42" s="30">
        <f>ROUND((Warrior!$G$3 + (Warrior!$G$3 / 4) * 40) /2,0)</f>
        <v>33</v>
      </c>
      <c r="AP42" s="30">
        <f>ROUND((Warrior!$H$3 + (Warrior!$H$3 / 4) * 40) /2,0)</f>
        <v>39</v>
      </c>
      <c r="AQ42" s="33">
        <v>50000</v>
      </c>
    </row>
    <row r="43" spans="1:43" x14ac:dyDescent="0.3">
      <c r="A43" s="22"/>
      <c r="B43" s="22"/>
      <c r="C43" s="22"/>
      <c r="D43" s="22"/>
      <c r="E43" s="22"/>
      <c r="F43" s="22"/>
      <c r="G43" s="22"/>
      <c r="H43" s="22"/>
      <c r="I43" s="22"/>
    </row>
    <row r="45" spans="1:43" x14ac:dyDescent="0.3">
      <c r="A45" s="54" t="s">
        <v>92</v>
      </c>
      <c r="B45" s="54"/>
      <c r="C45" s="54"/>
      <c r="D45" s="54"/>
      <c r="E45" s="54"/>
      <c r="F45" s="54"/>
      <c r="G45" s="54"/>
      <c r="H45" s="22"/>
      <c r="I45" s="22"/>
    </row>
    <row r="46" spans="1:43" ht="24" thickBot="1" x14ac:dyDescent="0.35">
      <c r="A46" s="23" t="s">
        <v>89</v>
      </c>
      <c r="B46" s="23" t="s">
        <v>1</v>
      </c>
      <c r="C46" s="23" t="s">
        <v>3</v>
      </c>
      <c r="D46" s="23" t="s">
        <v>4</v>
      </c>
      <c r="E46" s="23" t="s">
        <v>5</v>
      </c>
      <c r="F46" s="23" t="s">
        <v>6</v>
      </c>
      <c r="G46" s="24" t="s">
        <v>7</v>
      </c>
    </row>
    <row r="47" spans="1:43" ht="15" thickTop="1" x14ac:dyDescent="0.3">
      <c r="A47" s="25" t="s">
        <v>76</v>
      </c>
      <c r="B47" s="25">
        <v>0</v>
      </c>
      <c r="C47" s="25">
        <v>0</v>
      </c>
      <c r="D47" s="25">
        <v>3</v>
      </c>
      <c r="E47" s="25">
        <v>1</v>
      </c>
      <c r="F47" s="25">
        <v>0</v>
      </c>
      <c r="G47" s="26">
        <v>2</v>
      </c>
    </row>
    <row r="48" spans="1:43" x14ac:dyDescent="0.3">
      <c r="A48" s="27" t="s">
        <v>77</v>
      </c>
      <c r="B48" s="27">
        <v>3</v>
      </c>
      <c r="C48" s="27">
        <v>2</v>
      </c>
      <c r="D48" s="27">
        <v>0</v>
      </c>
      <c r="E48" s="27">
        <v>1</v>
      </c>
      <c r="F48" s="27">
        <v>0</v>
      </c>
      <c r="G48" s="28">
        <v>0</v>
      </c>
    </row>
    <row r="49" spans="1:7" x14ac:dyDescent="0.3">
      <c r="A49" s="25" t="s">
        <v>78</v>
      </c>
      <c r="B49" s="25">
        <v>2</v>
      </c>
      <c r="C49" s="25">
        <v>0</v>
      </c>
      <c r="D49" s="25">
        <v>1</v>
      </c>
      <c r="E49" s="25">
        <v>0</v>
      </c>
      <c r="F49" s="25">
        <v>3</v>
      </c>
      <c r="G49" s="26">
        <v>0</v>
      </c>
    </row>
    <row r="50" spans="1:7" x14ac:dyDescent="0.3">
      <c r="A50" s="27" t="s">
        <v>79</v>
      </c>
      <c r="B50" s="27">
        <v>0</v>
      </c>
      <c r="C50" s="27">
        <v>2</v>
      </c>
      <c r="D50" s="27">
        <v>2</v>
      </c>
      <c r="E50" s="27">
        <v>0</v>
      </c>
      <c r="F50" s="27">
        <v>0</v>
      </c>
      <c r="G50" s="28">
        <v>2</v>
      </c>
    </row>
    <row r="51" spans="1:7" x14ac:dyDescent="0.3">
      <c r="A51" s="25" t="s">
        <v>80</v>
      </c>
      <c r="B51" s="25">
        <v>0</v>
      </c>
      <c r="C51" s="25">
        <v>0</v>
      </c>
      <c r="D51" s="25">
        <v>0</v>
      </c>
      <c r="E51" s="25">
        <v>1</v>
      </c>
      <c r="F51" s="25">
        <v>3</v>
      </c>
      <c r="G51" s="26">
        <v>2</v>
      </c>
    </row>
    <row r="52" spans="1:7" x14ac:dyDescent="0.3">
      <c r="A52" s="27" t="s">
        <v>81</v>
      </c>
      <c r="B52" s="27">
        <v>2</v>
      </c>
      <c r="C52" s="27">
        <v>3</v>
      </c>
      <c r="D52" s="27">
        <v>0</v>
      </c>
      <c r="E52" s="27">
        <v>0</v>
      </c>
      <c r="F52" s="27">
        <v>1</v>
      </c>
      <c r="G52" s="28">
        <v>0</v>
      </c>
    </row>
    <row r="53" spans="1:7" x14ac:dyDescent="0.3">
      <c r="A53" s="25" t="s">
        <v>82</v>
      </c>
      <c r="B53" s="25">
        <v>0</v>
      </c>
      <c r="C53" s="25">
        <v>0</v>
      </c>
      <c r="D53" s="25">
        <v>1</v>
      </c>
      <c r="E53" s="25">
        <v>4</v>
      </c>
      <c r="F53" s="25">
        <v>0</v>
      </c>
      <c r="G53" s="26">
        <v>1</v>
      </c>
    </row>
  </sheetData>
  <mergeCells count="5">
    <mergeCell ref="A45:G45"/>
    <mergeCell ref="A1:J1"/>
    <mergeCell ref="L1:U1"/>
    <mergeCell ref="W1:AF1"/>
    <mergeCell ref="AH1:AQ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2754-31A6-4F78-A52A-04C9D42FC318}">
  <dimension ref="A1:H14"/>
  <sheetViews>
    <sheetView workbookViewId="0">
      <selection activeCell="F21" sqref="F21"/>
    </sheetView>
  </sheetViews>
  <sheetFormatPr defaultRowHeight="14.4" x14ac:dyDescent="0.3"/>
  <cols>
    <col min="1" max="1" width="20.5546875" style="4" customWidth="1"/>
    <col min="2" max="2" width="13.109375" style="4" customWidth="1"/>
    <col min="3" max="3" width="18.6640625" style="4" customWidth="1"/>
    <col min="4" max="4" width="8.88671875" style="4"/>
    <col min="5" max="5" width="19.5546875" style="4" customWidth="1"/>
    <col min="6" max="7" width="16" style="4" customWidth="1"/>
    <col min="8" max="8" width="20" style="4" customWidth="1"/>
    <col min="9" max="16384" width="8.88671875" style="4"/>
  </cols>
  <sheetData>
    <row r="1" spans="1:8" s="38" customFormat="1" ht="25.8" x14ac:dyDescent="0.3">
      <c r="A1" s="38" t="s">
        <v>99</v>
      </c>
      <c r="B1" s="38" t="s">
        <v>100</v>
      </c>
      <c r="C1" s="38" t="s">
        <v>101</v>
      </c>
      <c r="E1" s="53" t="s">
        <v>165</v>
      </c>
      <c r="F1" s="53"/>
      <c r="G1" s="53"/>
      <c r="H1" s="53"/>
    </row>
    <row r="2" spans="1:8" ht="23.4" x14ac:dyDescent="0.3">
      <c r="A2" s="4" t="s">
        <v>102</v>
      </c>
      <c r="B2" s="4">
        <v>20</v>
      </c>
      <c r="C2" s="4">
        <v>30</v>
      </c>
      <c r="E2" s="5" t="s">
        <v>99</v>
      </c>
      <c r="F2" s="5" t="s">
        <v>166</v>
      </c>
      <c r="G2" s="5" t="s">
        <v>186</v>
      </c>
      <c r="H2" s="5" t="s">
        <v>187</v>
      </c>
    </row>
    <row r="3" spans="1:8" x14ac:dyDescent="0.3">
      <c r="A3" s="4" t="s">
        <v>103</v>
      </c>
      <c r="B3" s="4">
        <v>80</v>
      </c>
      <c r="C3" s="4">
        <v>125</v>
      </c>
      <c r="E3" s="4" t="s">
        <v>185</v>
      </c>
      <c r="F3" s="4">
        <f>Quests!E$4/5</f>
        <v>22.5</v>
      </c>
      <c r="G3" s="4" t="s">
        <v>188</v>
      </c>
      <c r="H3" s="4" t="s">
        <v>192</v>
      </c>
    </row>
    <row r="4" spans="1:8" x14ac:dyDescent="0.3">
      <c r="A4" s="4" t="s">
        <v>104</v>
      </c>
      <c r="B4" s="4">
        <v>320</v>
      </c>
      <c r="C4" s="4">
        <v>500</v>
      </c>
      <c r="E4" s="4" t="s">
        <v>189</v>
      </c>
      <c r="F4" s="4">
        <f>Quests!E$4/5</f>
        <v>22.5</v>
      </c>
      <c r="G4" s="4" t="s">
        <v>188</v>
      </c>
      <c r="H4" s="4" t="s">
        <v>192</v>
      </c>
    </row>
    <row r="5" spans="1:8" x14ac:dyDescent="0.3">
      <c r="A5" s="4" t="s">
        <v>105</v>
      </c>
      <c r="B5" s="4">
        <v>20</v>
      </c>
      <c r="C5" s="4">
        <v>30</v>
      </c>
      <c r="E5" s="4" t="s">
        <v>190</v>
      </c>
      <c r="F5" s="4">
        <f>Quests!E$10/5</f>
        <v>45</v>
      </c>
      <c r="G5" s="4" t="s">
        <v>188</v>
      </c>
      <c r="H5" s="4" t="s">
        <v>193</v>
      </c>
    </row>
    <row r="6" spans="1:8" x14ac:dyDescent="0.3">
      <c r="A6" s="4" t="s">
        <v>106</v>
      </c>
      <c r="B6" s="4">
        <v>70</v>
      </c>
      <c r="C6" s="4">
        <v>125</v>
      </c>
      <c r="E6" s="4" t="s">
        <v>191</v>
      </c>
      <c r="F6" s="4">
        <f>Quests!E$14/5</f>
        <v>45</v>
      </c>
      <c r="G6" s="4" t="s">
        <v>188</v>
      </c>
      <c r="H6" s="4" t="s">
        <v>194</v>
      </c>
    </row>
    <row r="7" spans="1:8" x14ac:dyDescent="0.3">
      <c r="A7" s="4" t="s">
        <v>107</v>
      </c>
      <c r="B7" s="4">
        <v>200</v>
      </c>
      <c r="C7" s="4">
        <v>500</v>
      </c>
      <c r="E7" s="4" t="s">
        <v>195</v>
      </c>
      <c r="F7" s="4">
        <f>Quests!E$20/5</f>
        <v>60</v>
      </c>
      <c r="G7" s="4" t="s">
        <v>197</v>
      </c>
      <c r="H7" s="4" t="s">
        <v>198</v>
      </c>
    </row>
    <row r="8" spans="1:8" x14ac:dyDescent="0.3">
      <c r="A8" s="4" t="s">
        <v>108</v>
      </c>
      <c r="B8" s="39" t="s">
        <v>117</v>
      </c>
      <c r="C8" s="4">
        <v>500</v>
      </c>
      <c r="E8" s="4" t="s">
        <v>196</v>
      </c>
      <c r="F8" s="4">
        <f>Quests!E$24/5</f>
        <v>90</v>
      </c>
      <c r="G8" s="4" t="s">
        <v>197</v>
      </c>
      <c r="H8" s="4" t="s">
        <v>199</v>
      </c>
    </row>
    <row r="9" spans="1:8" x14ac:dyDescent="0.3">
      <c r="A9" s="4" t="s">
        <v>109</v>
      </c>
      <c r="B9" s="39" t="s">
        <v>118</v>
      </c>
      <c r="C9" s="4">
        <v>700</v>
      </c>
      <c r="E9" s="4" t="s">
        <v>200</v>
      </c>
      <c r="F9" s="4">
        <f>Quests!E$29/5</f>
        <v>225</v>
      </c>
      <c r="G9" s="4" t="s">
        <v>204</v>
      </c>
      <c r="H9" s="4" t="s">
        <v>205</v>
      </c>
    </row>
    <row r="10" spans="1:8" x14ac:dyDescent="0.3">
      <c r="A10" s="4" t="s">
        <v>110</v>
      </c>
      <c r="B10" s="39" t="s">
        <v>119</v>
      </c>
      <c r="C10" s="4">
        <v>1000</v>
      </c>
      <c r="E10" s="4" t="s">
        <v>201</v>
      </c>
      <c r="F10" s="4">
        <f>Quests!E$33/5</f>
        <v>337.5</v>
      </c>
      <c r="G10" s="4" t="s">
        <v>204</v>
      </c>
      <c r="H10" s="4" t="s">
        <v>206</v>
      </c>
    </row>
    <row r="11" spans="1:8" x14ac:dyDescent="0.3">
      <c r="A11" s="4" t="s">
        <v>111</v>
      </c>
      <c r="B11" s="4" t="s">
        <v>114</v>
      </c>
      <c r="C11" s="4">
        <v>200</v>
      </c>
      <c r="E11" s="4" t="s">
        <v>202</v>
      </c>
      <c r="F11" s="4">
        <f>Quests!E$37/5</f>
        <v>450</v>
      </c>
      <c r="G11" s="4" t="s">
        <v>204</v>
      </c>
      <c r="H11" s="4" t="s">
        <v>207</v>
      </c>
    </row>
    <row r="12" spans="1:8" x14ac:dyDescent="0.3">
      <c r="A12" s="4" t="s">
        <v>112</v>
      </c>
      <c r="B12" s="4" t="s">
        <v>115</v>
      </c>
      <c r="C12" s="4">
        <v>500</v>
      </c>
      <c r="E12" s="4" t="s">
        <v>203</v>
      </c>
      <c r="F12" s="4">
        <f>Quests!E$41/5</f>
        <v>600</v>
      </c>
      <c r="G12" s="4" t="s">
        <v>204</v>
      </c>
      <c r="H12" s="4" t="s">
        <v>208</v>
      </c>
    </row>
    <row r="13" spans="1:8" x14ac:dyDescent="0.3">
      <c r="A13" s="4" t="s">
        <v>113</v>
      </c>
      <c r="B13" s="4" t="s">
        <v>116</v>
      </c>
      <c r="C13" s="4">
        <v>1000</v>
      </c>
      <c r="E13" s="4" t="s">
        <v>209</v>
      </c>
      <c r="F13" s="4">
        <f>Quests!E$43/5</f>
        <v>900</v>
      </c>
      <c r="G13" s="4" t="s">
        <v>211</v>
      </c>
      <c r="H13" s="4" t="s">
        <v>212</v>
      </c>
    </row>
    <row r="14" spans="1:8" x14ac:dyDescent="0.3">
      <c r="E14" s="4" t="s">
        <v>210</v>
      </c>
      <c r="F14" s="4">
        <f>Quests!E$47/5</f>
        <v>1500</v>
      </c>
      <c r="G14" s="4" t="s">
        <v>211</v>
      </c>
      <c r="H14" s="4" t="s">
        <v>213</v>
      </c>
    </row>
  </sheetData>
  <mergeCells count="1">
    <mergeCell ref="E1:H1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D7C6-3ADA-4CC2-84E7-77EC640418A8}">
  <dimension ref="A1:L226"/>
  <sheetViews>
    <sheetView zoomScaleNormal="100" workbookViewId="0">
      <selection activeCell="M7" sqref="M7"/>
    </sheetView>
  </sheetViews>
  <sheetFormatPr defaultRowHeight="25.8" x14ac:dyDescent="0.3"/>
  <cols>
    <col min="1" max="1" width="10.109375" style="4" customWidth="1"/>
    <col min="2" max="2" width="28.21875" style="49" customWidth="1"/>
    <col min="3" max="3" width="15.21875" style="4" customWidth="1"/>
    <col min="4" max="4" width="18.21875" style="49" customWidth="1"/>
    <col min="5" max="5" width="14.109375" style="4" customWidth="1"/>
    <col min="6" max="6" width="26.6640625" style="4" customWidth="1"/>
    <col min="7" max="7" width="18.88671875" style="1" customWidth="1"/>
    <col min="8" max="8" width="36.33203125" style="4" customWidth="1"/>
    <col min="9" max="9" width="17" style="4" customWidth="1"/>
    <col min="10" max="10" width="24.44140625" style="36" customWidth="1"/>
    <col min="11" max="11" width="8.88671875" style="4"/>
    <col min="12" max="12" width="8.88671875" style="1"/>
    <col min="13" max="16384" width="8.88671875" style="4"/>
  </cols>
  <sheetData>
    <row r="1" spans="1:12" s="36" customFormat="1" ht="53.4" customHeight="1" x14ac:dyDescent="0.3">
      <c r="A1" s="36" t="s">
        <v>264</v>
      </c>
      <c r="B1" s="48" t="s">
        <v>88</v>
      </c>
      <c r="C1" s="36" t="s">
        <v>267</v>
      </c>
      <c r="D1" s="48" t="s">
        <v>266</v>
      </c>
      <c r="E1" s="36" t="s">
        <v>303</v>
      </c>
      <c r="F1" s="48" t="s">
        <v>269</v>
      </c>
      <c r="G1" s="35" t="s">
        <v>265</v>
      </c>
      <c r="H1" s="48" t="s">
        <v>305</v>
      </c>
      <c r="I1" s="48" t="s">
        <v>268</v>
      </c>
      <c r="J1" s="48" t="s">
        <v>304</v>
      </c>
      <c r="L1" s="35"/>
    </row>
    <row r="2" spans="1:12" ht="14.55" customHeight="1" x14ac:dyDescent="0.3">
      <c r="A2" s="68" t="s">
        <v>12</v>
      </c>
      <c r="B2" s="56"/>
      <c r="C2" s="4">
        <v>1</v>
      </c>
      <c r="D2" s="56" t="s">
        <v>274</v>
      </c>
      <c r="E2" s="39">
        <v>1.4</v>
      </c>
      <c r="F2" s="4">
        <v>5</v>
      </c>
      <c r="G2" s="1">
        <f ca="1">INDIRECT("Demon!" &amp; ADDRESS(H2 + 2, 3)) / I2</f>
        <v>2.9333333333333331</v>
      </c>
      <c r="H2" s="4">
        <v>5</v>
      </c>
      <c r="I2" s="4">
        <v>15</v>
      </c>
      <c r="J2" s="59">
        <v>2</v>
      </c>
    </row>
    <row r="3" spans="1:12" ht="14.55" customHeight="1" x14ac:dyDescent="0.3">
      <c r="A3" s="68"/>
      <c r="B3" s="56"/>
      <c r="C3" s="4">
        <v>2</v>
      </c>
      <c r="D3" s="56"/>
      <c r="E3" s="39">
        <v>1.55</v>
      </c>
      <c r="F3" s="4">
        <v>10</v>
      </c>
      <c r="G3" s="1">
        <f ca="1">INDIRECT("Demon!" &amp; ADDRESS(H3 + 2, 3)) / I3</f>
        <v>6.9333333333333336</v>
      </c>
      <c r="H3" s="4">
        <v>15</v>
      </c>
      <c r="I3" s="4">
        <v>15</v>
      </c>
      <c r="J3" s="59"/>
    </row>
    <row r="4" spans="1:12" ht="14.55" customHeight="1" x14ac:dyDescent="0.3">
      <c r="A4" s="68"/>
      <c r="B4" s="56"/>
      <c r="C4" s="4">
        <v>3</v>
      </c>
      <c r="D4" s="56"/>
      <c r="E4" s="39">
        <v>1.7</v>
      </c>
      <c r="F4" s="4">
        <v>15</v>
      </c>
      <c r="G4" s="1">
        <f ca="1">INDIRECT("Demon!" &amp; ADDRESS(H4 + 2, 3)) / I4</f>
        <v>10.4</v>
      </c>
      <c r="H4" s="4">
        <v>25</v>
      </c>
      <c r="I4" s="4">
        <v>15</v>
      </c>
      <c r="J4" s="59"/>
    </row>
    <row r="5" spans="1:12" ht="14.55" customHeight="1" x14ac:dyDescent="0.3">
      <c r="A5" s="68"/>
      <c r="B5" s="56"/>
      <c r="C5" s="4">
        <v>4</v>
      </c>
      <c r="D5" s="56"/>
      <c r="E5" s="39">
        <v>1.85</v>
      </c>
      <c r="F5" s="4">
        <v>20</v>
      </c>
      <c r="G5" s="1">
        <f ca="1">INDIRECT("Demon!" &amp; ADDRESS(H5 + 2, 3)) / I5</f>
        <v>14.933333333333334</v>
      </c>
      <c r="H5" s="4">
        <v>35</v>
      </c>
      <c r="I5" s="4">
        <v>15</v>
      </c>
      <c r="J5" s="59"/>
    </row>
    <row r="6" spans="1:12" ht="14.55" customHeight="1" x14ac:dyDescent="0.3">
      <c r="A6" s="68"/>
      <c r="B6" s="56"/>
      <c r="C6" s="4">
        <v>5</v>
      </c>
      <c r="D6" s="56"/>
      <c r="E6" s="39">
        <v>2</v>
      </c>
      <c r="F6" s="4">
        <v>25</v>
      </c>
      <c r="G6" s="1">
        <f ca="1">INDIRECT("Demon!" &amp; ADDRESS(H6 + 2, 3)) / I6</f>
        <v>18.933333333333334</v>
      </c>
      <c r="H6" s="4">
        <v>45</v>
      </c>
      <c r="I6" s="4">
        <v>15</v>
      </c>
      <c r="J6" s="59"/>
    </row>
    <row r="7" spans="1:12" ht="14.55" customHeight="1" x14ac:dyDescent="0.3">
      <c r="A7" s="68"/>
      <c r="B7" s="56"/>
      <c r="C7" s="4">
        <v>1</v>
      </c>
      <c r="D7" s="56" t="s">
        <v>270</v>
      </c>
      <c r="E7" s="39">
        <v>1.4</v>
      </c>
      <c r="F7" s="4">
        <v>5</v>
      </c>
      <c r="G7" s="1">
        <f t="shared" ref="G7:G61" ca="1" si="0">INDIRECT("Demon!" &amp; ADDRESS(H7 + 2, 3)) / I7</f>
        <v>3.6666666666666665</v>
      </c>
      <c r="H7" s="4">
        <v>5</v>
      </c>
      <c r="I7" s="4">
        <v>12</v>
      </c>
      <c r="J7" s="59">
        <v>5</v>
      </c>
    </row>
    <row r="8" spans="1:12" ht="14.55" customHeight="1" x14ac:dyDescent="0.3">
      <c r="A8" s="68"/>
      <c r="B8" s="56"/>
      <c r="C8" s="4">
        <v>2</v>
      </c>
      <c r="D8" s="56"/>
      <c r="E8" s="39">
        <v>1.55</v>
      </c>
      <c r="F8" s="4">
        <v>10</v>
      </c>
      <c r="G8" s="1">
        <f t="shared" ca="1" si="0"/>
        <v>8.6666666666666661</v>
      </c>
      <c r="H8" s="4">
        <v>15</v>
      </c>
      <c r="I8" s="4">
        <v>12</v>
      </c>
      <c r="J8" s="59"/>
    </row>
    <row r="9" spans="1:12" ht="14.55" customHeight="1" x14ac:dyDescent="0.3">
      <c r="A9" s="68"/>
      <c r="B9" s="56"/>
      <c r="C9" s="4">
        <v>3</v>
      </c>
      <c r="D9" s="56"/>
      <c r="E9" s="39">
        <v>1.7</v>
      </c>
      <c r="F9" s="4">
        <v>15</v>
      </c>
      <c r="G9" s="1">
        <f t="shared" ca="1" si="0"/>
        <v>13</v>
      </c>
      <c r="H9" s="4">
        <v>25</v>
      </c>
      <c r="I9" s="4">
        <v>12</v>
      </c>
      <c r="J9" s="59"/>
    </row>
    <row r="10" spans="1:12" ht="14.55" customHeight="1" x14ac:dyDescent="0.3">
      <c r="A10" s="68"/>
      <c r="B10" s="56"/>
      <c r="C10" s="4">
        <v>4</v>
      </c>
      <c r="D10" s="56"/>
      <c r="E10" s="39">
        <v>1.85</v>
      </c>
      <c r="F10" s="4">
        <v>20</v>
      </c>
      <c r="G10" s="1">
        <f t="shared" ca="1" si="0"/>
        <v>18.666666666666668</v>
      </c>
      <c r="H10" s="4">
        <v>35</v>
      </c>
      <c r="I10" s="4">
        <v>12</v>
      </c>
      <c r="J10" s="59"/>
    </row>
    <row r="11" spans="1:12" ht="14.55" customHeight="1" x14ac:dyDescent="0.3">
      <c r="A11" s="68"/>
      <c r="B11" s="56"/>
      <c r="C11" s="4">
        <v>5</v>
      </c>
      <c r="D11" s="56"/>
      <c r="E11" s="39">
        <v>2</v>
      </c>
      <c r="F11" s="4">
        <v>25</v>
      </c>
      <c r="G11" s="1">
        <f t="shared" ca="1" si="0"/>
        <v>23.666666666666668</v>
      </c>
      <c r="H11" s="4">
        <v>45</v>
      </c>
      <c r="I11" s="4">
        <v>12</v>
      </c>
      <c r="J11" s="59"/>
    </row>
    <row r="12" spans="1:12" ht="14.55" customHeight="1" x14ac:dyDescent="0.3">
      <c r="A12" s="68"/>
      <c r="B12" s="56"/>
      <c r="C12" s="4">
        <v>1</v>
      </c>
      <c r="D12" s="56" t="s">
        <v>271</v>
      </c>
      <c r="E12" s="39">
        <v>1.4</v>
      </c>
      <c r="F12" s="4">
        <v>5</v>
      </c>
      <c r="G12" s="1">
        <f ca="1">INDIRECT("Demon!" &amp; ADDRESS(H12 + 2, 3)) / I12</f>
        <v>5.333333333333333</v>
      </c>
      <c r="H12" s="4">
        <v>10</v>
      </c>
      <c r="I12" s="4">
        <v>12</v>
      </c>
      <c r="J12" s="59">
        <v>10</v>
      </c>
    </row>
    <row r="13" spans="1:12" ht="14.55" customHeight="1" x14ac:dyDescent="0.3">
      <c r="A13" s="68"/>
      <c r="B13" s="56"/>
      <c r="C13" s="4">
        <v>2</v>
      </c>
      <c r="D13" s="56"/>
      <c r="E13" s="39">
        <v>1.55</v>
      </c>
      <c r="F13" s="4">
        <v>10</v>
      </c>
      <c r="G13" s="1">
        <f t="shared" ca="1" si="0"/>
        <v>8.6666666666666661</v>
      </c>
      <c r="H13" s="4">
        <v>15</v>
      </c>
      <c r="I13" s="4">
        <v>12</v>
      </c>
      <c r="J13" s="59"/>
    </row>
    <row r="14" spans="1:12" ht="14.55" customHeight="1" x14ac:dyDescent="0.3">
      <c r="A14" s="68"/>
      <c r="B14" s="56"/>
      <c r="C14" s="4">
        <v>3</v>
      </c>
      <c r="D14" s="56"/>
      <c r="E14" s="39">
        <v>1.7</v>
      </c>
      <c r="F14" s="4">
        <v>15</v>
      </c>
      <c r="G14" s="1">
        <f t="shared" ca="1" si="0"/>
        <v>13</v>
      </c>
      <c r="H14" s="4">
        <v>25</v>
      </c>
      <c r="I14" s="4">
        <v>12</v>
      </c>
      <c r="J14" s="59"/>
    </row>
    <row r="15" spans="1:12" ht="14.55" customHeight="1" x14ac:dyDescent="0.3">
      <c r="A15" s="68"/>
      <c r="B15" s="56"/>
      <c r="C15" s="4">
        <v>4</v>
      </c>
      <c r="D15" s="56"/>
      <c r="E15" s="39">
        <v>1.85</v>
      </c>
      <c r="F15" s="4">
        <v>20</v>
      </c>
      <c r="G15" s="1">
        <f t="shared" ca="1" si="0"/>
        <v>18.666666666666668</v>
      </c>
      <c r="H15" s="4">
        <v>35</v>
      </c>
      <c r="I15" s="4">
        <v>12</v>
      </c>
      <c r="J15" s="59"/>
    </row>
    <row r="16" spans="1:12" ht="14.55" customHeight="1" x14ac:dyDescent="0.3">
      <c r="A16" s="68"/>
      <c r="B16" s="56"/>
      <c r="C16" s="4">
        <v>5</v>
      </c>
      <c r="D16" s="56"/>
      <c r="E16" s="39">
        <v>2</v>
      </c>
      <c r="F16" s="4">
        <v>25</v>
      </c>
      <c r="G16" s="1">
        <f t="shared" ca="1" si="0"/>
        <v>23.666666666666668</v>
      </c>
      <c r="H16" s="4">
        <v>45</v>
      </c>
      <c r="I16" s="4">
        <v>12</v>
      </c>
      <c r="J16" s="59"/>
    </row>
    <row r="17" spans="1:10" ht="14.55" customHeight="1" x14ac:dyDescent="0.3">
      <c r="A17" s="68"/>
      <c r="B17" s="56"/>
      <c r="C17" s="4">
        <v>1</v>
      </c>
      <c r="D17" s="56" t="s">
        <v>272</v>
      </c>
      <c r="E17" s="39">
        <v>1.4</v>
      </c>
      <c r="F17" s="4">
        <v>5</v>
      </c>
      <c r="G17" s="1">
        <f t="shared" ca="1" si="0"/>
        <v>12.4</v>
      </c>
      <c r="H17" s="4">
        <v>20</v>
      </c>
      <c r="I17" s="4">
        <v>10</v>
      </c>
      <c r="J17" s="59">
        <v>20</v>
      </c>
    </row>
    <row r="18" spans="1:10" ht="14.55" customHeight="1" x14ac:dyDescent="0.3">
      <c r="A18" s="68"/>
      <c r="B18" s="56"/>
      <c r="C18" s="4">
        <v>2</v>
      </c>
      <c r="D18" s="56"/>
      <c r="E18" s="39">
        <v>1.55</v>
      </c>
      <c r="F18" s="4">
        <v>10</v>
      </c>
      <c r="G18" s="1">
        <f t="shared" ca="1" si="0"/>
        <v>15.6</v>
      </c>
      <c r="H18" s="4">
        <v>25</v>
      </c>
      <c r="I18" s="4">
        <v>10</v>
      </c>
      <c r="J18" s="59"/>
    </row>
    <row r="19" spans="1:10" ht="14.55" customHeight="1" x14ac:dyDescent="0.3">
      <c r="A19" s="68"/>
      <c r="B19" s="56"/>
      <c r="C19" s="4">
        <v>3</v>
      </c>
      <c r="D19" s="56"/>
      <c r="E19" s="39">
        <v>1.7</v>
      </c>
      <c r="F19" s="4">
        <v>15</v>
      </c>
      <c r="G19" s="1">
        <f t="shared" ca="1" si="0"/>
        <v>17.600000000000001</v>
      </c>
      <c r="H19" s="4">
        <v>30</v>
      </c>
      <c r="I19" s="4">
        <v>10</v>
      </c>
      <c r="J19" s="59"/>
    </row>
    <row r="20" spans="1:10" ht="14.55" customHeight="1" x14ac:dyDescent="0.3">
      <c r="A20" s="68"/>
      <c r="B20" s="56"/>
      <c r="C20" s="4">
        <v>4</v>
      </c>
      <c r="D20" s="56"/>
      <c r="E20" s="39">
        <v>1.85</v>
      </c>
      <c r="F20" s="4">
        <v>20</v>
      </c>
      <c r="G20" s="1">
        <f t="shared" ca="1" si="0"/>
        <v>22.4</v>
      </c>
      <c r="H20" s="4">
        <v>35</v>
      </c>
      <c r="I20" s="4">
        <v>10</v>
      </c>
      <c r="J20" s="59"/>
    </row>
    <row r="21" spans="1:10" ht="14.55" customHeight="1" x14ac:dyDescent="0.3">
      <c r="A21" s="68"/>
      <c r="B21" s="56"/>
      <c r="C21" s="4">
        <v>5</v>
      </c>
      <c r="D21" s="56"/>
      <c r="E21" s="39">
        <v>2</v>
      </c>
      <c r="F21" s="4">
        <v>25</v>
      </c>
      <c r="G21" s="1">
        <f t="shared" ca="1" si="0"/>
        <v>24.4</v>
      </c>
      <c r="H21" s="4">
        <v>40</v>
      </c>
      <c r="I21" s="4">
        <v>10</v>
      </c>
      <c r="J21" s="59"/>
    </row>
    <row r="22" spans="1:10" ht="14.55" customHeight="1" x14ac:dyDescent="0.3">
      <c r="A22" s="68"/>
      <c r="B22" s="56"/>
      <c r="C22" s="4">
        <v>1</v>
      </c>
      <c r="D22" s="56" t="s">
        <v>287</v>
      </c>
      <c r="E22" s="39">
        <v>0.1</v>
      </c>
      <c r="F22" s="4">
        <v>5</v>
      </c>
      <c r="G22" s="1">
        <f t="shared" ca="1" si="0"/>
        <v>8.2666666666666675</v>
      </c>
      <c r="H22" s="4">
        <v>20</v>
      </c>
      <c r="I22" s="4">
        <v>15</v>
      </c>
      <c r="J22" s="59">
        <v>20</v>
      </c>
    </row>
    <row r="23" spans="1:10" ht="14.55" customHeight="1" x14ac:dyDescent="0.3">
      <c r="A23" s="68"/>
      <c r="B23" s="56"/>
      <c r="C23" s="4">
        <v>2</v>
      </c>
      <c r="D23" s="56"/>
      <c r="E23" s="39">
        <v>0.2</v>
      </c>
      <c r="F23" s="4">
        <v>10</v>
      </c>
      <c r="G23" s="1">
        <f t="shared" ca="1" si="0"/>
        <v>10.4</v>
      </c>
      <c r="H23" s="4">
        <v>25</v>
      </c>
      <c r="I23" s="4">
        <v>15</v>
      </c>
      <c r="J23" s="59"/>
    </row>
    <row r="24" spans="1:10" ht="14.55" customHeight="1" x14ac:dyDescent="0.3">
      <c r="A24" s="68"/>
      <c r="B24" s="56"/>
      <c r="C24" s="4">
        <v>3</v>
      </c>
      <c r="D24" s="56"/>
      <c r="E24" s="39">
        <v>0.3</v>
      </c>
      <c r="F24" s="4">
        <v>15</v>
      </c>
      <c r="G24" s="1">
        <f t="shared" ca="1" si="0"/>
        <v>11.733333333333333</v>
      </c>
      <c r="H24" s="4">
        <v>30</v>
      </c>
      <c r="I24" s="4">
        <v>15</v>
      </c>
      <c r="J24" s="59"/>
    </row>
    <row r="25" spans="1:10" ht="14.55" customHeight="1" x14ac:dyDescent="0.3">
      <c r="A25" s="68"/>
      <c r="B25" s="56"/>
      <c r="C25" s="4">
        <v>4</v>
      </c>
      <c r="D25" s="56"/>
      <c r="E25" s="39">
        <v>0.4</v>
      </c>
      <c r="F25" s="4">
        <v>20</v>
      </c>
      <c r="G25" s="1">
        <f t="shared" ca="1" si="0"/>
        <v>14.933333333333334</v>
      </c>
      <c r="H25" s="4">
        <v>35</v>
      </c>
      <c r="I25" s="4">
        <v>15</v>
      </c>
      <c r="J25" s="59"/>
    </row>
    <row r="26" spans="1:10" ht="14.55" customHeight="1" x14ac:dyDescent="0.3">
      <c r="A26" s="68"/>
      <c r="B26" s="56"/>
      <c r="C26" s="4">
        <v>5</v>
      </c>
      <c r="D26" s="56"/>
      <c r="E26" s="39">
        <v>0.5</v>
      </c>
      <c r="F26" s="4">
        <v>25</v>
      </c>
      <c r="G26" s="1">
        <f t="shared" ca="1" si="0"/>
        <v>16.266666666666666</v>
      </c>
      <c r="H26" s="4">
        <v>40</v>
      </c>
      <c r="I26" s="4">
        <v>15</v>
      </c>
      <c r="J26" s="59"/>
    </row>
    <row r="27" spans="1:10" ht="14.55" customHeight="1" x14ac:dyDescent="0.3">
      <c r="A27" s="68"/>
      <c r="B27" s="56"/>
      <c r="C27" s="4">
        <v>1</v>
      </c>
      <c r="D27" s="56" t="s">
        <v>288</v>
      </c>
      <c r="E27" s="39">
        <v>0.1</v>
      </c>
      <c r="F27" s="4">
        <v>5</v>
      </c>
      <c r="G27" s="1">
        <f t="shared" ca="1" si="0"/>
        <v>13</v>
      </c>
      <c r="H27" s="4">
        <v>25</v>
      </c>
      <c r="I27" s="4">
        <v>12</v>
      </c>
      <c r="J27" s="59">
        <v>25</v>
      </c>
    </row>
    <row r="28" spans="1:10" ht="14.55" customHeight="1" x14ac:dyDescent="0.3">
      <c r="A28" s="68"/>
      <c r="B28" s="56"/>
      <c r="C28" s="4">
        <v>2</v>
      </c>
      <c r="D28" s="56"/>
      <c r="E28" s="39">
        <v>0.2</v>
      </c>
      <c r="F28" s="4">
        <v>10</v>
      </c>
      <c r="G28" s="1">
        <f t="shared" ca="1" si="0"/>
        <v>14.666666666666666</v>
      </c>
      <c r="H28" s="4">
        <v>30</v>
      </c>
      <c r="I28" s="4">
        <v>12</v>
      </c>
      <c r="J28" s="59"/>
    </row>
    <row r="29" spans="1:10" ht="14.55" customHeight="1" x14ac:dyDescent="0.3">
      <c r="A29" s="68"/>
      <c r="B29" s="56"/>
      <c r="C29" s="4">
        <v>3</v>
      </c>
      <c r="D29" s="56"/>
      <c r="E29" s="39">
        <v>0.3</v>
      </c>
      <c r="F29" s="4">
        <v>15</v>
      </c>
      <c r="G29" s="1">
        <f t="shared" ca="1" si="0"/>
        <v>18.666666666666668</v>
      </c>
      <c r="H29" s="4">
        <v>35</v>
      </c>
      <c r="I29" s="4">
        <v>12</v>
      </c>
      <c r="J29" s="59"/>
    </row>
    <row r="30" spans="1:10" ht="14.55" customHeight="1" x14ac:dyDescent="0.3">
      <c r="A30" s="68"/>
      <c r="B30" s="56"/>
      <c r="C30" s="4">
        <v>4</v>
      </c>
      <c r="D30" s="56"/>
      <c r="E30" s="39">
        <v>0.4</v>
      </c>
      <c r="F30" s="4">
        <v>20</v>
      </c>
      <c r="G30" s="1">
        <f t="shared" ca="1" si="0"/>
        <v>20.333333333333332</v>
      </c>
      <c r="H30" s="4">
        <v>40</v>
      </c>
      <c r="I30" s="4">
        <v>12</v>
      </c>
      <c r="J30" s="59"/>
    </row>
    <row r="31" spans="1:10" ht="14.55" customHeight="1" x14ac:dyDescent="0.3">
      <c r="A31" s="68"/>
      <c r="B31" s="56"/>
      <c r="C31" s="4">
        <v>5</v>
      </c>
      <c r="D31" s="56"/>
      <c r="E31" s="39">
        <v>0.5</v>
      </c>
      <c r="F31" s="4">
        <v>25</v>
      </c>
      <c r="G31" s="1">
        <f t="shared" ca="1" si="0"/>
        <v>23.666666666666668</v>
      </c>
      <c r="H31" s="4">
        <v>45</v>
      </c>
      <c r="I31" s="4">
        <v>12</v>
      </c>
      <c r="J31" s="59"/>
    </row>
    <row r="32" spans="1:10" ht="14.55" customHeight="1" x14ac:dyDescent="0.3">
      <c r="A32" s="68"/>
      <c r="B32" s="56"/>
      <c r="C32" s="4">
        <v>1</v>
      </c>
      <c r="D32" s="56" t="s">
        <v>289</v>
      </c>
      <c r="E32" s="39">
        <v>0.1</v>
      </c>
      <c r="F32" s="4">
        <v>5</v>
      </c>
      <c r="G32" s="1">
        <f t="shared" ca="1" si="0"/>
        <v>14.666666666666666</v>
      </c>
      <c r="H32" s="4">
        <v>30</v>
      </c>
      <c r="I32" s="4">
        <v>12</v>
      </c>
      <c r="J32" s="59">
        <v>30</v>
      </c>
    </row>
    <row r="33" spans="1:10" ht="14.55" customHeight="1" x14ac:dyDescent="0.3">
      <c r="A33" s="68"/>
      <c r="B33" s="56"/>
      <c r="C33" s="4">
        <v>2</v>
      </c>
      <c r="D33" s="56"/>
      <c r="E33" s="39">
        <v>0.2</v>
      </c>
      <c r="F33" s="4">
        <v>10</v>
      </c>
      <c r="G33" s="1">
        <f t="shared" ca="1" si="0"/>
        <v>18.666666666666668</v>
      </c>
      <c r="H33" s="4">
        <v>35</v>
      </c>
      <c r="I33" s="4">
        <v>12</v>
      </c>
      <c r="J33" s="59"/>
    </row>
    <row r="34" spans="1:10" ht="14.55" customHeight="1" x14ac:dyDescent="0.3">
      <c r="A34" s="68"/>
      <c r="B34" s="56"/>
      <c r="C34" s="4">
        <v>3</v>
      </c>
      <c r="D34" s="56"/>
      <c r="E34" s="39">
        <v>0.3</v>
      </c>
      <c r="F34" s="4">
        <v>15</v>
      </c>
      <c r="G34" s="1">
        <f t="shared" ca="1" si="0"/>
        <v>20.333333333333332</v>
      </c>
      <c r="H34" s="4">
        <v>40</v>
      </c>
      <c r="I34" s="4">
        <v>12</v>
      </c>
      <c r="J34" s="59"/>
    </row>
    <row r="35" spans="1:10" ht="14.55" customHeight="1" x14ac:dyDescent="0.3">
      <c r="A35" s="68"/>
      <c r="B35" s="56"/>
      <c r="C35" s="4">
        <v>4</v>
      </c>
      <c r="D35" s="56"/>
      <c r="E35" s="39">
        <v>0.4</v>
      </c>
      <c r="F35" s="4">
        <v>20</v>
      </c>
      <c r="G35" s="1">
        <f t="shared" ca="1" si="0"/>
        <v>23.666666666666668</v>
      </c>
      <c r="H35" s="4">
        <v>45</v>
      </c>
      <c r="I35" s="4">
        <v>12</v>
      </c>
      <c r="J35" s="59"/>
    </row>
    <row r="36" spans="1:10" ht="14.55" customHeight="1" x14ac:dyDescent="0.3">
      <c r="A36" s="68"/>
      <c r="B36" s="56"/>
      <c r="C36" s="4">
        <v>5</v>
      </c>
      <c r="D36" s="56"/>
      <c r="E36" s="39">
        <v>0.5</v>
      </c>
      <c r="F36" s="4">
        <v>25</v>
      </c>
      <c r="G36" s="1">
        <f t="shared" ca="1" si="0"/>
        <v>25.333333333333332</v>
      </c>
      <c r="H36" s="4">
        <v>50</v>
      </c>
      <c r="I36" s="4">
        <v>12</v>
      </c>
      <c r="J36" s="59"/>
    </row>
    <row r="37" spans="1:10" ht="14.55" customHeight="1" x14ac:dyDescent="0.3">
      <c r="A37" s="68"/>
      <c r="B37" s="56"/>
      <c r="C37" s="4">
        <v>1</v>
      </c>
      <c r="D37" s="56" t="s">
        <v>290</v>
      </c>
      <c r="E37" s="39">
        <v>0.1</v>
      </c>
      <c r="F37" s="4">
        <v>5</v>
      </c>
      <c r="G37" s="1">
        <f t="shared" ca="1" si="0"/>
        <v>22.4</v>
      </c>
      <c r="H37" s="4">
        <v>35</v>
      </c>
      <c r="I37" s="4">
        <v>10</v>
      </c>
      <c r="J37" s="59">
        <v>35</v>
      </c>
    </row>
    <row r="38" spans="1:10" ht="14.55" customHeight="1" x14ac:dyDescent="0.3">
      <c r="A38" s="68"/>
      <c r="B38" s="56"/>
      <c r="C38" s="4">
        <v>2</v>
      </c>
      <c r="D38" s="56"/>
      <c r="E38" s="39">
        <v>0.2</v>
      </c>
      <c r="F38" s="4">
        <v>10</v>
      </c>
      <c r="G38" s="1">
        <f t="shared" ca="1" si="0"/>
        <v>24.4</v>
      </c>
      <c r="H38" s="4">
        <v>40</v>
      </c>
      <c r="I38" s="4">
        <v>10</v>
      </c>
      <c r="J38" s="59"/>
    </row>
    <row r="39" spans="1:10" ht="14.55" customHeight="1" x14ac:dyDescent="0.3">
      <c r="A39" s="68"/>
      <c r="B39" s="56"/>
      <c r="C39" s="4">
        <v>3</v>
      </c>
      <c r="D39" s="56"/>
      <c r="E39" s="39">
        <v>0.3</v>
      </c>
      <c r="F39" s="4">
        <v>15</v>
      </c>
      <c r="G39" s="1">
        <f t="shared" ca="1" si="0"/>
        <v>28.4</v>
      </c>
      <c r="H39" s="4">
        <v>45</v>
      </c>
      <c r="I39" s="4">
        <v>10</v>
      </c>
      <c r="J39" s="59"/>
    </row>
    <row r="40" spans="1:10" ht="14.55" customHeight="1" x14ac:dyDescent="0.3">
      <c r="A40" s="68"/>
      <c r="B40" s="56"/>
      <c r="C40" s="4">
        <v>4</v>
      </c>
      <c r="D40" s="56"/>
      <c r="E40" s="39">
        <v>0.4</v>
      </c>
      <c r="F40" s="4">
        <v>20</v>
      </c>
      <c r="G40" s="1">
        <f t="shared" ca="1" si="0"/>
        <v>30.4</v>
      </c>
      <c r="H40" s="4">
        <v>50</v>
      </c>
      <c r="I40" s="4">
        <v>10</v>
      </c>
      <c r="J40" s="59"/>
    </row>
    <row r="41" spans="1:10" ht="14.55" customHeight="1" x14ac:dyDescent="0.3">
      <c r="A41" s="68"/>
      <c r="B41" s="56"/>
      <c r="C41" s="4">
        <v>5</v>
      </c>
      <c r="D41" s="56"/>
      <c r="E41" s="39">
        <v>0.5</v>
      </c>
      <c r="F41" s="4">
        <v>25</v>
      </c>
      <c r="G41" s="1">
        <f t="shared" ca="1" si="0"/>
        <v>30.4</v>
      </c>
      <c r="H41" s="4">
        <v>50</v>
      </c>
      <c r="I41" s="4">
        <v>10</v>
      </c>
      <c r="J41" s="59"/>
    </row>
    <row r="42" spans="1:10" ht="14.55" customHeight="1" x14ac:dyDescent="0.3">
      <c r="A42" s="68"/>
      <c r="B42" s="56"/>
      <c r="C42" s="4">
        <v>1</v>
      </c>
      <c r="D42" s="56" t="s">
        <v>273</v>
      </c>
      <c r="E42" s="39">
        <v>1.1000000000000001</v>
      </c>
      <c r="F42" s="4">
        <v>5</v>
      </c>
      <c r="G42" s="1">
        <f t="shared" ca="1" si="0"/>
        <v>2.9333333333333331</v>
      </c>
      <c r="H42" s="4">
        <v>5</v>
      </c>
      <c r="I42" s="4">
        <v>15</v>
      </c>
      <c r="J42" s="59">
        <v>7</v>
      </c>
    </row>
    <row r="43" spans="1:10" ht="14.55" customHeight="1" x14ac:dyDescent="0.3">
      <c r="A43" s="68"/>
      <c r="B43" s="56"/>
      <c r="C43" s="4">
        <v>2</v>
      </c>
      <c r="D43" s="56"/>
      <c r="E43" s="39">
        <v>1.2</v>
      </c>
      <c r="F43" s="4">
        <v>10</v>
      </c>
      <c r="G43" s="1">
        <f t="shared" ca="1" si="0"/>
        <v>6.9333333333333336</v>
      </c>
      <c r="H43" s="4">
        <v>15</v>
      </c>
      <c r="I43" s="4">
        <v>15</v>
      </c>
      <c r="J43" s="59"/>
    </row>
    <row r="44" spans="1:10" ht="14.55" customHeight="1" x14ac:dyDescent="0.3">
      <c r="A44" s="68"/>
      <c r="B44" s="56"/>
      <c r="C44" s="4">
        <v>3</v>
      </c>
      <c r="D44" s="56"/>
      <c r="E44" s="39">
        <v>1.3</v>
      </c>
      <c r="F44" s="4">
        <v>15</v>
      </c>
      <c r="G44" s="1">
        <f t="shared" ca="1" si="0"/>
        <v>10.4</v>
      </c>
      <c r="H44" s="4">
        <v>25</v>
      </c>
      <c r="I44" s="4">
        <v>15</v>
      </c>
      <c r="J44" s="59"/>
    </row>
    <row r="45" spans="1:10" ht="14.55" customHeight="1" x14ac:dyDescent="0.3">
      <c r="A45" s="68"/>
      <c r="B45" s="56"/>
      <c r="C45" s="4">
        <v>4</v>
      </c>
      <c r="D45" s="56"/>
      <c r="E45" s="39">
        <v>1.4</v>
      </c>
      <c r="F45" s="4">
        <v>20</v>
      </c>
      <c r="G45" s="1">
        <f t="shared" ca="1" si="0"/>
        <v>14.933333333333334</v>
      </c>
      <c r="H45" s="4">
        <v>35</v>
      </c>
      <c r="I45" s="4">
        <v>15</v>
      </c>
      <c r="J45" s="59"/>
    </row>
    <row r="46" spans="1:10" ht="14.55" customHeight="1" x14ac:dyDescent="0.3">
      <c r="A46" s="68"/>
      <c r="B46" s="56"/>
      <c r="C46" s="4">
        <v>5</v>
      </c>
      <c r="D46" s="56"/>
      <c r="E46" s="39">
        <v>1.5</v>
      </c>
      <c r="F46" s="4">
        <v>25</v>
      </c>
      <c r="G46" s="1">
        <f t="shared" ca="1" si="0"/>
        <v>18.933333333333334</v>
      </c>
      <c r="H46" s="4">
        <v>45</v>
      </c>
      <c r="I46" s="4">
        <v>15</v>
      </c>
      <c r="J46" s="59"/>
    </row>
    <row r="47" spans="1:10" ht="14.55" customHeight="1" x14ac:dyDescent="0.3">
      <c r="A47" s="68"/>
      <c r="B47" s="56"/>
      <c r="C47" s="4">
        <v>1</v>
      </c>
      <c r="D47" s="56" t="s">
        <v>275</v>
      </c>
      <c r="E47" s="39">
        <v>1.1000000000000001</v>
      </c>
      <c r="F47" s="4">
        <v>5</v>
      </c>
      <c r="G47" s="1">
        <f t="shared" ca="1" si="0"/>
        <v>5.333333333333333</v>
      </c>
      <c r="H47" s="4">
        <v>10</v>
      </c>
      <c r="I47" s="4">
        <v>12</v>
      </c>
      <c r="J47" s="59">
        <v>12</v>
      </c>
    </row>
    <row r="48" spans="1:10" ht="14.55" customHeight="1" x14ac:dyDescent="0.3">
      <c r="A48" s="68"/>
      <c r="B48" s="56"/>
      <c r="C48" s="4">
        <v>2</v>
      </c>
      <c r="D48" s="56"/>
      <c r="E48" s="39">
        <v>1.2</v>
      </c>
      <c r="F48" s="4">
        <v>10</v>
      </c>
      <c r="G48" s="1">
        <f t="shared" ca="1" si="0"/>
        <v>8.6666666666666661</v>
      </c>
      <c r="H48" s="4">
        <v>15</v>
      </c>
      <c r="I48" s="4">
        <v>12</v>
      </c>
      <c r="J48" s="59"/>
    </row>
    <row r="49" spans="1:12" ht="14.55" customHeight="1" x14ac:dyDescent="0.3">
      <c r="A49" s="68"/>
      <c r="B49" s="56"/>
      <c r="C49" s="4">
        <v>3</v>
      </c>
      <c r="D49" s="56"/>
      <c r="E49" s="39">
        <v>1.3</v>
      </c>
      <c r="F49" s="4">
        <v>15</v>
      </c>
      <c r="G49" s="1">
        <f t="shared" ca="1" si="0"/>
        <v>13</v>
      </c>
      <c r="H49" s="4">
        <v>25</v>
      </c>
      <c r="I49" s="4">
        <v>12</v>
      </c>
      <c r="J49" s="59"/>
    </row>
    <row r="50" spans="1:12" ht="14.55" customHeight="1" x14ac:dyDescent="0.3">
      <c r="A50" s="68"/>
      <c r="B50" s="56"/>
      <c r="C50" s="4">
        <v>4</v>
      </c>
      <c r="D50" s="56"/>
      <c r="E50" s="39">
        <v>1.4</v>
      </c>
      <c r="F50" s="4">
        <v>20</v>
      </c>
      <c r="G50" s="1">
        <f t="shared" ca="1" si="0"/>
        <v>18.666666666666668</v>
      </c>
      <c r="H50" s="4">
        <v>35</v>
      </c>
      <c r="I50" s="4">
        <v>12</v>
      </c>
      <c r="J50" s="59"/>
    </row>
    <row r="51" spans="1:12" ht="14.55" customHeight="1" x14ac:dyDescent="0.3">
      <c r="A51" s="68"/>
      <c r="B51" s="56"/>
      <c r="C51" s="4">
        <v>5</v>
      </c>
      <c r="D51" s="56"/>
      <c r="E51" s="39">
        <v>1.5</v>
      </c>
      <c r="F51" s="4">
        <v>25</v>
      </c>
      <c r="G51" s="1">
        <f t="shared" ca="1" si="0"/>
        <v>23.666666666666668</v>
      </c>
      <c r="H51" s="4">
        <v>45</v>
      </c>
      <c r="I51" s="4">
        <v>12</v>
      </c>
      <c r="J51" s="59"/>
    </row>
    <row r="52" spans="1:12" ht="14.55" customHeight="1" x14ac:dyDescent="0.3">
      <c r="A52" s="68"/>
      <c r="B52" s="56"/>
      <c r="C52" s="4">
        <v>1</v>
      </c>
      <c r="D52" s="56" t="s">
        <v>276</v>
      </c>
      <c r="E52" s="39">
        <v>1.1000000000000001</v>
      </c>
      <c r="F52" s="4">
        <v>5</v>
      </c>
      <c r="G52" s="1">
        <f t="shared" ca="1" si="0"/>
        <v>5.333333333333333</v>
      </c>
      <c r="H52" s="4">
        <v>10</v>
      </c>
      <c r="I52" s="4">
        <v>12</v>
      </c>
      <c r="J52" s="59">
        <v>17</v>
      </c>
    </row>
    <row r="53" spans="1:12" ht="14.55" customHeight="1" x14ac:dyDescent="0.3">
      <c r="A53" s="68"/>
      <c r="B53" s="56"/>
      <c r="C53" s="4">
        <v>2</v>
      </c>
      <c r="D53" s="56"/>
      <c r="E53" s="39">
        <v>1.2</v>
      </c>
      <c r="F53" s="4">
        <v>10</v>
      </c>
      <c r="G53" s="1">
        <f t="shared" ca="1" si="0"/>
        <v>8.6666666666666661</v>
      </c>
      <c r="H53" s="4">
        <v>15</v>
      </c>
      <c r="I53" s="4">
        <v>12</v>
      </c>
      <c r="J53" s="59"/>
    </row>
    <row r="54" spans="1:12" ht="14.55" customHeight="1" x14ac:dyDescent="0.3">
      <c r="A54" s="68"/>
      <c r="B54" s="56"/>
      <c r="C54" s="4">
        <v>3</v>
      </c>
      <c r="D54" s="56"/>
      <c r="E54" s="39">
        <v>1.3</v>
      </c>
      <c r="F54" s="4">
        <v>15</v>
      </c>
      <c r="G54" s="1">
        <f t="shared" ca="1" si="0"/>
        <v>13</v>
      </c>
      <c r="H54" s="4">
        <v>25</v>
      </c>
      <c r="I54" s="4">
        <v>12</v>
      </c>
      <c r="J54" s="59"/>
    </row>
    <row r="55" spans="1:12" ht="14.55" customHeight="1" x14ac:dyDescent="0.3">
      <c r="A55" s="68"/>
      <c r="B55" s="56"/>
      <c r="C55" s="4">
        <v>4</v>
      </c>
      <c r="D55" s="56"/>
      <c r="E55" s="39">
        <v>1.4</v>
      </c>
      <c r="F55" s="4">
        <v>20</v>
      </c>
      <c r="G55" s="1">
        <f t="shared" ca="1" si="0"/>
        <v>18.666666666666668</v>
      </c>
      <c r="H55" s="4">
        <v>35</v>
      </c>
      <c r="I55" s="4">
        <v>12</v>
      </c>
      <c r="J55" s="59"/>
    </row>
    <row r="56" spans="1:12" ht="14.55" customHeight="1" x14ac:dyDescent="0.3">
      <c r="A56" s="68"/>
      <c r="B56" s="56"/>
      <c r="C56" s="4">
        <v>5</v>
      </c>
      <c r="D56" s="56"/>
      <c r="E56" s="39">
        <v>1.5</v>
      </c>
      <c r="F56" s="4">
        <v>25</v>
      </c>
      <c r="G56" s="1">
        <f t="shared" ca="1" si="0"/>
        <v>23.666666666666668</v>
      </c>
      <c r="H56" s="4">
        <v>45</v>
      </c>
      <c r="I56" s="4">
        <v>12</v>
      </c>
      <c r="J56" s="59"/>
    </row>
    <row r="57" spans="1:12" ht="14.55" customHeight="1" x14ac:dyDescent="0.3">
      <c r="A57" s="68"/>
      <c r="B57" s="57"/>
      <c r="C57" s="4">
        <v>1</v>
      </c>
      <c r="D57" s="57" t="s">
        <v>277</v>
      </c>
      <c r="E57" s="39">
        <v>1.1000000000000001</v>
      </c>
      <c r="F57" s="4">
        <v>5</v>
      </c>
      <c r="G57" s="1">
        <f t="shared" ca="1" si="0"/>
        <v>12.4</v>
      </c>
      <c r="H57" s="4">
        <v>20</v>
      </c>
      <c r="I57" s="4">
        <v>10</v>
      </c>
      <c r="J57" s="60">
        <v>22</v>
      </c>
    </row>
    <row r="58" spans="1:12" ht="14.55" customHeight="1" x14ac:dyDescent="0.3">
      <c r="A58" s="68"/>
      <c r="B58" s="57"/>
      <c r="C58" s="4">
        <v>2</v>
      </c>
      <c r="D58" s="57"/>
      <c r="E58" s="39">
        <v>1.2</v>
      </c>
      <c r="F58" s="4">
        <v>10</v>
      </c>
      <c r="G58" s="1">
        <f t="shared" ca="1" si="0"/>
        <v>15.6</v>
      </c>
      <c r="H58" s="4">
        <v>25</v>
      </c>
      <c r="I58" s="4">
        <v>10</v>
      </c>
      <c r="J58" s="60"/>
    </row>
    <row r="59" spans="1:12" ht="14.55" customHeight="1" x14ac:dyDescent="0.3">
      <c r="A59" s="68"/>
      <c r="B59" s="57"/>
      <c r="C59" s="4">
        <v>3</v>
      </c>
      <c r="D59" s="57"/>
      <c r="E59" s="39">
        <v>1.3</v>
      </c>
      <c r="F59" s="4">
        <v>15</v>
      </c>
      <c r="G59" s="1">
        <f t="shared" ca="1" si="0"/>
        <v>17.600000000000001</v>
      </c>
      <c r="H59" s="4">
        <v>30</v>
      </c>
      <c r="I59" s="4">
        <v>10</v>
      </c>
      <c r="J59" s="60"/>
    </row>
    <row r="60" spans="1:12" ht="14.55" customHeight="1" x14ac:dyDescent="0.3">
      <c r="A60" s="68"/>
      <c r="B60" s="57"/>
      <c r="C60" s="4">
        <v>4</v>
      </c>
      <c r="D60" s="57"/>
      <c r="E60" s="39">
        <v>1.4</v>
      </c>
      <c r="F60" s="4">
        <v>20</v>
      </c>
      <c r="G60" s="1">
        <f t="shared" ca="1" si="0"/>
        <v>22.4</v>
      </c>
      <c r="H60" s="4">
        <v>35</v>
      </c>
      <c r="I60" s="4">
        <v>10</v>
      </c>
      <c r="J60" s="60"/>
    </row>
    <row r="61" spans="1:12" s="42" customFormat="1" ht="14.55" customHeight="1" x14ac:dyDescent="0.3">
      <c r="A61" s="69"/>
      <c r="B61" s="58"/>
      <c r="C61" s="42">
        <v>5</v>
      </c>
      <c r="D61" s="58"/>
      <c r="E61" s="50">
        <v>1.5</v>
      </c>
      <c r="F61" s="42">
        <v>25</v>
      </c>
      <c r="G61" s="30">
        <f t="shared" ca="1" si="0"/>
        <v>24.4</v>
      </c>
      <c r="H61" s="42">
        <v>40</v>
      </c>
      <c r="I61" s="42">
        <v>10</v>
      </c>
      <c r="J61" s="61"/>
      <c r="L61" s="30"/>
    </row>
    <row r="62" spans="1:12" ht="14.55" customHeight="1" x14ac:dyDescent="0.3">
      <c r="A62" s="62" t="s">
        <v>13</v>
      </c>
      <c r="B62" s="56"/>
      <c r="C62" s="4">
        <v>1</v>
      </c>
      <c r="D62" s="56" t="s">
        <v>274</v>
      </c>
      <c r="E62" s="39">
        <v>1.4</v>
      </c>
      <c r="F62" s="4">
        <v>5</v>
      </c>
      <c r="G62" s="34">
        <f ca="1">INDIRECT("Elf!" &amp; ADDRESS(H62 + 2, 3)) / I62</f>
        <v>2.2000000000000002</v>
      </c>
      <c r="H62" s="4">
        <v>5</v>
      </c>
      <c r="I62" s="4">
        <v>15</v>
      </c>
      <c r="J62" s="59">
        <v>2</v>
      </c>
    </row>
    <row r="63" spans="1:12" ht="14.55" customHeight="1" x14ac:dyDescent="0.3">
      <c r="A63" s="62"/>
      <c r="B63" s="56"/>
      <c r="C63" s="4">
        <v>2</v>
      </c>
      <c r="D63" s="56"/>
      <c r="E63" s="39">
        <v>1.55</v>
      </c>
      <c r="F63" s="4">
        <v>10</v>
      </c>
      <c r="G63" s="34">
        <f t="shared" ref="G63:G116" ca="1" si="1">INDIRECT("Elf!" &amp; ADDRESS(H63 + 2, 3)) / I63</f>
        <v>5.2666666666666666</v>
      </c>
      <c r="H63" s="4">
        <v>15</v>
      </c>
      <c r="I63" s="4">
        <v>15</v>
      </c>
      <c r="J63" s="59"/>
    </row>
    <row r="64" spans="1:12" ht="14.55" customHeight="1" x14ac:dyDescent="0.3">
      <c r="A64" s="62"/>
      <c r="B64" s="56"/>
      <c r="C64" s="4">
        <v>3</v>
      </c>
      <c r="D64" s="56"/>
      <c r="E64" s="39">
        <v>1.7</v>
      </c>
      <c r="F64" s="4">
        <v>15</v>
      </c>
      <c r="G64" s="34">
        <f t="shared" ca="1" si="1"/>
        <v>7.8</v>
      </c>
      <c r="H64" s="4">
        <v>25</v>
      </c>
      <c r="I64" s="4">
        <v>15</v>
      </c>
      <c r="J64" s="59"/>
    </row>
    <row r="65" spans="1:10" ht="14.55" customHeight="1" x14ac:dyDescent="0.3">
      <c r="A65" s="62"/>
      <c r="B65" s="56"/>
      <c r="C65" s="4">
        <v>4</v>
      </c>
      <c r="D65" s="56"/>
      <c r="E65" s="39">
        <v>1.85</v>
      </c>
      <c r="F65" s="4">
        <v>20</v>
      </c>
      <c r="G65" s="34">
        <f t="shared" ca="1" si="1"/>
        <v>11.266666666666667</v>
      </c>
      <c r="H65" s="4">
        <v>35</v>
      </c>
      <c r="I65" s="4">
        <v>15</v>
      </c>
      <c r="J65" s="59"/>
    </row>
    <row r="66" spans="1:10" ht="14.55" customHeight="1" x14ac:dyDescent="0.3">
      <c r="A66" s="62"/>
      <c r="B66" s="56"/>
      <c r="C66" s="4">
        <v>5</v>
      </c>
      <c r="D66" s="56"/>
      <c r="E66" s="39">
        <v>2</v>
      </c>
      <c r="F66" s="4">
        <v>25</v>
      </c>
      <c r="G66" s="34">
        <f t="shared" ca="1" si="1"/>
        <v>14.2</v>
      </c>
      <c r="H66" s="4">
        <v>45</v>
      </c>
      <c r="I66" s="4">
        <v>15</v>
      </c>
      <c r="J66" s="59"/>
    </row>
    <row r="67" spans="1:10" ht="14.55" customHeight="1" x14ac:dyDescent="0.3">
      <c r="A67" s="62"/>
      <c r="B67" s="56"/>
      <c r="C67" s="4">
        <v>1</v>
      </c>
      <c r="D67" s="56" t="s">
        <v>270</v>
      </c>
      <c r="E67" s="39">
        <v>1.4</v>
      </c>
      <c r="F67" s="4">
        <v>5</v>
      </c>
      <c r="G67" s="34">
        <f t="shared" ca="1" si="1"/>
        <v>2.75</v>
      </c>
      <c r="H67" s="4">
        <v>5</v>
      </c>
      <c r="I67" s="4">
        <v>12</v>
      </c>
      <c r="J67" s="59">
        <v>5</v>
      </c>
    </row>
    <row r="68" spans="1:10" ht="14.55" customHeight="1" x14ac:dyDescent="0.3">
      <c r="A68" s="62"/>
      <c r="B68" s="56"/>
      <c r="C68" s="4">
        <v>2</v>
      </c>
      <c r="D68" s="56"/>
      <c r="E68" s="39">
        <v>1.55</v>
      </c>
      <c r="F68" s="4">
        <v>10</v>
      </c>
      <c r="G68" s="34">
        <f t="shared" ca="1" si="1"/>
        <v>6.583333333333333</v>
      </c>
      <c r="H68" s="4">
        <v>15</v>
      </c>
      <c r="I68" s="4">
        <v>12</v>
      </c>
      <c r="J68" s="59"/>
    </row>
    <row r="69" spans="1:10" ht="14.55" customHeight="1" x14ac:dyDescent="0.3">
      <c r="A69" s="62"/>
      <c r="B69" s="56"/>
      <c r="C69" s="4">
        <v>3</v>
      </c>
      <c r="D69" s="56"/>
      <c r="E69" s="39">
        <v>1.7</v>
      </c>
      <c r="F69" s="4">
        <v>15</v>
      </c>
      <c r="G69" s="34">
        <f t="shared" ca="1" si="1"/>
        <v>9.75</v>
      </c>
      <c r="H69" s="4">
        <v>25</v>
      </c>
      <c r="I69" s="4">
        <v>12</v>
      </c>
      <c r="J69" s="59"/>
    </row>
    <row r="70" spans="1:10" ht="14.55" customHeight="1" x14ac:dyDescent="0.3">
      <c r="A70" s="62"/>
      <c r="B70" s="56"/>
      <c r="C70" s="4">
        <v>4</v>
      </c>
      <c r="D70" s="56"/>
      <c r="E70" s="39">
        <v>1.85</v>
      </c>
      <c r="F70" s="4">
        <v>20</v>
      </c>
      <c r="G70" s="34">
        <f t="shared" ca="1" si="1"/>
        <v>14.083333333333334</v>
      </c>
      <c r="H70" s="4">
        <v>35</v>
      </c>
      <c r="I70" s="4">
        <v>12</v>
      </c>
      <c r="J70" s="59"/>
    </row>
    <row r="71" spans="1:10" ht="14.55" customHeight="1" x14ac:dyDescent="0.3">
      <c r="A71" s="62"/>
      <c r="B71" s="56"/>
      <c r="C71" s="4">
        <v>5</v>
      </c>
      <c r="D71" s="56"/>
      <c r="E71" s="39">
        <v>2</v>
      </c>
      <c r="F71" s="4">
        <v>25</v>
      </c>
      <c r="G71" s="34">
        <f t="shared" ca="1" si="1"/>
        <v>17.75</v>
      </c>
      <c r="H71" s="4">
        <v>45</v>
      </c>
      <c r="I71" s="4">
        <v>12</v>
      </c>
      <c r="J71" s="59"/>
    </row>
    <row r="72" spans="1:10" ht="14.55" customHeight="1" x14ac:dyDescent="0.3">
      <c r="A72" s="62"/>
      <c r="B72" s="56"/>
      <c r="C72" s="4">
        <v>1</v>
      </c>
      <c r="D72" s="56" t="s">
        <v>271</v>
      </c>
      <c r="E72" s="39">
        <v>1.4</v>
      </c>
      <c r="F72" s="4">
        <v>5</v>
      </c>
      <c r="G72" s="34">
        <f t="shared" ca="1" si="1"/>
        <v>4</v>
      </c>
      <c r="H72" s="4">
        <v>10</v>
      </c>
      <c r="I72" s="4">
        <v>12</v>
      </c>
      <c r="J72" s="59">
        <v>10</v>
      </c>
    </row>
    <row r="73" spans="1:10" ht="14.55" customHeight="1" x14ac:dyDescent="0.3">
      <c r="A73" s="62"/>
      <c r="B73" s="56"/>
      <c r="C73" s="4">
        <v>2</v>
      </c>
      <c r="D73" s="56"/>
      <c r="E73" s="39">
        <v>1.55</v>
      </c>
      <c r="F73" s="4">
        <v>10</v>
      </c>
      <c r="G73" s="34">
        <f t="shared" ca="1" si="1"/>
        <v>6.583333333333333</v>
      </c>
      <c r="H73" s="4">
        <v>15</v>
      </c>
      <c r="I73" s="4">
        <v>12</v>
      </c>
      <c r="J73" s="59"/>
    </row>
    <row r="74" spans="1:10" ht="14.55" customHeight="1" x14ac:dyDescent="0.3">
      <c r="A74" s="62"/>
      <c r="B74" s="56"/>
      <c r="C74" s="4">
        <v>3</v>
      </c>
      <c r="D74" s="56"/>
      <c r="E74" s="39">
        <v>1.7</v>
      </c>
      <c r="F74" s="4">
        <v>15</v>
      </c>
      <c r="G74" s="34">
        <f t="shared" ca="1" si="1"/>
        <v>9.75</v>
      </c>
      <c r="H74" s="4">
        <v>25</v>
      </c>
      <c r="I74" s="4">
        <v>12</v>
      </c>
      <c r="J74" s="59"/>
    </row>
    <row r="75" spans="1:10" ht="14.55" customHeight="1" x14ac:dyDescent="0.3">
      <c r="A75" s="62"/>
      <c r="B75" s="56"/>
      <c r="C75" s="4">
        <v>4</v>
      </c>
      <c r="D75" s="56"/>
      <c r="E75" s="39">
        <v>1.85</v>
      </c>
      <c r="F75" s="4">
        <v>20</v>
      </c>
      <c r="G75" s="34">
        <f t="shared" ca="1" si="1"/>
        <v>14.083333333333334</v>
      </c>
      <c r="H75" s="4">
        <v>35</v>
      </c>
      <c r="I75" s="4">
        <v>12</v>
      </c>
      <c r="J75" s="59"/>
    </row>
    <row r="76" spans="1:10" ht="14.55" customHeight="1" x14ac:dyDescent="0.3">
      <c r="A76" s="62"/>
      <c r="B76" s="56"/>
      <c r="C76" s="4">
        <v>5</v>
      </c>
      <c r="D76" s="56"/>
      <c r="E76" s="39">
        <v>2</v>
      </c>
      <c r="F76" s="4">
        <v>25</v>
      </c>
      <c r="G76" s="34">
        <f t="shared" ca="1" si="1"/>
        <v>17.75</v>
      </c>
      <c r="H76" s="4">
        <v>45</v>
      </c>
      <c r="I76" s="4">
        <v>12</v>
      </c>
      <c r="J76" s="59"/>
    </row>
    <row r="77" spans="1:10" ht="14.55" customHeight="1" x14ac:dyDescent="0.3">
      <c r="A77" s="62"/>
      <c r="B77" s="56"/>
      <c r="C77" s="4">
        <v>1</v>
      </c>
      <c r="D77" s="56" t="s">
        <v>272</v>
      </c>
      <c r="E77" s="39">
        <v>1.4</v>
      </c>
      <c r="F77" s="4">
        <v>5</v>
      </c>
      <c r="G77" s="34">
        <f t="shared" ca="1" si="1"/>
        <v>9.4</v>
      </c>
      <c r="H77" s="4">
        <v>20</v>
      </c>
      <c r="I77" s="4">
        <v>10</v>
      </c>
      <c r="J77" s="59">
        <v>20</v>
      </c>
    </row>
    <row r="78" spans="1:10" ht="14.55" customHeight="1" x14ac:dyDescent="0.3">
      <c r="A78" s="62"/>
      <c r="B78" s="56"/>
      <c r="C78" s="4">
        <v>2</v>
      </c>
      <c r="D78" s="56"/>
      <c r="E78" s="39">
        <v>1.55</v>
      </c>
      <c r="F78" s="4">
        <v>10</v>
      </c>
      <c r="G78" s="34">
        <f t="shared" ca="1" si="1"/>
        <v>11.7</v>
      </c>
      <c r="H78" s="4">
        <v>25</v>
      </c>
      <c r="I78" s="4">
        <v>10</v>
      </c>
      <c r="J78" s="59"/>
    </row>
    <row r="79" spans="1:10" ht="14.55" customHeight="1" x14ac:dyDescent="0.3">
      <c r="A79" s="62"/>
      <c r="B79" s="56"/>
      <c r="C79" s="4">
        <v>3</v>
      </c>
      <c r="D79" s="56"/>
      <c r="E79" s="39">
        <v>1.7</v>
      </c>
      <c r="F79" s="4">
        <v>15</v>
      </c>
      <c r="G79" s="34">
        <f t="shared" ca="1" si="1"/>
        <v>13.2</v>
      </c>
      <c r="H79" s="4">
        <v>30</v>
      </c>
      <c r="I79" s="4">
        <v>10</v>
      </c>
      <c r="J79" s="59"/>
    </row>
    <row r="80" spans="1:10" ht="14.55" customHeight="1" x14ac:dyDescent="0.3">
      <c r="A80" s="62"/>
      <c r="B80" s="56"/>
      <c r="C80" s="4">
        <v>4</v>
      </c>
      <c r="D80" s="56"/>
      <c r="E80" s="39">
        <v>1.85</v>
      </c>
      <c r="F80" s="4">
        <v>20</v>
      </c>
      <c r="G80" s="34">
        <f t="shared" ca="1" si="1"/>
        <v>16.899999999999999</v>
      </c>
      <c r="H80" s="4">
        <v>35</v>
      </c>
      <c r="I80" s="4">
        <v>10</v>
      </c>
      <c r="J80" s="59"/>
    </row>
    <row r="81" spans="1:10" ht="14.55" customHeight="1" x14ac:dyDescent="0.3">
      <c r="A81" s="62"/>
      <c r="B81" s="56"/>
      <c r="C81" s="4">
        <v>5</v>
      </c>
      <c r="D81" s="56"/>
      <c r="E81" s="39">
        <v>2</v>
      </c>
      <c r="F81" s="4">
        <v>25</v>
      </c>
      <c r="G81" s="34">
        <f t="shared" ca="1" si="1"/>
        <v>18.399999999999999</v>
      </c>
      <c r="H81" s="4">
        <v>40</v>
      </c>
      <c r="I81" s="4">
        <v>10</v>
      </c>
      <c r="J81" s="59"/>
    </row>
    <row r="82" spans="1:10" ht="14.55" customHeight="1" x14ac:dyDescent="0.3">
      <c r="A82" s="62"/>
      <c r="B82" s="56"/>
      <c r="C82" s="4">
        <v>1</v>
      </c>
      <c r="D82" s="56" t="s">
        <v>278</v>
      </c>
      <c r="E82" s="39">
        <v>0.2</v>
      </c>
      <c r="F82" s="4">
        <v>5</v>
      </c>
      <c r="G82" s="34">
        <f t="shared" ca="1" si="1"/>
        <v>6.2666666666666666</v>
      </c>
      <c r="H82" s="4">
        <v>20</v>
      </c>
      <c r="I82" s="4">
        <v>15</v>
      </c>
      <c r="J82" s="59">
        <v>20</v>
      </c>
    </row>
    <row r="83" spans="1:10" ht="14.55" customHeight="1" x14ac:dyDescent="0.3">
      <c r="A83" s="62"/>
      <c r="B83" s="56"/>
      <c r="C83" s="4">
        <v>2</v>
      </c>
      <c r="D83" s="56"/>
      <c r="E83" s="39">
        <v>0.4</v>
      </c>
      <c r="F83" s="4">
        <v>10</v>
      </c>
      <c r="G83" s="34">
        <f t="shared" ca="1" si="1"/>
        <v>7.8</v>
      </c>
      <c r="H83" s="4">
        <v>25</v>
      </c>
      <c r="I83" s="4">
        <v>15</v>
      </c>
      <c r="J83" s="59"/>
    </row>
    <row r="84" spans="1:10" ht="14.55" customHeight="1" x14ac:dyDescent="0.3">
      <c r="A84" s="62"/>
      <c r="B84" s="56"/>
      <c r="C84" s="4">
        <v>3</v>
      </c>
      <c r="D84" s="56"/>
      <c r="E84" s="39">
        <v>0.6</v>
      </c>
      <c r="F84" s="4">
        <v>15</v>
      </c>
      <c r="G84" s="34">
        <f t="shared" ca="1" si="1"/>
        <v>8.8000000000000007</v>
      </c>
      <c r="H84" s="4">
        <v>30</v>
      </c>
      <c r="I84" s="4">
        <v>15</v>
      </c>
      <c r="J84" s="59"/>
    </row>
    <row r="85" spans="1:10" ht="14.55" customHeight="1" x14ac:dyDescent="0.3">
      <c r="A85" s="62"/>
      <c r="B85" s="56"/>
      <c r="C85" s="4">
        <v>4</v>
      </c>
      <c r="D85" s="56"/>
      <c r="E85" s="39">
        <v>0.8</v>
      </c>
      <c r="F85" s="4">
        <v>20</v>
      </c>
      <c r="G85" s="34">
        <f t="shared" ca="1" si="1"/>
        <v>11.266666666666667</v>
      </c>
      <c r="H85" s="4">
        <v>35</v>
      </c>
      <c r="I85" s="4">
        <v>15</v>
      </c>
      <c r="J85" s="59"/>
    </row>
    <row r="86" spans="1:10" ht="14.55" customHeight="1" x14ac:dyDescent="0.3">
      <c r="A86" s="62"/>
      <c r="B86" s="56"/>
      <c r="C86" s="4">
        <v>5</v>
      </c>
      <c r="D86" s="56"/>
      <c r="E86" s="39">
        <v>1</v>
      </c>
      <c r="F86" s="4">
        <v>25</v>
      </c>
      <c r="G86" s="34">
        <f t="shared" ca="1" si="1"/>
        <v>12.266666666666667</v>
      </c>
      <c r="H86" s="4">
        <v>40</v>
      </c>
      <c r="I86" s="4">
        <v>15</v>
      </c>
      <c r="J86" s="59"/>
    </row>
    <row r="87" spans="1:10" ht="14.55" customHeight="1" x14ac:dyDescent="0.3">
      <c r="A87" s="62"/>
      <c r="B87" s="56"/>
      <c r="C87" s="4">
        <v>1</v>
      </c>
      <c r="D87" s="56" t="s">
        <v>279</v>
      </c>
      <c r="E87" s="39">
        <v>0.3</v>
      </c>
      <c r="F87" s="4">
        <v>5</v>
      </c>
      <c r="G87" s="34">
        <f t="shared" ca="1" si="1"/>
        <v>11.7</v>
      </c>
      <c r="H87" s="4">
        <v>25</v>
      </c>
      <c r="I87" s="4">
        <v>10</v>
      </c>
      <c r="J87" s="59">
        <v>25</v>
      </c>
    </row>
    <row r="88" spans="1:10" ht="14.55" customHeight="1" x14ac:dyDescent="0.3">
      <c r="A88" s="62"/>
      <c r="B88" s="56"/>
      <c r="C88" s="4">
        <v>2</v>
      </c>
      <c r="D88" s="56"/>
      <c r="E88" s="39">
        <v>0.4</v>
      </c>
      <c r="F88" s="4">
        <v>10</v>
      </c>
      <c r="G88" s="34">
        <f t="shared" ca="1" si="1"/>
        <v>13.2</v>
      </c>
      <c r="H88" s="4">
        <v>30</v>
      </c>
      <c r="I88" s="4">
        <v>10</v>
      </c>
      <c r="J88" s="59"/>
    </row>
    <row r="89" spans="1:10" ht="14.55" customHeight="1" x14ac:dyDescent="0.3">
      <c r="A89" s="62"/>
      <c r="B89" s="56"/>
      <c r="C89" s="4">
        <v>3</v>
      </c>
      <c r="D89" s="56"/>
      <c r="E89" s="39">
        <v>0.5</v>
      </c>
      <c r="F89" s="4">
        <v>15</v>
      </c>
      <c r="G89" s="34">
        <f t="shared" ca="1" si="1"/>
        <v>16.899999999999999</v>
      </c>
      <c r="H89" s="4">
        <v>35</v>
      </c>
      <c r="I89" s="4">
        <v>10</v>
      </c>
      <c r="J89" s="59"/>
    </row>
    <row r="90" spans="1:10" ht="14.55" customHeight="1" x14ac:dyDescent="0.3">
      <c r="A90" s="62"/>
      <c r="B90" s="56"/>
      <c r="C90" s="4">
        <v>4</v>
      </c>
      <c r="D90" s="56"/>
      <c r="E90" s="39">
        <v>0.6</v>
      </c>
      <c r="F90" s="4">
        <v>20</v>
      </c>
      <c r="G90" s="34">
        <f t="shared" ca="1" si="1"/>
        <v>18.399999999999999</v>
      </c>
      <c r="H90" s="4">
        <v>40</v>
      </c>
      <c r="I90" s="4">
        <v>10</v>
      </c>
      <c r="J90" s="59"/>
    </row>
    <row r="91" spans="1:10" ht="14.55" customHeight="1" x14ac:dyDescent="0.3">
      <c r="A91" s="62"/>
      <c r="B91" s="56"/>
      <c r="C91" s="4">
        <v>5</v>
      </c>
      <c r="D91" s="56"/>
      <c r="E91" s="39">
        <v>0.7</v>
      </c>
      <c r="F91" s="4">
        <v>25</v>
      </c>
      <c r="G91" s="34">
        <f t="shared" ca="1" si="1"/>
        <v>21.3</v>
      </c>
      <c r="H91" s="4">
        <v>45</v>
      </c>
      <c r="I91" s="4">
        <v>10</v>
      </c>
      <c r="J91" s="59"/>
    </row>
    <row r="92" spans="1:10" ht="14.55" customHeight="1" x14ac:dyDescent="0.3">
      <c r="A92" s="62"/>
      <c r="B92" s="56"/>
      <c r="C92" s="4">
        <v>1</v>
      </c>
      <c r="D92" s="56" t="s">
        <v>280</v>
      </c>
      <c r="E92" s="39">
        <v>0.3</v>
      </c>
      <c r="F92" s="4">
        <v>5</v>
      </c>
      <c r="G92" s="34">
        <f t="shared" ca="1" si="1"/>
        <v>26.4</v>
      </c>
      <c r="H92" s="4">
        <v>30</v>
      </c>
      <c r="I92" s="4">
        <v>5</v>
      </c>
      <c r="J92" s="59">
        <v>30</v>
      </c>
    </row>
    <row r="93" spans="1:10" ht="14.55" customHeight="1" x14ac:dyDescent="0.3">
      <c r="A93" s="62"/>
      <c r="B93" s="56"/>
      <c r="C93" s="4">
        <v>2</v>
      </c>
      <c r="D93" s="56"/>
      <c r="E93" s="39">
        <v>0.4</v>
      </c>
      <c r="F93" s="4">
        <v>10</v>
      </c>
      <c r="G93" s="34">
        <f t="shared" ca="1" si="1"/>
        <v>33.799999999999997</v>
      </c>
      <c r="H93" s="4">
        <v>35</v>
      </c>
      <c r="I93" s="4">
        <v>5</v>
      </c>
      <c r="J93" s="59"/>
    </row>
    <row r="94" spans="1:10" ht="14.55" customHeight="1" x14ac:dyDescent="0.3">
      <c r="A94" s="62"/>
      <c r="B94" s="56"/>
      <c r="C94" s="4">
        <v>3</v>
      </c>
      <c r="D94" s="56"/>
      <c r="E94" s="39">
        <v>0.5</v>
      </c>
      <c r="F94" s="4">
        <v>15</v>
      </c>
      <c r="G94" s="34">
        <f t="shared" ca="1" si="1"/>
        <v>36.799999999999997</v>
      </c>
      <c r="H94" s="4">
        <v>40</v>
      </c>
      <c r="I94" s="4">
        <v>5</v>
      </c>
      <c r="J94" s="59"/>
    </row>
    <row r="95" spans="1:10" ht="14.55" customHeight="1" x14ac:dyDescent="0.3">
      <c r="A95" s="62"/>
      <c r="B95" s="56"/>
      <c r="C95" s="4">
        <v>4</v>
      </c>
      <c r="D95" s="56"/>
      <c r="E95" s="39">
        <v>0.6</v>
      </c>
      <c r="F95" s="4">
        <v>20</v>
      </c>
      <c r="G95" s="34">
        <f t="shared" ca="1" si="1"/>
        <v>42.6</v>
      </c>
      <c r="H95" s="4">
        <v>45</v>
      </c>
      <c r="I95" s="4">
        <v>5</v>
      </c>
      <c r="J95" s="59"/>
    </row>
    <row r="96" spans="1:10" ht="14.55" customHeight="1" x14ac:dyDescent="0.3">
      <c r="A96" s="62"/>
      <c r="B96" s="56"/>
      <c r="C96" s="4">
        <v>5</v>
      </c>
      <c r="D96" s="56"/>
      <c r="E96" s="39">
        <v>0.7</v>
      </c>
      <c r="F96" s="4">
        <v>25</v>
      </c>
      <c r="G96" s="34">
        <f t="shared" ca="1" si="1"/>
        <v>45.6</v>
      </c>
      <c r="H96" s="4">
        <v>50</v>
      </c>
      <c r="I96" s="4">
        <v>5</v>
      </c>
      <c r="J96" s="59"/>
    </row>
    <row r="97" spans="1:10" ht="14.55" customHeight="1" x14ac:dyDescent="0.3">
      <c r="A97" s="62"/>
      <c r="B97" s="56"/>
      <c r="C97" s="4">
        <v>1</v>
      </c>
      <c r="D97" s="56" t="s">
        <v>281</v>
      </c>
      <c r="E97" s="39">
        <v>1.1000000000000001</v>
      </c>
      <c r="F97" s="4">
        <v>5</v>
      </c>
      <c r="G97" s="34">
        <f t="shared" ca="1" si="1"/>
        <v>2.2000000000000002</v>
      </c>
      <c r="H97" s="4">
        <v>5</v>
      </c>
      <c r="I97" s="4">
        <v>15</v>
      </c>
      <c r="J97" s="59">
        <v>7</v>
      </c>
    </row>
    <row r="98" spans="1:10" ht="14.55" customHeight="1" x14ac:dyDescent="0.3">
      <c r="A98" s="62"/>
      <c r="B98" s="56"/>
      <c r="C98" s="4">
        <v>2</v>
      </c>
      <c r="D98" s="56"/>
      <c r="E98" s="39">
        <v>1.2</v>
      </c>
      <c r="F98" s="4">
        <v>10</v>
      </c>
      <c r="G98" s="34">
        <f t="shared" ca="1" si="1"/>
        <v>5.2666666666666666</v>
      </c>
      <c r="H98" s="4">
        <v>15</v>
      </c>
      <c r="I98" s="4">
        <v>15</v>
      </c>
      <c r="J98" s="59"/>
    </row>
    <row r="99" spans="1:10" ht="14.55" customHeight="1" x14ac:dyDescent="0.3">
      <c r="A99" s="62"/>
      <c r="B99" s="56"/>
      <c r="C99" s="4">
        <v>3</v>
      </c>
      <c r="D99" s="56"/>
      <c r="E99" s="39">
        <v>1.3</v>
      </c>
      <c r="F99" s="4">
        <v>15</v>
      </c>
      <c r="G99" s="34">
        <f t="shared" ca="1" si="1"/>
        <v>7.8</v>
      </c>
      <c r="H99" s="4">
        <v>25</v>
      </c>
      <c r="I99" s="4">
        <v>15</v>
      </c>
      <c r="J99" s="59"/>
    </row>
    <row r="100" spans="1:10" ht="14.55" customHeight="1" x14ac:dyDescent="0.3">
      <c r="A100" s="62"/>
      <c r="B100" s="56"/>
      <c r="C100" s="4">
        <v>4</v>
      </c>
      <c r="D100" s="56"/>
      <c r="E100" s="39">
        <v>1.4</v>
      </c>
      <c r="F100" s="4">
        <v>20</v>
      </c>
      <c r="G100" s="34">
        <f t="shared" ca="1" si="1"/>
        <v>11.266666666666667</v>
      </c>
      <c r="H100" s="4">
        <v>35</v>
      </c>
      <c r="I100" s="4">
        <v>15</v>
      </c>
      <c r="J100" s="59"/>
    </row>
    <row r="101" spans="1:10" ht="14.55" customHeight="1" x14ac:dyDescent="0.3">
      <c r="A101" s="62"/>
      <c r="B101" s="56"/>
      <c r="C101" s="4">
        <v>5</v>
      </c>
      <c r="D101" s="56"/>
      <c r="E101" s="39">
        <v>1.5</v>
      </c>
      <c r="F101" s="4">
        <v>25</v>
      </c>
      <c r="G101" s="34">
        <f t="shared" ca="1" si="1"/>
        <v>14.2</v>
      </c>
      <c r="H101" s="4">
        <v>45</v>
      </c>
      <c r="I101" s="4">
        <v>15</v>
      </c>
      <c r="J101" s="59"/>
    </row>
    <row r="102" spans="1:10" ht="14.55" customHeight="1" x14ac:dyDescent="0.3">
      <c r="A102" s="62"/>
      <c r="B102" s="56"/>
      <c r="C102" s="4">
        <v>1</v>
      </c>
      <c r="D102" s="56" t="s">
        <v>282</v>
      </c>
      <c r="E102" s="39">
        <v>1.1000000000000001</v>
      </c>
      <c r="F102" s="4">
        <v>5</v>
      </c>
      <c r="G102" s="34">
        <f t="shared" ca="1" si="1"/>
        <v>4</v>
      </c>
      <c r="H102" s="4">
        <v>10</v>
      </c>
      <c r="I102" s="4">
        <v>12</v>
      </c>
      <c r="J102" s="59">
        <v>12</v>
      </c>
    </row>
    <row r="103" spans="1:10" ht="14.55" customHeight="1" x14ac:dyDescent="0.3">
      <c r="A103" s="62"/>
      <c r="B103" s="56"/>
      <c r="C103" s="4">
        <v>2</v>
      </c>
      <c r="D103" s="56"/>
      <c r="E103" s="39">
        <v>1.2</v>
      </c>
      <c r="F103" s="4">
        <v>10</v>
      </c>
      <c r="G103" s="34">
        <f t="shared" ca="1" si="1"/>
        <v>6.583333333333333</v>
      </c>
      <c r="H103" s="4">
        <v>15</v>
      </c>
      <c r="I103" s="4">
        <v>12</v>
      </c>
      <c r="J103" s="59"/>
    </row>
    <row r="104" spans="1:10" ht="14.55" customHeight="1" x14ac:dyDescent="0.3">
      <c r="A104" s="62"/>
      <c r="B104" s="56"/>
      <c r="C104" s="4">
        <v>3</v>
      </c>
      <c r="D104" s="56"/>
      <c r="E104" s="39">
        <v>1.3</v>
      </c>
      <c r="F104" s="4">
        <v>15</v>
      </c>
      <c r="G104" s="34">
        <f t="shared" ca="1" si="1"/>
        <v>9.75</v>
      </c>
      <c r="H104" s="4">
        <v>25</v>
      </c>
      <c r="I104" s="4">
        <v>12</v>
      </c>
      <c r="J104" s="59"/>
    </row>
    <row r="105" spans="1:10" ht="14.55" customHeight="1" x14ac:dyDescent="0.3">
      <c r="A105" s="62"/>
      <c r="B105" s="56"/>
      <c r="C105" s="4">
        <v>4</v>
      </c>
      <c r="D105" s="56"/>
      <c r="E105" s="39">
        <v>1.4</v>
      </c>
      <c r="F105" s="4">
        <v>20</v>
      </c>
      <c r="G105" s="34">
        <f t="shared" ca="1" si="1"/>
        <v>14.083333333333334</v>
      </c>
      <c r="H105" s="4">
        <v>35</v>
      </c>
      <c r="I105" s="4">
        <v>12</v>
      </c>
      <c r="J105" s="59"/>
    </row>
    <row r="106" spans="1:10" ht="14.55" customHeight="1" x14ac:dyDescent="0.3">
      <c r="A106" s="62"/>
      <c r="B106" s="56"/>
      <c r="C106" s="4">
        <v>5</v>
      </c>
      <c r="D106" s="56"/>
      <c r="E106" s="39">
        <v>1.5</v>
      </c>
      <c r="F106" s="4">
        <v>25</v>
      </c>
      <c r="G106" s="34">
        <f t="shared" ca="1" si="1"/>
        <v>17.75</v>
      </c>
      <c r="H106" s="4">
        <v>45</v>
      </c>
      <c r="I106" s="4">
        <v>12</v>
      </c>
      <c r="J106" s="59"/>
    </row>
    <row r="107" spans="1:10" ht="14.55" customHeight="1" x14ac:dyDescent="0.3">
      <c r="A107" s="62"/>
      <c r="B107" s="56"/>
      <c r="C107" s="4">
        <v>1</v>
      </c>
      <c r="D107" s="56" t="s">
        <v>283</v>
      </c>
      <c r="E107" s="39">
        <v>1.1000000000000001</v>
      </c>
      <c r="F107" s="4">
        <v>5</v>
      </c>
      <c r="G107" s="34">
        <f t="shared" ca="1" si="1"/>
        <v>4</v>
      </c>
      <c r="H107" s="4">
        <v>10</v>
      </c>
      <c r="I107" s="4">
        <v>12</v>
      </c>
      <c r="J107" s="59">
        <v>17</v>
      </c>
    </row>
    <row r="108" spans="1:10" ht="14.55" customHeight="1" x14ac:dyDescent="0.3">
      <c r="A108" s="62"/>
      <c r="B108" s="56"/>
      <c r="C108" s="4">
        <v>2</v>
      </c>
      <c r="D108" s="56"/>
      <c r="E108" s="39">
        <v>1.2</v>
      </c>
      <c r="F108" s="4">
        <v>10</v>
      </c>
      <c r="G108" s="34">
        <f t="shared" ca="1" si="1"/>
        <v>6.583333333333333</v>
      </c>
      <c r="H108" s="4">
        <v>15</v>
      </c>
      <c r="I108" s="4">
        <v>12</v>
      </c>
      <c r="J108" s="59"/>
    </row>
    <row r="109" spans="1:10" ht="14.55" customHeight="1" x14ac:dyDescent="0.3">
      <c r="A109" s="62"/>
      <c r="B109" s="56"/>
      <c r="C109" s="4">
        <v>3</v>
      </c>
      <c r="D109" s="56"/>
      <c r="E109" s="39">
        <v>1.3</v>
      </c>
      <c r="F109" s="4">
        <v>15</v>
      </c>
      <c r="G109" s="34">
        <f t="shared" ca="1" si="1"/>
        <v>9.75</v>
      </c>
      <c r="H109" s="4">
        <v>25</v>
      </c>
      <c r="I109" s="4">
        <v>12</v>
      </c>
      <c r="J109" s="59"/>
    </row>
    <row r="110" spans="1:10" ht="14.55" customHeight="1" x14ac:dyDescent="0.3">
      <c r="A110" s="62"/>
      <c r="B110" s="56"/>
      <c r="C110" s="4">
        <v>4</v>
      </c>
      <c r="D110" s="56"/>
      <c r="E110" s="39">
        <v>1.4</v>
      </c>
      <c r="F110" s="4">
        <v>20</v>
      </c>
      <c r="G110" s="34">
        <f t="shared" ca="1" si="1"/>
        <v>14.083333333333334</v>
      </c>
      <c r="H110" s="4">
        <v>35</v>
      </c>
      <c r="I110" s="4">
        <v>12</v>
      </c>
      <c r="J110" s="59"/>
    </row>
    <row r="111" spans="1:10" ht="14.55" customHeight="1" x14ac:dyDescent="0.3">
      <c r="A111" s="62"/>
      <c r="B111" s="56"/>
      <c r="C111" s="4">
        <v>5</v>
      </c>
      <c r="D111" s="56"/>
      <c r="E111" s="39">
        <v>1.5</v>
      </c>
      <c r="F111" s="4">
        <v>25</v>
      </c>
      <c r="G111" s="34">
        <f t="shared" ca="1" si="1"/>
        <v>17.75</v>
      </c>
      <c r="H111" s="4">
        <v>45</v>
      </c>
      <c r="I111" s="4">
        <v>12</v>
      </c>
      <c r="J111" s="59"/>
    </row>
    <row r="112" spans="1:10" ht="14.55" customHeight="1" x14ac:dyDescent="0.3">
      <c r="A112" s="62"/>
      <c r="B112" s="57"/>
      <c r="C112" s="4">
        <v>1</v>
      </c>
      <c r="D112" s="57" t="s">
        <v>284</v>
      </c>
      <c r="E112" s="39">
        <v>1.1000000000000001</v>
      </c>
      <c r="F112" s="4">
        <v>5</v>
      </c>
      <c r="G112" s="34">
        <f t="shared" ca="1" si="1"/>
        <v>9.4</v>
      </c>
      <c r="H112" s="4">
        <v>20</v>
      </c>
      <c r="I112" s="4">
        <v>10</v>
      </c>
      <c r="J112" s="60">
        <v>22</v>
      </c>
    </row>
    <row r="113" spans="1:12" ht="14.55" customHeight="1" x14ac:dyDescent="0.3">
      <c r="A113" s="62"/>
      <c r="B113" s="57"/>
      <c r="C113" s="4">
        <v>2</v>
      </c>
      <c r="D113" s="57"/>
      <c r="E113" s="39">
        <v>1.2</v>
      </c>
      <c r="F113" s="4">
        <v>10</v>
      </c>
      <c r="G113" s="34">
        <f t="shared" ca="1" si="1"/>
        <v>11.7</v>
      </c>
      <c r="H113" s="4">
        <v>25</v>
      </c>
      <c r="I113" s="4">
        <v>10</v>
      </c>
      <c r="J113" s="60"/>
    </row>
    <row r="114" spans="1:12" ht="14.55" customHeight="1" x14ac:dyDescent="0.3">
      <c r="A114" s="62"/>
      <c r="B114" s="57"/>
      <c r="C114" s="4">
        <v>3</v>
      </c>
      <c r="D114" s="57"/>
      <c r="E114" s="39">
        <v>1.3</v>
      </c>
      <c r="F114" s="4">
        <v>15</v>
      </c>
      <c r="G114" s="34">
        <f t="shared" ca="1" si="1"/>
        <v>13.2</v>
      </c>
      <c r="H114" s="4">
        <v>30</v>
      </c>
      <c r="I114" s="4">
        <v>10</v>
      </c>
      <c r="J114" s="60"/>
    </row>
    <row r="115" spans="1:12" ht="14.55" customHeight="1" x14ac:dyDescent="0.3">
      <c r="A115" s="62"/>
      <c r="B115" s="57"/>
      <c r="C115" s="4">
        <v>4</v>
      </c>
      <c r="D115" s="57"/>
      <c r="E115" s="39">
        <v>1.4</v>
      </c>
      <c r="F115" s="4">
        <v>20</v>
      </c>
      <c r="G115" s="34">
        <f t="shared" ca="1" si="1"/>
        <v>16.899999999999999</v>
      </c>
      <c r="H115" s="4">
        <v>35</v>
      </c>
      <c r="I115" s="4">
        <v>10</v>
      </c>
      <c r="J115" s="60"/>
    </row>
    <row r="116" spans="1:12" s="42" customFormat="1" ht="14.55" customHeight="1" x14ac:dyDescent="0.3">
      <c r="A116" s="63"/>
      <c r="B116" s="58"/>
      <c r="C116" s="42">
        <v>5</v>
      </c>
      <c r="D116" s="58"/>
      <c r="E116" s="50">
        <v>1.5</v>
      </c>
      <c r="F116" s="42">
        <v>25</v>
      </c>
      <c r="G116" s="30">
        <f t="shared" ca="1" si="1"/>
        <v>18.399999999999999</v>
      </c>
      <c r="H116" s="42">
        <v>40</v>
      </c>
      <c r="I116" s="42">
        <v>10</v>
      </c>
      <c r="J116" s="61"/>
      <c r="L116" s="30"/>
    </row>
    <row r="117" spans="1:12" ht="14.55" customHeight="1" x14ac:dyDescent="0.3">
      <c r="A117" s="64" t="s">
        <v>14</v>
      </c>
      <c r="B117" s="56"/>
      <c r="C117" s="4">
        <v>1</v>
      </c>
      <c r="D117" s="56" t="s">
        <v>274</v>
      </c>
      <c r="E117" s="39">
        <v>1.4</v>
      </c>
      <c r="F117" s="4">
        <v>5</v>
      </c>
      <c r="G117" s="34">
        <f ca="1">INDIRECT("Beastgirl!" &amp; ADDRESS(H117 + 2, 3)) / I117</f>
        <v>1.9</v>
      </c>
      <c r="H117" s="4">
        <v>5</v>
      </c>
      <c r="I117" s="4">
        <v>15</v>
      </c>
      <c r="J117" s="59">
        <v>2</v>
      </c>
    </row>
    <row r="118" spans="1:12" ht="14.55" customHeight="1" x14ac:dyDescent="0.3">
      <c r="A118" s="64"/>
      <c r="B118" s="56"/>
      <c r="C118" s="4">
        <v>2</v>
      </c>
      <c r="D118" s="56"/>
      <c r="E118" s="39">
        <v>1.55</v>
      </c>
      <c r="F118" s="4">
        <v>10</v>
      </c>
      <c r="G118" s="34">
        <f t="shared" ref="G118:G166" ca="1" si="2">INDIRECT("Beastgirl!" &amp; ADDRESS(H118 + 2, 3)) / I118</f>
        <v>4.3666666666666663</v>
      </c>
      <c r="H118" s="4">
        <v>15</v>
      </c>
      <c r="I118" s="4">
        <v>15</v>
      </c>
      <c r="J118" s="59"/>
    </row>
    <row r="119" spans="1:12" ht="14.55" customHeight="1" x14ac:dyDescent="0.3">
      <c r="A119" s="64"/>
      <c r="B119" s="56"/>
      <c r="C119" s="4">
        <v>3</v>
      </c>
      <c r="D119" s="56"/>
      <c r="E119" s="39">
        <v>1.7</v>
      </c>
      <c r="F119" s="4">
        <v>15</v>
      </c>
      <c r="G119" s="34">
        <f t="shared" ca="1" si="2"/>
        <v>6.5666666666666664</v>
      </c>
      <c r="H119" s="4">
        <v>25</v>
      </c>
      <c r="I119" s="4">
        <v>15</v>
      </c>
      <c r="J119" s="59"/>
    </row>
    <row r="120" spans="1:12" ht="14.55" customHeight="1" x14ac:dyDescent="0.3">
      <c r="A120" s="64"/>
      <c r="B120" s="56"/>
      <c r="C120" s="4">
        <v>4</v>
      </c>
      <c r="D120" s="56"/>
      <c r="E120" s="39">
        <v>1.85</v>
      </c>
      <c r="F120" s="4">
        <v>20</v>
      </c>
      <c r="G120" s="34">
        <f t="shared" ca="1" si="2"/>
        <v>9.3000000000000007</v>
      </c>
      <c r="H120" s="4">
        <v>35</v>
      </c>
      <c r="I120" s="4">
        <v>15</v>
      </c>
      <c r="J120" s="59"/>
    </row>
    <row r="121" spans="1:12" ht="14.55" customHeight="1" x14ac:dyDescent="0.3">
      <c r="A121" s="64"/>
      <c r="B121" s="56"/>
      <c r="C121" s="4">
        <v>5</v>
      </c>
      <c r="D121" s="56"/>
      <c r="E121" s="39">
        <v>2</v>
      </c>
      <c r="F121" s="4">
        <v>25</v>
      </c>
      <c r="G121" s="34">
        <f t="shared" ca="1" si="2"/>
        <v>11.9</v>
      </c>
      <c r="H121" s="4">
        <v>45</v>
      </c>
      <c r="I121" s="4">
        <v>15</v>
      </c>
      <c r="J121" s="59"/>
    </row>
    <row r="122" spans="1:12" ht="14.55" customHeight="1" x14ac:dyDescent="0.3">
      <c r="A122" s="64"/>
      <c r="B122" s="56"/>
      <c r="C122" s="4">
        <v>1</v>
      </c>
      <c r="D122" s="56" t="s">
        <v>270</v>
      </c>
      <c r="E122" s="39">
        <v>1.4</v>
      </c>
      <c r="F122" s="4">
        <v>5</v>
      </c>
      <c r="G122" s="34">
        <f t="shared" ca="1" si="2"/>
        <v>2.375</v>
      </c>
      <c r="H122" s="4">
        <v>5</v>
      </c>
      <c r="I122" s="4">
        <v>12</v>
      </c>
      <c r="J122" s="59">
        <v>5</v>
      </c>
    </row>
    <row r="123" spans="1:12" ht="14.55" customHeight="1" x14ac:dyDescent="0.3">
      <c r="A123" s="64"/>
      <c r="B123" s="56"/>
      <c r="C123" s="4">
        <v>2</v>
      </c>
      <c r="D123" s="56"/>
      <c r="E123" s="39">
        <v>1.55</v>
      </c>
      <c r="F123" s="4">
        <v>10</v>
      </c>
      <c r="G123" s="34">
        <f t="shared" ca="1" si="2"/>
        <v>5.458333333333333</v>
      </c>
      <c r="H123" s="4">
        <v>15</v>
      </c>
      <c r="I123" s="4">
        <v>12</v>
      </c>
      <c r="J123" s="59"/>
    </row>
    <row r="124" spans="1:12" ht="14.55" customHeight="1" x14ac:dyDescent="0.3">
      <c r="A124" s="64"/>
      <c r="B124" s="56"/>
      <c r="C124" s="4">
        <v>3</v>
      </c>
      <c r="D124" s="56"/>
      <c r="E124" s="39">
        <v>1.7</v>
      </c>
      <c r="F124" s="4">
        <v>15</v>
      </c>
      <c r="G124" s="34">
        <f t="shared" ca="1" si="2"/>
        <v>8.2083333333333339</v>
      </c>
      <c r="H124" s="4">
        <v>25</v>
      </c>
      <c r="I124" s="4">
        <v>12</v>
      </c>
      <c r="J124" s="59"/>
    </row>
    <row r="125" spans="1:12" ht="14.55" customHeight="1" x14ac:dyDescent="0.3">
      <c r="A125" s="64"/>
      <c r="B125" s="56"/>
      <c r="C125" s="4">
        <v>4</v>
      </c>
      <c r="D125" s="56"/>
      <c r="E125" s="39">
        <v>1.85</v>
      </c>
      <c r="F125" s="4">
        <v>20</v>
      </c>
      <c r="G125" s="34">
        <f t="shared" ca="1" si="2"/>
        <v>11.625</v>
      </c>
      <c r="H125" s="4">
        <v>35</v>
      </c>
      <c r="I125" s="4">
        <v>12</v>
      </c>
      <c r="J125" s="59"/>
    </row>
    <row r="126" spans="1:12" ht="14.55" customHeight="1" x14ac:dyDescent="0.3">
      <c r="A126" s="64"/>
      <c r="B126" s="56"/>
      <c r="C126" s="4">
        <v>5</v>
      </c>
      <c r="D126" s="56"/>
      <c r="E126" s="39">
        <v>2</v>
      </c>
      <c r="F126" s="4">
        <v>25</v>
      </c>
      <c r="G126" s="34">
        <f t="shared" ca="1" si="2"/>
        <v>14.875</v>
      </c>
      <c r="H126" s="4">
        <v>45</v>
      </c>
      <c r="I126" s="4">
        <v>12</v>
      </c>
      <c r="J126" s="59"/>
    </row>
    <row r="127" spans="1:12" ht="14.55" customHeight="1" x14ac:dyDescent="0.3">
      <c r="A127" s="64"/>
      <c r="B127" s="56"/>
      <c r="C127" s="4">
        <v>1</v>
      </c>
      <c r="D127" s="56" t="s">
        <v>271</v>
      </c>
      <c r="E127" s="39">
        <v>1.4</v>
      </c>
      <c r="F127" s="4">
        <v>5</v>
      </c>
      <c r="G127" s="34">
        <f t="shared" ca="1" si="2"/>
        <v>3.4166666666666665</v>
      </c>
      <c r="H127" s="4">
        <v>10</v>
      </c>
      <c r="I127" s="4">
        <v>12</v>
      </c>
      <c r="J127" s="59">
        <v>10</v>
      </c>
    </row>
    <row r="128" spans="1:12" ht="14.55" customHeight="1" x14ac:dyDescent="0.3">
      <c r="A128" s="64"/>
      <c r="B128" s="56"/>
      <c r="C128" s="4">
        <v>2</v>
      </c>
      <c r="D128" s="56"/>
      <c r="E128" s="39">
        <v>1.55</v>
      </c>
      <c r="F128" s="4">
        <v>10</v>
      </c>
      <c r="G128" s="34">
        <f t="shared" ca="1" si="2"/>
        <v>5.458333333333333</v>
      </c>
      <c r="H128" s="4">
        <v>15</v>
      </c>
      <c r="I128" s="4">
        <v>12</v>
      </c>
      <c r="J128" s="59"/>
    </row>
    <row r="129" spans="1:10" ht="14.55" customHeight="1" x14ac:dyDescent="0.3">
      <c r="A129" s="64"/>
      <c r="B129" s="56"/>
      <c r="C129" s="4">
        <v>3</v>
      </c>
      <c r="D129" s="56"/>
      <c r="E129" s="39">
        <v>1.7</v>
      </c>
      <c r="F129" s="4">
        <v>15</v>
      </c>
      <c r="G129" s="34">
        <f t="shared" ca="1" si="2"/>
        <v>8.2083333333333339</v>
      </c>
      <c r="H129" s="4">
        <v>25</v>
      </c>
      <c r="I129" s="4">
        <v>12</v>
      </c>
      <c r="J129" s="59"/>
    </row>
    <row r="130" spans="1:10" ht="14.55" customHeight="1" x14ac:dyDescent="0.3">
      <c r="A130" s="64"/>
      <c r="B130" s="56"/>
      <c r="C130" s="4">
        <v>4</v>
      </c>
      <c r="D130" s="56"/>
      <c r="E130" s="39">
        <v>1.85</v>
      </c>
      <c r="F130" s="4">
        <v>20</v>
      </c>
      <c r="G130" s="34">
        <f t="shared" ca="1" si="2"/>
        <v>11.625</v>
      </c>
      <c r="H130" s="4">
        <v>35</v>
      </c>
      <c r="I130" s="4">
        <v>12</v>
      </c>
      <c r="J130" s="59"/>
    </row>
    <row r="131" spans="1:10" ht="14.55" customHeight="1" x14ac:dyDescent="0.3">
      <c r="A131" s="64"/>
      <c r="B131" s="56"/>
      <c r="C131" s="4">
        <v>5</v>
      </c>
      <c r="D131" s="56"/>
      <c r="E131" s="39">
        <v>2</v>
      </c>
      <c r="F131" s="4">
        <v>25</v>
      </c>
      <c r="G131" s="34">
        <f t="shared" ca="1" si="2"/>
        <v>14.875</v>
      </c>
      <c r="H131" s="4">
        <v>45</v>
      </c>
      <c r="I131" s="4">
        <v>12</v>
      </c>
      <c r="J131" s="59"/>
    </row>
    <row r="132" spans="1:10" ht="14.55" customHeight="1" x14ac:dyDescent="0.3">
      <c r="A132" s="64"/>
      <c r="B132" s="56"/>
      <c r="C132" s="4">
        <v>1</v>
      </c>
      <c r="D132" s="56" t="s">
        <v>272</v>
      </c>
      <c r="E132" s="39">
        <v>1.4</v>
      </c>
      <c r="F132" s="4">
        <v>5</v>
      </c>
      <c r="G132" s="34">
        <f t="shared" ca="1" si="2"/>
        <v>7.8</v>
      </c>
      <c r="H132" s="4">
        <v>20</v>
      </c>
      <c r="I132" s="4">
        <v>10</v>
      </c>
      <c r="J132" s="59">
        <v>20</v>
      </c>
    </row>
    <row r="133" spans="1:10" ht="14.55" customHeight="1" x14ac:dyDescent="0.3">
      <c r="A133" s="64"/>
      <c r="B133" s="56"/>
      <c r="C133" s="4">
        <v>2</v>
      </c>
      <c r="D133" s="56"/>
      <c r="E133" s="39">
        <v>1.55</v>
      </c>
      <c r="F133" s="4">
        <v>10</v>
      </c>
      <c r="G133" s="34">
        <f t="shared" ca="1" si="2"/>
        <v>9.85</v>
      </c>
      <c r="H133" s="4">
        <v>25</v>
      </c>
      <c r="I133" s="4">
        <v>10</v>
      </c>
      <c r="J133" s="59"/>
    </row>
    <row r="134" spans="1:10" ht="14.55" customHeight="1" x14ac:dyDescent="0.3">
      <c r="A134" s="64"/>
      <c r="B134" s="56"/>
      <c r="C134" s="4">
        <v>3</v>
      </c>
      <c r="D134" s="56"/>
      <c r="E134" s="39">
        <v>1.7</v>
      </c>
      <c r="F134" s="4">
        <v>15</v>
      </c>
      <c r="G134" s="34">
        <f t="shared" ca="1" si="2"/>
        <v>11.1</v>
      </c>
      <c r="H134" s="4">
        <v>30</v>
      </c>
      <c r="I134" s="4">
        <v>10</v>
      </c>
      <c r="J134" s="59"/>
    </row>
    <row r="135" spans="1:10" ht="14.55" customHeight="1" x14ac:dyDescent="0.3">
      <c r="A135" s="64"/>
      <c r="B135" s="56"/>
      <c r="C135" s="4">
        <v>4</v>
      </c>
      <c r="D135" s="56"/>
      <c r="E135" s="39">
        <v>1.85</v>
      </c>
      <c r="F135" s="4">
        <v>20</v>
      </c>
      <c r="G135" s="34">
        <f t="shared" ca="1" si="2"/>
        <v>13.95</v>
      </c>
      <c r="H135" s="4">
        <v>35</v>
      </c>
      <c r="I135" s="4">
        <v>10</v>
      </c>
      <c r="J135" s="59"/>
    </row>
    <row r="136" spans="1:10" ht="14.55" customHeight="1" x14ac:dyDescent="0.3">
      <c r="A136" s="64"/>
      <c r="B136" s="56"/>
      <c r="C136" s="4">
        <v>5</v>
      </c>
      <c r="D136" s="56"/>
      <c r="E136" s="39">
        <v>2</v>
      </c>
      <c r="F136" s="4">
        <v>25</v>
      </c>
      <c r="G136" s="34">
        <f t="shared" ca="1" si="2"/>
        <v>15.2</v>
      </c>
      <c r="H136" s="4">
        <v>40</v>
      </c>
      <c r="I136" s="4">
        <v>10</v>
      </c>
      <c r="J136" s="59"/>
    </row>
    <row r="137" spans="1:10" ht="14.55" customHeight="1" x14ac:dyDescent="0.3">
      <c r="A137" s="64"/>
      <c r="B137" s="56"/>
      <c r="C137" s="4">
        <v>1</v>
      </c>
      <c r="D137" s="56" t="s">
        <v>286</v>
      </c>
      <c r="E137" s="39">
        <v>0.1</v>
      </c>
      <c r="F137" s="4">
        <v>5</v>
      </c>
      <c r="G137" s="34">
        <f ca="1">INDIRECT("Beastgirl!" &amp; ADDRESS(H137 + 2, 2)) / I137</f>
        <v>6.65</v>
      </c>
      <c r="H137" s="4">
        <v>5</v>
      </c>
      <c r="I137" s="4">
        <v>5</v>
      </c>
      <c r="J137" s="59">
        <v>25</v>
      </c>
    </row>
    <row r="138" spans="1:10" ht="14.55" customHeight="1" x14ac:dyDescent="0.3">
      <c r="A138" s="64"/>
      <c r="B138" s="56"/>
      <c r="C138" s="4">
        <v>2</v>
      </c>
      <c r="D138" s="56"/>
      <c r="E138" s="39">
        <v>0.2</v>
      </c>
      <c r="F138" s="4">
        <v>10</v>
      </c>
      <c r="G138" s="34">
        <f t="shared" ref="G138:G146" ca="1" si="3">INDIRECT("Beastgirl!" &amp; ADDRESS(H138 + 2, 2)) / I138</f>
        <v>16.75</v>
      </c>
      <c r="H138" s="4">
        <v>15</v>
      </c>
      <c r="I138" s="4">
        <v>5</v>
      </c>
      <c r="J138" s="59"/>
    </row>
    <row r="139" spans="1:10" ht="14.55" customHeight="1" x14ac:dyDescent="0.3">
      <c r="A139" s="64"/>
      <c r="B139" s="56"/>
      <c r="C139" s="4">
        <v>3</v>
      </c>
      <c r="D139" s="56"/>
      <c r="E139" s="39">
        <v>0.3</v>
      </c>
      <c r="F139" s="4">
        <v>15</v>
      </c>
      <c r="G139" s="34">
        <f t="shared" ca="1" si="3"/>
        <v>33.049999999999997</v>
      </c>
      <c r="H139" s="4">
        <v>25</v>
      </c>
      <c r="I139" s="4">
        <v>5</v>
      </c>
      <c r="J139" s="59"/>
    </row>
    <row r="140" spans="1:10" ht="14.55" customHeight="1" x14ac:dyDescent="0.3">
      <c r="A140" s="64"/>
      <c r="B140" s="56"/>
      <c r="C140" s="4">
        <v>4</v>
      </c>
      <c r="D140" s="56"/>
      <c r="E140" s="39">
        <v>0.4</v>
      </c>
      <c r="F140" s="4">
        <v>20</v>
      </c>
      <c r="G140" s="34">
        <f t="shared" ca="1" si="3"/>
        <v>55.15</v>
      </c>
      <c r="H140" s="4">
        <v>35</v>
      </c>
      <c r="I140" s="4">
        <v>5</v>
      </c>
      <c r="J140" s="59"/>
    </row>
    <row r="141" spans="1:10" ht="14.55" customHeight="1" x14ac:dyDescent="0.3">
      <c r="A141" s="64"/>
      <c r="B141" s="56"/>
      <c r="C141" s="4">
        <v>5</v>
      </c>
      <c r="D141" s="56"/>
      <c r="E141" s="39">
        <v>0.5</v>
      </c>
      <c r="F141" s="4">
        <v>25</v>
      </c>
      <c r="G141" s="34">
        <f t="shared" ca="1" si="3"/>
        <v>83.45</v>
      </c>
      <c r="H141" s="4">
        <v>45</v>
      </c>
      <c r="I141" s="4">
        <v>5</v>
      </c>
      <c r="J141" s="59"/>
    </row>
    <row r="142" spans="1:10" ht="14.55" customHeight="1" x14ac:dyDescent="0.3">
      <c r="A142" s="64"/>
      <c r="B142" s="56"/>
      <c r="C142" s="4">
        <v>1</v>
      </c>
      <c r="D142" s="56" t="s">
        <v>285</v>
      </c>
      <c r="E142" s="39">
        <v>0.05</v>
      </c>
      <c r="F142" s="4">
        <v>5</v>
      </c>
      <c r="G142" s="34">
        <f t="shared" ca="1" si="3"/>
        <v>6.65</v>
      </c>
      <c r="H142" s="4">
        <v>5</v>
      </c>
      <c r="I142" s="4">
        <v>5</v>
      </c>
      <c r="J142" s="59">
        <v>30</v>
      </c>
    </row>
    <row r="143" spans="1:10" ht="14.55" customHeight="1" x14ac:dyDescent="0.3">
      <c r="A143" s="64"/>
      <c r="B143" s="56"/>
      <c r="C143" s="4">
        <v>2</v>
      </c>
      <c r="D143" s="56"/>
      <c r="E143" s="39">
        <v>0.1</v>
      </c>
      <c r="F143" s="4">
        <v>10</v>
      </c>
      <c r="G143" s="34">
        <f t="shared" ca="1" si="3"/>
        <v>16.75</v>
      </c>
      <c r="H143" s="4">
        <v>15</v>
      </c>
      <c r="I143" s="4">
        <v>5</v>
      </c>
      <c r="J143" s="59"/>
    </row>
    <row r="144" spans="1:10" ht="14.55" customHeight="1" x14ac:dyDescent="0.3">
      <c r="A144" s="64"/>
      <c r="B144" s="56"/>
      <c r="C144" s="4">
        <v>3</v>
      </c>
      <c r="D144" s="56"/>
      <c r="E144" s="39">
        <v>0.15</v>
      </c>
      <c r="F144" s="4">
        <v>15</v>
      </c>
      <c r="G144" s="34">
        <f t="shared" ca="1" si="3"/>
        <v>33.049999999999997</v>
      </c>
      <c r="H144" s="4">
        <v>25</v>
      </c>
      <c r="I144" s="4">
        <v>5</v>
      </c>
      <c r="J144" s="59"/>
    </row>
    <row r="145" spans="1:10" ht="14.55" customHeight="1" x14ac:dyDescent="0.3">
      <c r="A145" s="64"/>
      <c r="B145" s="56"/>
      <c r="C145" s="4">
        <v>4</v>
      </c>
      <c r="D145" s="56"/>
      <c r="E145" s="39">
        <v>0.2</v>
      </c>
      <c r="F145" s="4">
        <v>20</v>
      </c>
      <c r="G145" s="34">
        <f t="shared" ca="1" si="3"/>
        <v>55.15</v>
      </c>
      <c r="H145" s="4">
        <v>35</v>
      </c>
      <c r="I145" s="4">
        <v>5</v>
      </c>
      <c r="J145" s="59"/>
    </row>
    <row r="146" spans="1:10" ht="14.55" customHeight="1" x14ac:dyDescent="0.3">
      <c r="A146" s="64"/>
      <c r="B146" s="56"/>
      <c r="C146" s="4">
        <v>5</v>
      </c>
      <c r="D146" s="56"/>
      <c r="E146" s="39">
        <v>0.25</v>
      </c>
      <c r="F146" s="4">
        <v>25</v>
      </c>
      <c r="G146" s="34">
        <f t="shared" ca="1" si="3"/>
        <v>83.45</v>
      </c>
      <c r="H146" s="4">
        <v>45</v>
      </c>
      <c r="I146" s="4">
        <v>5</v>
      </c>
      <c r="J146" s="59"/>
    </row>
    <row r="147" spans="1:10" ht="14.55" customHeight="1" x14ac:dyDescent="0.3">
      <c r="A147" s="64"/>
      <c r="B147" s="56"/>
      <c r="C147" s="4">
        <v>1</v>
      </c>
      <c r="D147" s="56" t="s">
        <v>291</v>
      </c>
      <c r="E147" s="39">
        <v>1.1000000000000001</v>
      </c>
      <c r="F147" s="4">
        <v>5</v>
      </c>
      <c r="G147" s="34">
        <f t="shared" ca="1" si="2"/>
        <v>1.9</v>
      </c>
      <c r="H147" s="4">
        <v>5</v>
      </c>
      <c r="I147" s="4">
        <v>15</v>
      </c>
      <c r="J147" s="59">
        <v>7</v>
      </c>
    </row>
    <row r="148" spans="1:10" ht="14.55" customHeight="1" x14ac:dyDescent="0.3">
      <c r="A148" s="64"/>
      <c r="B148" s="56"/>
      <c r="C148" s="4">
        <v>2</v>
      </c>
      <c r="D148" s="56"/>
      <c r="E148" s="39">
        <v>1.2</v>
      </c>
      <c r="F148" s="4">
        <v>10</v>
      </c>
      <c r="G148" s="34">
        <f t="shared" ca="1" si="2"/>
        <v>4.3666666666666663</v>
      </c>
      <c r="H148" s="4">
        <v>15</v>
      </c>
      <c r="I148" s="4">
        <v>15</v>
      </c>
      <c r="J148" s="59"/>
    </row>
    <row r="149" spans="1:10" ht="14.55" customHeight="1" x14ac:dyDescent="0.3">
      <c r="A149" s="64"/>
      <c r="B149" s="56"/>
      <c r="C149" s="4">
        <v>3</v>
      </c>
      <c r="D149" s="56"/>
      <c r="E149" s="39">
        <v>1.3</v>
      </c>
      <c r="F149" s="4">
        <v>15</v>
      </c>
      <c r="G149" s="34">
        <f t="shared" ca="1" si="2"/>
        <v>6.5666666666666664</v>
      </c>
      <c r="H149" s="4">
        <v>25</v>
      </c>
      <c r="I149" s="4">
        <v>15</v>
      </c>
      <c r="J149" s="59"/>
    </row>
    <row r="150" spans="1:10" ht="14.55" customHeight="1" x14ac:dyDescent="0.3">
      <c r="A150" s="64"/>
      <c r="B150" s="56"/>
      <c r="C150" s="4">
        <v>4</v>
      </c>
      <c r="D150" s="56"/>
      <c r="E150" s="39">
        <v>1.4</v>
      </c>
      <c r="F150" s="4">
        <v>20</v>
      </c>
      <c r="G150" s="34">
        <f ca="1">INDIRECT("Beastgirl!" &amp; ADDRESS(H150 + 2, 3)) / I150</f>
        <v>9.3000000000000007</v>
      </c>
      <c r="H150" s="4">
        <v>35</v>
      </c>
      <c r="I150" s="4">
        <v>15</v>
      </c>
      <c r="J150" s="59"/>
    </row>
    <row r="151" spans="1:10" ht="14.55" customHeight="1" x14ac:dyDescent="0.3">
      <c r="A151" s="64"/>
      <c r="B151" s="56"/>
      <c r="C151" s="4">
        <v>5</v>
      </c>
      <c r="D151" s="56"/>
      <c r="E151" s="39">
        <v>1.5</v>
      </c>
      <c r="F151" s="4">
        <v>25</v>
      </c>
      <c r="G151" s="34">
        <f t="shared" ca="1" si="2"/>
        <v>11.9</v>
      </c>
      <c r="H151" s="4">
        <v>45</v>
      </c>
      <c r="I151" s="4">
        <v>15</v>
      </c>
      <c r="J151" s="59"/>
    </row>
    <row r="152" spans="1:10" ht="14.55" customHeight="1" x14ac:dyDescent="0.3">
      <c r="A152" s="64"/>
      <c r="B152" s="56"/>
      <c r="C152" s="4">
        <v>1</v>
      </c>
      <c r="D152" s="56" t="s">
        <v>293</v>
      </c>
      <c r="E152" s="39">
        <v>1.1000000000000001</v>
      </c>
      <c r="F152" s="4">
        <v>5</v>
      </c>
      <c r="G152" s="34">
        <f t="shared" ca="1" si="2"/>
        <v>3.4166666666666665</v>
      </c>
      <c r="H152" s="4">
        <v>10</v>
      </c>
      <c r="I152" s="4">
        <v>12</v>
      </c>
      <c r="J152" s="59">
        <v>12</v>
      </c>
    </row>
    <row r="153" spans="1:10" ht="14.55" customHeight="1" x14ac:dyDescent="0.3">
      <c r="A153" s="64"/>
      <c r="B153" s="56"/>
      <c r="C153" s="4">
        <v>2</v>
      </c>
      <c r="D153" s="56"/>
      <c r="E153" s="39">
        <v>1.2</v>
      </c>
      <c r="F153" s="4">
        <v>10</v>
      </c>
      <c r="G153" s="34">
        <f t="shared" ca="1" si="2"/>
        <v>5.458333333333333</v>
      </c>
      <c r="H153" s="4">
        <v>15</v>
      </c>
      <c r="I153" s="4">
        <v>12</v>
      </c>
      <c r="J153" s="59"/>
    </row>
    <row r="154" spans="1:10" ht="14.55" customHeight="1" x14ac:dyDescent="0.3">
      <c r="A154" s="64"/>
      <c r="B154" s="56"/>
      <c r="C154" s="4">
        <v>3</v>
      </c>
      <c r="D154" s="56"/>
      <c r="E154" s="39">
        <v>1.3</v>
      </c>
      <c r="F154" s="4">
        <v>15</v>
      </c>
      <c r="G154" s="34">
        <f t="shared" ca="1" si="2"/>
        <v>8.2083333333333339</v>
      </c>
      <c r="H154" s="4">
        <v>25</v>
      </c>
      <c r="I154" s="4">
        <v>12</v>
      </c>
      <c r="J154" s="59"/>
    </row>
    <row r="155" spans="1:10" ht="14.55" customHeight="1" x14ac:dyDescent="0.3">
      <c r="A155" s="64"/>
      <c r="B155" s="56"/>
      <c r="C155" s="4">
        <v>4</v>
      </c>
      <c r="D155" s="56"/>
      <c r="E155" s="39">
        <v>1.4</v>
      </c>
      <c r="F155" s="4">
        <v>20</v>
      </c>
      <c r="G155" s="34">
        <f t="shared" ca="1" si="2"/>
        <v>11.625</v>
      </c>
      <c r="H155" s="4">
        <v>35</v>
      </c>
      <c r="I155" s="4">
        <v>12</v>
      </c>
      <c r="J155" s="59"/>
    </row>
    <row r="156" spans="1:10" ht="14.55" customHeight="1" x14ac:dyDescent="0.3">
      <c r="A156" s="64"/>
      <c r="B156" s="56"/>
      <c r="C156" s="4">
        <v>5</v>
      </c>
      <c r="D156" s="56"/>
      <c r="E156" s="39">
        <v>1.5</v>
      </c>
      <c r="F156" s="4">
        <v>25</v>
      </c>
      <c r="G156" s="34">
        <f t="shared" ca="1" si="2"/>
        <v>14.875</v>
      </c>
      <c r="H156" s="4">
        <v>45</v>
      </c>
      <c r="I156" s="4">
        <v>12</v>
      </c>
      <c r="J156" s="59"/>
    </row>
    <row r="157" spans="1:10" ht="14.55" customHeight="1" x14ac:dyDescent="0.3">
      <c r="A157" s="64"/>
      <c r="B157" s="56"/>
      <c r="C157" s="4">
        <v>1</v>
      </c>
      <c r="D157" s="56" t="s">
        <v>292</v>
      </c>
      <c r="E157" s="39">
        <v>1.1000000000000001</v>
      </c>
      <c r="F157" s="4">
        <v>5</v>
      </c>
      <c r="G157" s="34">
        <f t="shared" ca="1" si="2"/>
        <v>3.4166666666666665</v>
      </c>
      <c r="H157" s="4">
        <v>10</v>
      </c>
      <c r="I157" s="4">
        <v>12</v>
      </c>
      <c r="J157" s="59">
        <v>17</v>
      </c>
    </row>
    <row r="158" spans="1:10" ht="14.55" customHeight="1" x14ac:dyDescent="0.3">
      <c r="A158" s="64"/>
      <c r="B158" s="56"/>
      <c r="C158" s="4">
        <v>2</v>
      </c>
      <c r="D158" s="56"/>
      <c r="E158" s="39">
        <v>1.2</v>
      </c>
      <c r="F158" s="4">
        <v>10</v>
      </c>
      <c r="G158" s="34">
        <f t="shared" ca="1" si="2"/>
        <v>5.458333333333333</v>
      </c>
      <c r="H158" s="4">
        <v>15</v>
      </c>
      <c r="I158" s="4">
        <v>12</v>
      </c>
      <c r="J158" s="59"/>
    </row>
    <row r="159" spans="1:10" ht="14.55" customHeight="1" x14ac:dyDescent="0.3">
      <c r="A159" s="64"/>
      <c r="B159" s="56"/>
      <c r="C159" s="4">
        <v>3</v>
      </c>
      <c r="D159" s="56"/>
      <c r="E159" s="39">
        <v>1.3</v>
      </c>
      <c r="F159" s="4">
        <v>15</v>
      </c>
      <c r="G159" s="34">
        <f t="shared" ca="1" si="2"/>
        <v>8.2083333333333339</v>
      </c>
      <c r="H159" s="4">
        <v>25</v>
      </c>
      <c r="I159" s="4">
        <v>12</v>
      </c>
      <c r="J159" s="59"/>
    </row>
    <row r="160" spans="1:10" ht="14.55" customHeight="1" x14ac:dyDescent="0.3">
      <c r="A160" s="64"/>
      <c r="B160" s="56"/>
      <c r="C160" s="4">
        <v>4</v>
      </c>
      <c r="D160" s="56"/>
      <c r="E160" s="39">
        <v>1.4</v>
      </c>
      <c r="F160" s="4">
        <v>20</v>
      </c>
      <c r="G160" s="34">
        <f t="shared" ca="1" si="2"/>
        <v>11.625</v>
      </c>
      <c r="H160" s="4">
        <v>35</v>
      </c>
      <c r="I160" s="4">
        <v>12</v>
      </c>
      <c r="J160" s="59"/>
    </row>
    <row r="161" spans="1:12" ht="14.55" customHeight="1" x14ac:dyDescent="0.3">
      <c r="A161" s="64"/>
      <c r="B161" s="56"/>
      <c r="C161" s="4">
        <v>5</v>
      </c>
      <c r="D161" s="56"/>
      <c r="E161" s="39">
        <v>1.5</v>
      </c>
      <c r="F161" s="4">
        <v>25</v>
      </c>
      <c r="G161" s="34">
        <f t="shared" ca="1" si="2"/>
        <v>14.875</v>
      </c>
      <c r="H161" s="4">
        <v>45</v>
      </c>
      <c r="I161" s="4">
        <v>12</v>
      </c>
      <c r="J161" s="59"/>
    </row>
    <row r="162" spans="1:12" ht="14.55" customHeight="1" x14ac:dyDescent="0.3">
      <c r="A162" s="64"/>
      <c r="B162" s="57"/>
      <c r="C162" s="4">
        <v>1</v>
      </c>
      <c r="D162" s="57" t="s">
        <v>294</v>
      </c>
      <c r="E162" s="39">
        <v>1.1000000000000001</v>
      </c>
      <c r="F162" s="4">
        <v>5</v>
      </c>
      <c r="G162" s="34">
        <f ca="1">INDIRECT("Beastgirl!" &amp; ADDRESS(H162 + 2, 3)) / I162</f>
        <v>7.8</v>
      </c>
      <c r="H162" s="4">
        <v>20</v>
      </c>
      <c r="I162" s="4">
        <v>10</v>
      </c>
      <c r="J162" s="60">
        <v>22</v>
      </c>
    </row>
    <row r="163" spans="1:12" ht="14.55" customHeight="1" x14ac:dyDescent="0.3">
      <c r="A163" s="64"/>
      <c r="B163" s="57"/>
      <c r="C163" s="4">
        <v>2</v>
      </c>
      <c r="D163" s="57"/>
      <c r="E163" s="39">
        <v>1.2</v>
      </c>
      <c r="F163" s="4">
        <v>10</v>
      </c>
      <c r="G163" s="34">
        <f t="shared" ca="1" si="2"/>
        <v>9.85</v>
      </c>
      <c r="H163" s="4">
        <v>25</v>
      </c>
      <c r="I163" s="4">
        <v>10</v>
      </c>
      <c r="J163" s="60"/>
    </row>
    <row r="164" spans="1:12" ht="14.55" customHeight="1" x14ac:dyDescent="0.3">
      <c r="A164" s="64"/>
      <c r="B164" s="57"/>
      <c r="C164" s="4">
        <v>3</v>
      </c>
      <c r="D164" s="57"/>
      <c r="E164" s="39">
        <v>1.3</v>
      </c>
      <c r="F164" s="4">
        <v>15</v>
      </c>
      <c r="G164" s="34">
        <f t="shared" ca="1" si="2"/>
        <v>11.1</v>
      </c>
      <c r="H164" s="4">
        <v>30</v>
      </c>
      <c r="I164" s="4">
        <v>10</v>
      </c>
      <c r="J164" s="60"/>
    </row>
    <row r="165" spans="1:12" ht="14.55" customHeight="1" x14ac:dyDescent="0.3">
      <c r="A165" s="64"/>
      <c r="B165" s="57"/>
      <c r="C165" s="4">
        <v>4</v>
      </c>
      <c r="D165" s="57"/>
      <c r="E165" s="39">
        <v>1.4</v>
      </c>
      <c r="F165" s="4">
        <v>20</v>
      </c>
      <c r="G165" s="34">
        <f t="shared" ca="1" si="2"/>
        <v>13.95</v>
      </c>
      <c r="H165" s="4">
        <v>35</v>
      </c>
      <c r="I165" s="4">
        <v>10</v>
      </c>
      <c r="J165" s="60"/>
    </row>
    <row r="166" spans="1:12" s="42" customFormat="1" ht="14.55" customHeight="1" x14ac:dyDescent="0.3">
      <c r="A166" s="65"/>
      <c r="B166" s="58"/>
      <c r="C166" s="42">
        <v>5</v>
      </c>
      <c r="D166" s="58"/>
      <c r="E166" s="50">
        <v>1.5</v>
      </c>
      <c r="F166" s="42">
        <v>25</v>
      </c>
      <c r="G166" s="30">
        <f t="shared" ca="1" si="2"/>
        <v>15.2</v>
      </c>
      <c r="H166" s="42">
        <v>40</v>
      </c>
      <c r="I166" s="42">
        <v>10</v>
      </c>
      <c r="J166" s="61"/>
      <c r="L166" s="30"/>
    </row>
    <row r="167" spans="1:12" ht="14.55" customHeight="1" x14ac:dyDescent="0.3">
      <c r="A167" s="66" t="s">
        <v>15</v>
      </c>
      <c r="B167" s="56"/>
      <c r="C167" s="4">
        <v>1</v>
      </c>
      <c r="D167" s="56" t="s">
        <v>274</v>
      </c>
      <c r="E167" s="39">
        <v>1.4</v>
      </c>
      <c r="F167" s="4">
        <v>5</v>
      </c>
      <c r="G167" s="34">
        <f ca="1">INDIRECT("Warrior!" &amp; ADDRESS(H167 + 2, 3)) / I167</f>
        <v>2.2000000000000002</v>
      </c>
      <c r="H167" s="4">
        <v>5</v>
      </c>
      <c r="I167" s="4">
        <v>15</v>
      </c>
      <c r="J167" s="59">
        <v>2</v>
      </c>
    </row>
    <row r="168" spans="1:12" ht="14.55" customHeight="1" x14ac:dyDescent="0.3">
      <c r="A168" s="66"/>
      <c r="B168" s="56"/>
      <c r="C168" s="4">
        <v>2</v>
      </c>
      <c r="D168" s="56"/>
      <c r="E168" s="39">
        <v>1.55</v>
      </c>
      <c r="F168" s="4">
        <v>10</v>
      </c>
      <c r="G168" s="34">
        <f t="shared" ref="G168:G226" ca="1" si="4">INDIRECT("Warrior!" &amp; ADDRESS(H168 + 2, 3)) / I168</f>
        <v>5.2666666666666666</v>
      </c>
      <c r="H168" s="4">
        <v>15</v>
      </c>
      <c r="I168" s="4">
        <v>15</v>
      </c>
      <c r="J168" s="59"/>
    </row>
    <row r="169" spans="1:12" ht="14.55" customHeight="1" x14ac:dyDescent="0.3">
      <c r="A169" s="66"/>
      <c r="B169" s="56"/>
      <c r="C169" s="4">
        <v>3</v>
      </c>
      <c r="D169" s="56"/>
      <c r="E169" s="39">
        <v>1.7</v>
      </c>
      <c r="F169" s="4">
        <v>15</v>
      </c>
      <c r="G169" s="34">
        <f t="shared" ca="1" si="4"/>
        <v>7.8</v>
      </c>
      <c r="H169" s="4">
        <v>25</v>
      </c>
      <c r="I169" s="4">
        <v>15</v>
      </c>
      <c r="J169" s="59"/>
    </row>
    <row r="170" spans="1:12" ht="14.55" customHeight="1" x14ac:dyDescent="0.3">
      <c r="A170" s="66"/>
      <c r="B170" s="56"/>
      <c r="C170" s="4">
        <v>4</v>
      </c>
      <c r="D170" s="56"/>
      <c r="E170" s="39">
        <v>1.85</v>
      </c>
      <c r="F170" s="4">
        <v>20</v>
      </c>
      <c r="G170" s="34">
        <f t="shared" ca="1" si="4"/>
        <v>11.266666666666667</v>
      </c>
      <c r="H170" s="4">
        <v>35</v>
      </c>
      <c r="I170" s="4">
        <v>15</v>
      </c>
      <c r="J170" s="59"/>
    </row>
    <row r="171" spans="1:12" ht="14.55" customHeight="1" x14ac:dyDescent="0.3">
      <c r="A171" s="66"/>
      <c r="B171" s="56"/>
      <c r="C171" s="4">
        <v>5</v>
      </c>
      <c r="D171" s="56"/>
      <c r="E171" s="39">
        <v>2</v>
      </c>
      <c r="F171" s="4">
        <v>25</v>
      </c>
      <c r="G171" s="34">
        <f t="shared" ca="1" si="4"/>
        <v>14.2</v>
      </c>
      <c r="H171" s="4">
        <v>45</v>
      </c>
      <c r="I171" s="4">
        <v>15</v>
      </c>
      <c r="J171" s="59"/>
    </row>
    <row r="172" spans="1:12" ht="14.55" customHeight="1" x14ac:dyDescent="0.3">
      <c r="A172" s="66"/>
      <c r="B172" s="56"/>
      <c r="C172" s="4">
        <v>1</v>
      </c>
      <c r="D172" s="56" t="s">
        <v>270</v>
      </c>
      <c r="E172" s="39">
        <v>1.4</v>
      </c>
      <c r="F172" s="4">
        <v>5</v>
      </c>
      <c r="G172" s="34">
        <f t="shared" ca="1" si="4"/>
        <v>2.75</v>
      </c>
      <c r="H172" s="4">
        <v>5</v>
      </c>
      <c r="I172" s="4">
        <v>12</v>
      </c>
      <c r="J172" s="59">
        <v>5</v>
      </c>
    </row>
    <row r="173" spans="1:12" ht="14.55" customHeight="1" x14ac:dyDescent="0.3">
      <c r="A173" s="66"/>
      <c r="B173" s="56"/>
      <c r="C173" s="4">
        <v>2</v>
      </c>
      <c r="D173" s="56"/>
      <c r="E173" s="39">
        <v>1.55</v>
      </c>
      <c r="F173" s="4">
        <v>10</v>
      </c>
      <c r="G173" s="34">
        <f t="shared" ca="1" si="4"/>
        <v>6.583333333333333</v>
      </c>
      <c r="H173" s="4">
        <v>15</v>
      </c>
      <c r="I173" s="4">
        <v>12</v>
      </c>
      <c r="J173" s="59"/>
    </row>
    <row r="174" spans="1:12" ht="14.55" customHeight="1" x14ac:dyDescent="0.3">
      <c r="A174" s="66"/>
      <c r="B174" s="56"/>
      <c r="C174" s="4">
        <v>3</v>
      </c>
      <c r="D174" s="56"/>
      <c r="E174" s="39">
        <v>1.7</v>
      </c>
      <c r="F174" s="4">
        <v>15</v>
      </c>
      <c r="G174" s="34">
        <f t="shared" ca="1" si="4"/>
        <v>9.75</v>
      </c>
      <c r="H174" s="4">
        <v>25</v>
      </c>
      <c r="I174" s="4">
        <v>12</v>
      </c>
      <c r="J174" s="59"/>
    </row>
    <row r="175" spans="1:12" ht="14.55" customHeight="1" x14ac:dyDescent="0.3">
      <c r="A175" s="66"/>
      <c r="B175" s="56"/>
      <c r="C175" s="4">
        <v>4</v>
      </c>
      <c r="D175" s="56"/>
      <c r="E175" s="39">
        <v>1.85</v>
      </c>
      <c r="F175" s="4">
        <v>20</v>
      </c>
      <c r="G175" s="34">
        <f t="shared" ca="1" si="4"/>
        <v>14.083333333333334</v>
      </c>
      <c r="H175" s="4">
        <v>35</v>
      </c>
      <c r="I175" s="4">
        <v>12</v>
      </c>
      <c r="J175" s="59"/>
    </row>
    <row r="176" spans="1:12" ht="14.55" customHeight="1" x14ac:dyDescent="0.3">
      <c r="A176" s="66"/>
      <c r="B176" s="56"/>
      <c r="C176" s="4">
        <v>5</v>
      </c>
      <c r="D176" s="56"/>
      <c r="E176" s="39">
        <v>2</v>
      </c>
      <c r="F176" s="4">
        <v>25</v>
      </c>
      <c r="G176" s="34">
        <f t="shared" ca="1" si="4"/>
        <v>17.75</v>
      </c>
      <c r="H176" s="4">
        <v>45</v>
      </c>
      <c r="I176" s="4">
        <v>12</v>
      </c>
      <c r="J176" s="59"/>
    </row>
    <row r="177" spans="1:10" ht="14.55" customHeight="1" x14ac:dyDescent="0.3">
      <c r="A177" s="66"/>
      <c r="B177" s="56"/>
      <c r="C177" s="4">
        <v>1</v>
      </c>
      <c r="D177" s="56" t="s">
        <v>271</v>
      </c>
      <c r="E177" s="39">
        <v>1.4</v>
      </c>
      <c r="F177" s="4">
        <v>5</v>
      </c>
      <c r="G177" s="34">
        <f t="shared" ca="1" si="4"/>
        <v>4</v>
      </c>
      <c r="H177" s="4">
        <v>10</v>
      </c>
      <c r="I177" s="4">
        <v>12</v>
      </c>
      <c r="J177" s="59">
        <v>10</v>
      </c>
    </row>
    <row r="178" spans="1:10" ht="14.55" customHeight="1" x14ac:dyDescent="0.3">
      <c r="A178" s="66"/>
      <c r="B178" s="56"/>
      <c r="C178" s="4">
        <v>2</v>
      </c>
      <c r="D178" s="56"/>
      <c r="E178" s="39">
        <v>1.55</v>
      </c>
      <c r="F178" s="4">
        <v>10</v>
      </c>
      <c r="G178" s="34">
        <f t="shared" ca="1" si="4"/>
        <v>6.583333333333333</v>
      </c>
      <c r="H178" s="4">
        <v>15</v>
      </c>
      <c r="I178" s="4">
        <v>12</v>
      </c>
      <c r="J178" s="59"/>
    </row>
    <row r="179" spans="1:10" ht="14.55" customHeight="1" x14ac:dyDescent="0.3">
      <c r="A179" s="66"/>
      <c r="B179" s="56"/>
      <c r="C179" s="4">
        <v>3</v>
      </c>
      <c r="D179" s="56"/>
      <c r="E179" s="39">
        <v>1.7</v>
      </c>
      <c r="F179" s="4">
        <v>15</v>
      </c>
      <c r="G179" s="34">
        <f t="shared" ca="1" si="4"/>
        <v>9.75</v>
      </c>
      <c r="H179" s="4">
        <v>25</v>
      </c>
      <c r="I179" s="4">
        <v>12</v>
      </c>
      <c r="J179" s="59"/>
    </row>
    <row r="180" spans="1:10" ht="14.55" customHeight="1" x14ac:dyDescent="0.3">
      <c r="A180" s="66"/>
      <c r="B180" s="56"/>
      <c r="C180" s="4">
        <v>4</v>
      </c>
      <c r="D180" s="56"/>
      <c r="E180" s="39">
        <v>1.85</v>
      </c>
      <c r="F180" s="4">
        <v>20</v>
      </c>
      <c r="G180" s="34">
        <f t="shared" ca="1" si="4"/>
        <v>14.083333333333334</v>
      </c>
      <c r="H180" s="4">
        <v>35</v>
      </c>
      <c r="I180" s="4">
        <v>12</v>
      </c>
      <c r="J180" s="59"/>
    </row>
    <row r="181" spans="1:10" ht="14.55" customHeight="1" x14ac:dyDescent="0.3">
      <c r="A181" s="66"/>
      <c r="B181" s="56"/>
      <c r="C181" s="4">
        <v>5</v>
      </c>
      <c r="D181" s="56"/>
      <c r="E181" s="39">
        <v>2</v>
      </c>
      <c r="F181" s="4">
        <v>25</v>
      </c>
      <c r="G181" s="34">
        <f t="shared" ca="1" si="4"/>
        <v>17.75</v>
      </c>
      <c r="H181" s="4">
        <v>45</v>
      </c>
      <c r="I181" s="4">
        <v>12</v>
      </c>
      <c r="J181" s="59"/>
    </row>
    <row r="182" spans="1:10" ht="14.55" customHeight="1" x14ac:dyDescent="0.3">
      <c r="A182" s="66"/>
      <c r="B182" s="56"/>
      <c r="C182" s="4">
        <v>1</v>
      </c>
      <c r="D182" s="56" t="s">
        <v>272</v>
      </c>
      <c r="E182" s="39">
        <v>1.4</v>
      </c>
      <c r="F182" s="4">
        <v>5</v>
      </c>
      <c r="G182" s="34">
        <f t="shared" ca="1" si="4"/>
        <v>9.4</v>
      </c>
      <c r="H182" s="4">
        <v>20</v>
      </c>
      <c r="I182" s="4">
        <v>10</v>
      </c>
      <c r="J182" s="59">
        <v>20</v>
      </c>
    </row>
    <row r="183" spans="1:10" ht="14.55" customHeight="1" x14ac:dyDescent="0.3">
      <c r="A183" s="66"/>
      <c r="B183" s="56"/>
      <c r="C183" s="4">
        <v>2</v>
      </c>
      <c r="D183" s="56"/>
      <c r="E183" s="39">
        <v>1.55</v>
      </c>
      <c r="F183" s="4">
        <v>10</v>
      </c>
      <c r="G183" s="34">
        <f t="shared" ca="1" si="4"/>
        <v>11.7</v>
      </c>
      <c r="H183" s="4">
        <v>25</v>
      </c>
      <c r="I183" s="4">
        <v>10</v>
      </c>
      <c r="J183" s="59"/>
    </row>
    <row r="184" spans="1:10" ht="14.55" customHeight="1" x14ac:dyDescent="0.3">
      <c r="A184" s="66"/>
      <c r="B184" s="56"/>
      <c r="C184" s="4">
        <v>3</v>
      </c>
      <c r="D184" s="56"/>
      <c r="E184" s="39">
        <v>1.7</v>
      </c>
      <c r="F184" s="4">
        <v>15</v>
      </c>
      <c r="G184" s="34">
        <f t="shared" ca="1" si="4"/>
        <v>13.2</v>
      </c>
      <c r="H184" s="4">
        <v>30</v>
      </c>
      <c r="I184" s="4">
        <v>10</v>
      </c>
      <c r="J184" s="59"/>
    </row>
    <row r="185" spans="1:10" ht="14.55" customHeight="1" x14ac:dyDescent="0.3">
      <c r="A185" s="66"/>
      <c r="B185" s="56"/>
      <c r="C185" s="4">
        <v>4</v>
      </c>
      <c r="D185" s="56"/>
      <c r="E185" s="39">
        <v>1.85</v>
      </c>
      <c r="F185" s="4">
        <v>20</v>
      </c>
      <c r="G185" s="34">
        <f t="shared" ca="1" si="4"/>
        <v>16.899999999999999</v>
      </c>
      <c r="H185" s="4">
        <v>35</v>
      </c>
      <c r="I185" s="4">
        <v>10</v>
      </c>
      <c r="J185" s="59"/>
    </row>
    <row r="186" spans="1:10" ht="14.55" customHeight="1" x14ac:dyDescent="0.3">
      <c r="A186" s="66"/>
      <c r="B186" s="56"/>
      <c r="C186" s="4">
        <v>5</v>
      </c>
      <c r="D186" s="56"/>
      <c r="E186" s="39">
        <v>2</v>
      </c>
      <c r="F186" s="4">
        <v>25</v>
      </c>
      <c r="G186" s="34">
        <f t="shared" ca="1" si="4"/>
        <v>18.399999999999999</v>
      </c>
      <c r="H186" s="4">
        <v>40</v>
      </c>
      <c r="I186" s="4">
        <v>10</v>
      </c>
      <c r="J186" s="59"/>
    </row>
    <row r="187" spans="1:10" ht="14.55" customHeight="1" x14ac:dyDescent="0.3">
      <c r="A187" s="66"/>
      <c r="B187" s="56"/>
      <c r="C187" s="4">
        <v>1</v>
      </c>
      <c r="D187" s="56" t="s">
        <v>295</v>
      </c>
      <c r="E187" s="39">
        <v>0.1</v>
      </c>
      <c r="F187" s="4">
        <v>5</v>
      </c>
      <c r="G187" s="34">
        <f t="shared" ca="1" si="4"/>
        <v>3.3</v>
      </c>
      <c r="H187" s="4">
        <v>5</v>
      </c>
      <c r="I187" s="4">
        <v>10</v>
      </c>
      <c r="J187" s="59">
        <v>25</v>
      </c>
    </row>
    <row r="188" spans="1:10" ht="14.55" customHeight="1" x14ac:dyDescent="0.3">
      <c r="A188" s="66"/>
      <c r="B188" s="56"/>
      <c r="C188" s="4">
        <v>2</v>
      </c>
      <c r="D188" s="56"/>
      <c r="E188" s="39">
        <v>0.2</v>
      </c>
      <c r="F188" s="4">
        <v>10</v>
      </c>
      <c r="G188" s="34">
        <f t="shared" ca="1" si="4"/>
        <v>7.9</v>
      </c>
      <c r="H188" s="4">
        <v>15</v>
      </c>
      <c r="I188" s="4">
        <v>10</v>
      </c>
      <c r="J188" s="59"/>
    </row>
    <row r="189" spans="1:10" ht="14.55" customHeight="1" x14ac:dyDescent="0.3">
      <c r="A189" s="66"/>
      <c r="B189" s="56"/>
      <c r="C189" s="4">
        <v>3</v>
      </c>
      <c r="D189" s="56"/>
      <c r="E189" s="39">
        <v>0.3</v>
      </c>
      <c r="F189" s="4">
        <v>15</v>
      </c>
      <c r="G189" s="34">
        <f t="shared" ca="1" si="4"/>
        <v>11.7</v>
      </c>
      <c r="H189" s="4">
        <v>25</v>
      </c>
      <c r="I189" s="4">
        <v>10</v>
      </c>
      <c r="J189" s="59"/>
    </row>
    <row r="190" spans="1:10" ht="14.55" customHeight="1" x14ac:dyDescent="0.3">
      <c r="A190" s="66"/>
      <c r="B190" s="56"/>
      <c r="C190" s="4">
        <v>4</v>
      </c>
      <c r="D190" s="56"/>
      <c r="E190" s="39">
        <v>0.4</v>
      </c>
      <c r="F190" s="4">
        <v>20</v>
      </c>
      <c r="G190" s="34">
        <f t="shared" ca="1" si="4"/>
        <v>16.899999999999999</v>
      </c>
      <c r="H190" s="4">
        <v>35</v>
      </c>
      <c r="I190" s="4">
        <v>10</v>
      </c>
      <c r="J190" s="59"/>
    </row>
    <row r="191" spans="1:10" ht="14.55" customHeight="1" x14ac:dyDescent="0.3">
      <c r="A191" s="66"/>
      <c r="B191" s="56"/>
      <c r="C191" s="4">
        <v>5</v>
      </c>
      <c r="D191" s="56"/>
      <c r="E191" s="39">
        <v>0.5</v>
      </c>
      <c r="F191" s="4">
        <v>25</v>
      </c>
      <c r="G191" s="34">
        <f t="shared" ca="1" si="4"/>
        <v>21.3</v>
      </c>
      <c r="H191" s="4">
        <v>45</v>
      </c>
      <c r="I191" s="4">
        <v>10</v>
      </c>
      <c r="J191" s="59"/>
    </row>
    <row r="192" spans="1:10" ht="14.55" customHeight="1" x14ac:dyDescent="0.3">
      <c r="A192" s="66"/>
      <c r="B192" s="56"/>
      <c r="C192" s="4">
        <v>1</v>
      </c>
      <c r="D192" s="56" t="s">
        <v>296</v>
      </c>
      <c r="E192" s="39">
        <v>0.1</v>
      </c>
      <c r="F192" s="4">
        <v>5</v>
      </c>
      <c r="G192" s="34">
        <f t="shared" ca="1" si="4"/>
        <v>6.6</v>
      </c>
      <c r="H192" s="4">
        <v>5</v>
      </c>
      <c r="I192" s="4">
        <v>5</v>
      </c>
      <c r="J192" s="59">
        <v>30</v>
      </c>
    </row>
    <row r="193" spans="1:10" ht="14.55" customHeight="1" x14ac:dyDescent="0.3">
      <c r="A193" s="66"/>
      <c r="B193" s="56"/>
      <c r="C193" s="4">
        <v>2</v>
      </c>
      <c r="D193" s="56"/>
      <c r="E193" s="39">
        <v>0.15</v>
      </c>
      <c r="F193" s="4">
        <v>10</v>
      </c>
      <c r="G193" s="34">
        <f t="shared" ca="1" si="4"/>
        <v>15.8</v>
      </c>
      <c r="H193" s="4">
        <v>15</v>
      </c>
      <c r="I193" s="4">
        <v>5</v>
      </c>
      <c r="J193" s="59"/>
    </row>
    <row r="194" spans="1:10" ht="14.55" customHeight="1" x14ac:dyDescent="0.3">
      <c r="A194" s="66"/>
      <c r="B194" s="56"/>
      <c r="C194" s="4">
        <v>3</v>
      </c>
      <c r="D194" s="56"/>
      <c r="E194" s="39">
        <v>0.2</v>
      </c>
      <c r="F194" s="4">
        <v>15</v>
      </c>
      <c r="G194" s="34">
        <f t="shared" ca="1" si="4"/>
        <v>23.4</v>
      </c>
      <c r="H194" s="4">
        <v>25</v>
      </c>
      <c r="I194" s="4">
        <v>5</v>
      </c>
      <c r="J194" s="59"/>
    </row>
    <row r="195" spans="1:10" ht="14.55" customHeight="1" x14ac:dyDescent="0.3">
      <c r="A195" s="66"/>
      <c r="B195" s="56"/>
      <c r="C195" s="4">
        <v>4</v>
      </c>
      <c r="D195" s="56"/>
      <c r="E195" s="39">
        <v>0.25</v>
      </c>
      <c r="F195" s="4">
        <v>20</v>
      </c>
      <c r="G195" s="34">
        <f t="shared" ca="1" si="4"/>
        <v>33.799999999999997</v>
      </c>
      <c r="H195" s="4">
        <v>35</v>
      </c>
      <c r="I195" s="4">
        <v>5</v>
      </c>
      <c r="J195" s="59"/>
    </row>
    <row r="196" spans="1:10" ht="14.55" customHeight="1" x14ac:dyDescent="0.3">
      <c r="A196" s="66"/>
      <c r="B196" s="56"/>
      <c r="C196" s="4">
        <v>5</v>
      </c>
      <c r="D196" s="56"/>
      <c r="E196" s="39">
        <v>0.3</v>
      </c>
      <c r="F196" s="4">
        <v>25</v>
      </c>
      <c r="G196" s="34">
        <f t="shared" ca="1" si="4"/>
        <v>42.6</v>
      </c>
      <c r="H196" s="4">
        <v>45</v>
      </c>
      <c r="I196" s="4">
        <v>5</v>
      </c>
      <c r="J196" s="59"/>
    </row>
    <row r="197" spans="1:10" ht="14.55" customHeight="1" x14ac:dyDescent="0.3">
      <c r="A197" s="66"/>
      <c r="B197" s="56"/>
      <c r="C197" s="4">
        <v>1</v>
      </c>
      <c r="D197" s="56" t="s">
        <v>297</v>
      </c>
      <c r="E197" s="39">
        <v>0.1</v>
      </c>
      <c r="F197" s="4">
        <v>5</v>
      </c>
      <c r="G197" s="34">
        <f t="shared" ca="1" si="4"/>
        <v>3.3</v>
      </c>
      <c r="H197" s="4">
        <v>5</v>
      </c>
      <c r="I197" s="4">
        <v>10</v>
      </c>
      <c r="J197" s="59">
        <v>25</v>
      </c>
    </row>
    <row r="198" spans="1:10" ht="14.55" customHeight="1" x14ac:dyDescent="0.3">
      <c r="A198" s="66"/>
      <c r="B198" s="56"/>
      <c r="C198" s="4">
        <v>2</v>
      </c>
      <c r="D198" s="56"/>
      <c r="E198" s="39">
        <v>0.2</v>
      </c>
      <c r="F198" s="4">
        <v>10</v>
      </c>
      <c r="G198" s="34">
        <f t="shared" ca="1" si="4"/>
        <v>7.9</v>
      </c>
      <c r="H198" s="4">
        <v>15</v>
      </c>
      <c r="I198" s="4">
        <v>10</v>
      </c>
      <c r="J198" s="59"/>
    </row>
    <row r="199" spans="1:10" ht="14.55" customHeight="1" x14ac:dyDescent="0.3">
      <c r="A199" s="66"/>
      <c r="B199" s="56"/>
      <c r="C199" s="4">
        <v>3</v>
      </c>
      <c r="D199" s="56"/>
      <c r="E199" s="39">
        <v>0.3</v>
      </c>
      <c r="F199" s="4">
        <v>15</v>
      </c>
      <c r="G199" s="34">
        <f t="shared" ca="1" si="4"/>
        <v>11.7</v>
      </c>
      <c r="H199" s="4">
        <v>25</v>
      </c>
      <c r="I199" s="4">
        <v>10</v>
      </c>
      <c r="J199" s="59"/>
    </row>
    <row r="200" spans="1:10" ht="14.55" customHeight="1" x14ac:dyDescent="0.3">
      <c r="A200" s="66"/>
      <c r="B200" s="56"/>
      <c r="C200" s="4">
        <v>4</v>
      </c>
      <c r="D200" s="56"/>
      <c r="E200" s="39">
        <v>0.4</v>
      </c>
      <c r="F200" s="4">
        <v>20</v>
      </c>
      <c r="G200" s="34">
        <f t="shared" ca="1" si="4"/>
        <v>16.899999999999999</v>
      </c>
      <c r="H200" s="4">
        <v>35</v>
      </c>
      <c r="I200" s="4">
        <v>10</v>
      </c>
      <c r="J200" s="59"/>
    </row>
    <row r="201" spans="1:10" ht="14.55" customHeight="1" x14ac:dyDescent="0.3">
      <c r="A201" s="66"/>
      <c r="B201" s="56"/>
      <c r="C201" s="4">
        <v>5</v>
      </c>
      <c r="D201" s="56"/>
      <c r="E201" s="39">
        <v>0.5</v>
      </c>
      <c r="F201" s="4">
        <v>25</v>
      </c>
      <c r="G201" s="34">
        <f t="shared" ca="1" si="4"/>
        <v>21.3</v>
      </c>
      <c r="H201" s="4">
        <v>45</v>
      </c>
      <c r="I201" s="4">
        <v>10</v>
      </c>
      <c r="J201" s="59"/>
    </row>
    <row r="202" spans="1:10" ht="14.55" customHeight="1" x14ac:dyDescent="0.3">
      <c r="A202" s="66"/>
      <c r="B202" s="56"/>
      <c r="C202" s="4">
        <v>1</v>
      </c>
      <c r="D202" s="56" t="s">
        <v>298</v>
      </c>
      <c r="E202" s="39">
        <v>0.1</v>
      </c>
      <c r="F202" s="4">
        <v>5</v>
      </c>
      <c r="G202" s="34">
        <f t="shared" ca="1" si="4"/>
        <v>6.6</v>
      </c>
      <c r="H202" s="4">
        <v>5</v>
      </c>
      <c r="I202" s="4">
        <v>5</v>
      </c>
      <c r="J202" s="59">
        <v>30</v>
      </c>
    </row>
    <row r="203" spans="1:10" ht="14.55" customHeight="1" x14ac:dyDescent="0.3">
      <c r="A203" s="66"/>
      <c r="B203" s="56"/>
      <c r="C203" s="4">
        <v>2</v>
      </c>
      <c r="D203" s="56"/>
      <c r="E203" s="39">
        <v>0.15</v>
      </c>
      <c r="F203" s="4">
        <v>10</v>
      </c>
      <c r="G203" s="34">
        <f t="shared" ca="1" si="4"/>
        <v>15.8</v>
      </c>
      <c r="H203" s="4">
        <v>15</v>
      </c>
      <c r="I203" s="4">
        <v>5</v>
      </c>
      <c r="J203" s="59"/>
    </row>
    <row r="204" spans="1:10" ht="14.55" customHeight="1" x14ac:dyDescent="0.3">
      <c r="A204" s="66"/>
      <c r="B204" s="56"/>
      <c r="C204" s="4">
        <v>3</v>
      </c>
      <c r="D204" s="56"/>
      <c r="E204" s="39">
        <v>0.2</v>
      </c>
      <c r="F204" s="4">
        <v>15</v>
      </c>
      <c r="G204" s="34">
        <f t="shared" ca="1" si="4"/>
        <v>23.4</v>
      </c>
      <c r="H204" s="4">
        <v>25</v>
      </c>
      <c r="I204" s="4">
        <v>5</v>
      </c>
      <c r="J204" s="59"/>
    </row>
    <row r="205" spans="1:10" ht="14.55" customHeight="1" x14ac:dyDescent="0.3">
      <c r="A205" s="66"/>
      <c r="B205" s="56"/>
      <c r="C205" s="4">
        <v>4</v>
      </c>
      <c r="D205" s="56"/>
      <c r="E205" s="39">
        <v>0.25</v>
      </c>
      <c r="F205" s="4">
        <v>20</v>
      </c>
      <c r="G205" s="34">
        <f t="shared" ca="1" si="4"/>
        <v>33.799999999999997</v>
      </c>
      <c r="H205" s="4">
        <v>35</v>
      </c>
      <c r="I205" s="4">
        <v>5</v>
      </c>
      <c r="J205" s="59"/>
    </row>
    <row r="206" spans="1:10" ht="14.55" customHeight="1" x14ac:dyDescent="0.3">
      <c r="A206" s="66"/>
      <c r="B206" s="56"/>
      <c r="C206" s="4">
        <v>5</v>
      </c>
      <c r="D206" s="56"/>
      <c r="E206" s="39">
        <v>0.3</v>
      </c>
      <c r="F206" s="4">
        <v>25</v>
      </c>
      <c r="G206" s="34">
        <f t="shared" ca="1" si="4"/>
        <v>42.6</v>
      </c>
      <c r="H206" s="4">
        <v>45</v>
      </c>
      <c r="I206" s="4">
        <v>5</v>
      </c>
      <c r="J206" s="59"/>
    </row>
    <row r="207" spans="1:10" ht="14.55" customHeight="1" x14ac:dyDescent="0.3">
      <c r="A207" s="66"/>
      <c r="B207" s="56"/>
      <c r="C207" s="4">
        <v>1</v>
      </c>
      <c r="D207" s="56" t="s">
        <v>299</v>
      </c>
      <c r="E207" s="39">
        <v>1.1000000000000001</v>
      </c>
      <c r="F207" s="4">
        <v>5</v>
      </c>
      <c r="G207" s="34">
        <f t="shared" ca="1" si="4"/>
        <v>2.2000000000000002</v>
      </c>
      <c r="H207" s="4">
        <v>5</v>
      </c>
      <c r="I207" s="4">
        <v>15</v>
      </c>
      <c r="J207" s="59">
        <v>7</v>
      </c>
    </row>
    <row r="208" spans="1:10" ht="14.55" customHeight="1" x14ac:dyDescent="0.3">
      <c r="A208" s="66"/>
      <c r="B208" s="56"/>
      <c r="C208" s="4">
        <v>2</v>
      </c>
      <c r="D208" s="56"/>
      <c r="E208" s="39">
        <v>1.2</v>
      </c>
      <c r="F208" s="4">
        <v>10</v>
      </c>
      <c r="G208" s="34">
        <f t="shared" ca="1" si="4"/>
        <v>5.2666666666666666</v>
      </c>
      <c r="H208" s="4">
        <v>15</v>
      </c>
      <c r="I208" s="4">
        <v>15</v>
      </c>
      <c r="J208" s="59"/>
    </row>
    <row r="209" spans="1:10" ht="14.55" customHeight="1" x14ac:dyDescent="0.3">
      <c r="A209" s="66"/>
      <c r="B209" s="56"/>
      <c r="C209" s="4">
        <v>3</v>
      </c>
      <c r="D209" s="56"/>
      <c r="E209" s="39">
        <v>1.3</v>
      </c>
      <c r="F209" s="4">
        <v>15</v>
      </c>
      <c r="G209" s="34">
        <f t="shared" ca="1" si="4"/>
        <v>7.8</v>
      </c>
      <c r="H209" s="4">
        <v>25</v>
      </c>
      <c r="I209" s="4">
        <v>15</v>
      </c>
      <c r="J209" s="59"/>
    </row>
    <row r="210" spans="1:10" ht="14.55" customHeight="1" x14ac:dyDescent="0.3">
      <c r="A210" s="66"/>
      <c r="B210" s="56"/>
      <c r="C210" s="4">
        <v>4</v>
      </c>
      <c r="D210" s="56"/>
      <c r="E210" s="39">
        <v>1.4</v>
      </c>
      <c r="F210" s="4">
        <v>20</v>
      </c>
      <c r="G210" s="34">
        <f t="shared" ca="1" si="4"/>
        <v>11.266666666666667</v>
      </c>
      <c r="H210" s="4">
        <v>35</v>
      </c>
      <c r="I210" s="4">
        <v>15</v>
      </c>
      <c r="J210" s="59"/>
    </row>
    <row r="211" spans="1:10" ht="14.55" customHeight="1" x14ac:dyDescent="0.3">
      <c r="A211" s="66"/>
      <c r="B211" s="56"/>
      <c r="C211" s="4">
        <v>5</v>
      </c>
      <c r="D211" s="56"/>
      <c r="E211" s="39">
        <v>1.5</v>
      </c>
      <c r="F211" s="4">
        <v>25</v>
      </c>
      <c r="G211" s="34">
        <f t="shared" ca="1" si="4"/>
        <v>14.2</v>
      </c>
      <c r="H211" s="4">
        <v>45</v>
      </c>
      <c r="I211" s="4">
        <v>15</v>
      </c>
      <c r="J211" s="59"/>
    </row>
    <row r="212" spans="1:10" ht="14.55" customHeight="1" x14ac:dyDescent="0.3">
      <c r="A212" s="66"/>
      <c r="B212" s="56"/>
      <c r="C212" s="4">
        <v>1</v>
      </c>
      <c r="D212" s="56" t="s">
        <v>300</v>
      </c>
      <c r="E212" s="39">
        <v>1.1000000000000001</v>
      </c>
      <c r="F212" s="4">
        <v>5</v>
      </c>
      <c r="G212" s="34">
        <f t="shared" ca="1" si="4"/>
        <v>4</v>
      </c>
      <c r="H212" s="4">
        <v>10</v>
      </c>
      <c r="I212" s="4">
        <v>12</v>
      </c>
      <c r="J212" s="59">
        <v>12</v>
      </c>
    </row>
    <row r="213" spans="1:10" ht="14.55" customHeight="1" x14ac:dyDescent="0.3">
      <c r="A213" s="66"/>
      <c r="B213" s="56"/>
      <c r="C213" s="4">
        <v>2</v>
      </c>
      <c r="D213" s="56"/>
      <c r="E213" s="39">
        <v>1.2</v>
      </c>
      <c r="F213" s="4">
        <v>10</v>
      </c>
      <c r="G213" s="34">
        <f t="shared" ca="1" si="4"/>
        <v>6.583333333333333</v>
      </c>
      <c r="H213" s="4">
        <v>15</v>
      </c>
      <c r="I213" s="4">
        <v>12</v>
      </c>
      <c r="J213" s="59"/>
    </row>
    <row r="214" spans="1:10" ht="14.55" customHeight="1" x14ac:dyDescent="0.3">
      <c r="A214" s="66"/>
      <c r="B214" s="56"/>
      <c r="C214" s="4">
        <v>3</v>
      </c>
      <c r="D214" s="56"/>
      <c r="E214" s="39">
        <v>1.3</v>
      </c>
      <c r="F214" s="4">
        <v>15</v>
      </c>
      <c r="G214" s="34">
        <f t="shared" ca="1" si="4"/>
        <v>9.75</v>
      </c>
      <c r="H214" s="4">
        <v>25</v>
      </c>
      <c r="I214" s="4">
        <v>12</v>
      </c>
      <c r="J214" s="59"/>
    </row>
    <row r="215" spans="1:10" ht="14.55" customHeight="1" x14ac:dyDescent="0.3">
      <c r="A215" s="66"/>
      <c r="B215" s="56"/>
      <c r="C215" s="4">
        <v>4</v>
      </c>
      <c r="D215" s="56"/>
      <c r="E215" s="39">
        <v>1.4</v>
      </c>
      <c r="F215" s="4">
        <v>20</v>
      </c>
      <c r="G215" s="34">
        <f t="shared" ca="1" si="4"/>
        <v>14.083333333333334</v>
      </c>
      <c r="H215" s="4">
        <v>35</v>
      </c>
      <c r="I215" s="4">
        <v>12</v>
      </c>
      <c r="J215" s="59"/>
    </row>
    <row r="216" spans="1:10" ht="14.55" customHeight="1" x14ac:dyDescent="0.3">
      <c r="A216" s="66"/>
      <c r="B216" s="56"/>
      <c r="C216" s="4">
        <v>5</v>
      </c>
      <c r="D216" s="56"/>
      <c r="E216" s="39">
        <v>1.5</v>
      </c>
      <c r="F216" s="4">
        <v>25</v>
      </c>
      <c r="G216" s="34">
        <f t="shared" ca="1" si="4"/>
        <v>17.75</v>
      </c>
      <c r="H216" s="4">
        <v>45</v>
      </c>
      <c r="I216" s="4">
        <v>12</v>
      </c>
      <c r="J216" s="59"/>
    </row>
    <row r="217" spans="1:10" ht="14.55" customHeight="1" x14ac:dyDescent="0.3">
      <c r="A217" s="66"/>
      <c r="B217" s="56"/>
      <c r="C217" s="4">
        <v>1</v>
      </c>
      <c r="D217" s="56" t="s">
        <v>301</v>
      </c>
      <c r="E217" s="39">
        <v>1.1000000000000001</v>
      </c>
      <c r="F217" s="4">
        <v>5</v>
      </c>
      <c r="G217" s="34">
        <f t="shared" ca="1" si="4"/>
        <v>4</v>
      </c>
      <c r="H217" s="4">
        <v>10</v>
      </c>
      <c r="I217" s="4">
        <v>12</v>
      </c>
      <c r="J217" s="59">
        <v>17</v>
      </c>
    </row>
    <row r="218" spans="1:10" ht="14.55" customHeight="1" x14ac:dyDescent="0.3">
      <c r="A218" s="66"/>
      <c r="B218" s="56"/>
      <c r="C218" s="4">
        <v>2</v>
      </c>
      <c r="D218" s="56"/>
      <c r="E218" s="39">
        <v>1.2</v>
      </c>
      <c r="F218" s="4">
        <v>10</v>
      </c>
      <c r="G218" s="34">
        <f t="shared" ca="1" si="4"/>
        <v>6.583333333333333</v>
      </c>
      <c r="H218" s="4">
        <v>15</v>
      </c>
      <c r="I218" s="4">
        <v>12</v>
      </c>
      <c r="J218" s="59"/>
    </row>
    <row r="219" spans="1:10" ht="14.55" customHeight="1" x14ac:dyDescent="0.3">
      <c r="A219" s="66"/>
      <c r="B219" s="56"/>
      <c r="C219" s="4">
        <v>3</v>
      </c>
      <c r="D219" s="56"/>
      <c r="E219" s="39">
        <v>1.3</v>
      </c>
      <c r="F219" s="4">
        <v>15</v>
      </c>
      <c r="G219" s="34">
        <f t="shared" ca="1" si="4"/>
        <v>9.75</v>
      </c>
      <c r="H219" s="4">
        <v>25</v>
      </c>
      <c r="I219" s="4">
        <v>12</v>
      </c>
      <c r="J219" s="59"/>
    </row>
    <row r="220" spans="1:10" ht="14.55" customHeight="1" x14ac:dyDescent="0.3">
      <c r="A220" s="66"/>
      <c r="B220" s="56"/>
      <c r="C220" s="4">
        <v>4</v>
      </c>
      <c r="D220" s="56"/>
      <c r="E220" s="39">
        <v>1.4</v>
      </c>
      <c r="F220" s="4">
        <v>20</v>
      </c>
      <c r="G220" s="34">
        <f t="shared" ca="1" si="4"/>
        <v>14.083333333333334</v>
      </c>
      <c r="H220" s="4">
        <v>35</v>
      </c>
      <c r="I220" s="4">
        <v>12</v>
      </c>
      <c r="J220" s="59"/>
    </row>
    <row r="221" spans="1:10" ht="14.55" customHeight="1" x14ac:dyDescent="0.3">
      <c r="A221" s="66"/>
      <c r="B221" s="56"/>
      <c r="C221" s="4">
        <v>5</v>
      </c>
      <c r="D221" s="56"/>
      <c r="E221" s="39">
        <v>1.5</v>
      </c>
      <c r="F221" s="4">
        <v>25</v>
      </c>
      <c r="G221" s="34">
        <f t="shared" ca="1" si="4"/>
        <v>17.75</v>
      </c>
      <c r="H221" s="4">
        <v>45</v>
      </c>
      <c r="I221" s="4">
        <v>12</v>
      </c>
      <c r="J221" s="59"/>
    </row>
    <row r="222" spans="1:10" ht="14.55" customHeight="1" x14ac:dyDescent="0.3">
      <c r="A222" s="66"/>
      <c r="B222" s="57"/>
      <c r="C222" s="4">
        <v>1</v>
      </c>
      <c r="D222" s="57" t="s">
        <v>302</v>
      </c>
      <c r="E222" s="39">
        <v>1.1000000000000001</v>
      </c>
      <c r="F222" s="4">
        <v>5</v>
      </c>
      <c r="G222" s="34">
        <f t="shared" ca="1" si="4"/>
        <v>9.4</v>
      </c>
      <c r="H222" s="4">
        <v>20</v>
      </c>
      <c r="I222" s="4">
        <v>10</v>
      </c>
      <c r="J222" s="60">
        <v>22</v>
      </c>
    </row>
    <row r="223" spans="1:10" ht="14.55" customHeight="1" x14ac:dyDescent="0.3">
      <c r="A223" s="66"/>
      <c r="B223" s="57"/>
      <c r="C223" s="4">
        <v>2</v>
      </c>
      <c r="D223" s="57"/>
      <c r="E223" s="39">
        <v>1.2</v>
      </c>
      <c r="F223" s="4">
        <v>10</v>
      </c>
      <c r="G223" s="34">
        <f t="shared" ca="1" si="4"/>
        <v>11.7</v>
      </c>
      <c r="H223" s="4">
        <v>25</v>
      </c>
      <c r="I223" s="4">
        <v>10</v>
      </c>
      <c r="J223" s="60"/>
    </row>
    <row r="224" spans="1:10" ht="14.55" customHeight="1" x14ac:dyDescent="0.3">
      <c r="A224" s="66"/>
      <c r="B224" s="57"/>
      <c r="C224" s="4">
        <v>3</v>
      </c>
      <c r="D224" s="57"/>
      <c r="E224" s="39">
        <v>1.3</v>
      </c>
      <c r="F224" s="4">
        <v>15</v>
      </c>
      <c r="G224" s="34">
        <f t="shared" ca="1" si="4"/>
        <v>13.2</v>
      </c>
      <c r="H224" s="4">
        <v>30</v>
      </c>
      <c r="I224" s="4">
        <v>10</v>
      </c>
      <c r="J224" s="60"/>
    </row>
    <row r="225" spans="1:12" ht="14.55" customHeight="1" x14ac:dyDescent="0.3">
      <c r="A225" s="66"/>
      <c r="B225" s="57"/>
      <c r="C225" s="4">
        <v>4</v>
      </c>
      <c r="D225" s="57"/>
      <c r="E225" s="39">
        <v>1.4</v>
      </c>
      <c r="F225" s="4">
        <v>20</v>
      </c>
      <c r="G225" s="34">
        <f t="shared" ca="1" si="4"/>
        <v>16.899999999999999</v>
      </c>
      <c r="H225" s="4">
        <v>35</v>
      </c>
      <c r="I225" s="4">
        <v>10</v>
      </c>
      <c r="J225" s="60"/>
    </row>
    <row r="226" spans="1:12" s="42" customFormat="1" ht="14.55" customHeight="1" x14ac:dyDescent="0.3">
      <c r="A226" s="67"/>
      <c r="B226" s="58"/>
      <c r="C226" s="42">
        <v>5</v>
      </c>
      <c r="D226" s="58"/>
      <c r="E226" s="50">
        <v>1.5</v>
      </c>
      <c r="F226" s="42">
        <v>25</v>
      </c>
      <c r="G226" s="30">
        <f t="shared" ca="1" si="4"/>
        <v>18.399999999999999</v>
      </c>
      <c r="H226" s="42">
        <v>40</v>
      </c>
      <c r="I226" s="42">
        <v>10</v>
      </c>
      <c r="J226" s="61"/>
      <c r="L226" s="30"/>
    </row>
  </sheetData>
  <mergeCells count="139">
    <mergeCell ref="J212:J216"/>
    <mergeCell ref="J217:J221"/>
    <mergeCell ref="J222:J226"/>
    <mergeCell ref="J182:J186"/>
    <mergeCell ref="J187:J191"/>
    <mergeCell ref="J192:J196"/>
    <mergeCell ref="J197:J201"/>
    <mergeCell ref="J202:J206"/>
    <mergeCell ref="J207:J211"/>
    <mergeCell ref="J152:J156"/>
    <mergeCell ref="J157:J161"/>
    <mergeCell ref="J162:J166"/>
    <mergeCell ref="J167:J171"/>
    <mergeCell ref="J172:J176"/>
    <mergeCell ref="J177:J181"/>
    <mergeCell ref="J122:J126"/>
    <mergeCell ref="J127:J131"/>
    <mergeCell ref="J132:J136"/>
    <mergeCell ref="J137:J141"/>
    <mergeCell ref="J142:J146"/>
    <mergeCell ref="J147:J151"/>
    <mergeCell ref="J92:J96"/>
    <mergeCell ref="J97:J101"/>
    <mergeCell ref="J102:J106"/>
    <mergeCell ref="J107:J111"/>
    <mergeCell ref="J112:J116"/>
    <mergeCell ref="J117:J121"/>
    <mergeCell ref="J62:J66"/>
    <mergeCell ref="J67:J71"/>
    <mergeCell ref="J72:J76"/>
    <mergeCell ref="J77:J81"/>
    <mergeCell ref="J82:J86"/>
    <mergeCell ref="J87:J91"/>
    <mergeCell ref="J32:J36"/>
    <mergeCell ref="J37:J41"/>
    <mergeCell ref="J42:J46"/>
    <mergeCell ref="J47:J51"/>
    <mergeCell ref="J52:J56"/>
    <mergeCell ref="J57:J61"/>
    <mergeCell ref="A62:A116"/>
    <mergeCell ref="A117:A166"/>
    <mergeCell ref="A167:A226"/>
    <mergeCell ref="B217:B221"/>
    <mergeCell ref="B222:B226"/>
    <mergeCell ref="A2:A61"/>
    <mergeCell ref="B127:B131"/>
    <mergeCell ref="B132:B136"/>
    <mergeCell ref="B137:B141"/>
    <mergeCell ref="B87:B91"/>
    <mergeCell ref="B92:B96"/>
    <mergeCell ref="B97:B101"/>
    <mergeCell ref="B102:B106"/>
    <mergeCell ref="B107:B111"/>
    <mergeCell ref="B42:B46"/>
    <mergeCell ref="D222:D226"/>
    <mergeCell ref="B47:B51"/>
    <mergeCell ref="B52:B56"/>
    <mergeCell ref="J2:J6"/>
    <mergeCell ref="J7:J11"/>
    <mergeCell ref="J12:J16"/>
    <mergeCell ref="J17:J21"/>
    <mergeCell ref="J22:J26"/>
    <mergeCell ref="J27:J31"/>
    <mergeCell ref="B202:B206"/>
    <mergeCell ref="B207:B211"/>
    <mergeCell ref="B212:B216"/>
    <mergeCell ref="B172:B176"/>
    <mergeCell ref="B177:B181"/>
    <mergeCell ref="B182:B186"/>
    <mergeCell ref="B187:B191"/>
    <mergeCell ref="B192:B196"/>
    <mergeCell ref="B197:B201"/>
    <mergeCell ref="B142:B146"/>
    <mergeCell ref="B147:B151"/>
    <mergeCell ref="B152:B156"/>
    <mergeCell ref="B157:B161"/>
    <mergeCell ref="B162:B166"/>
    <mergeCell ref="B167:B171"/>
    <mergeCell ref="B112:B116"/>
    <mergeCell ref="B117:B121"/>
    <mergeCell ref="B122:B126"/>
    <mergeCell ref="B57:B61"/>
    <mergeCell ref="B62:B66"/>
    <mergeCell ref="B67:B71"/>
    <mergeCell ref="B72:B76"/>
    <mergeCell ref="B77:B81"/>
    <mergeCell ref="B82:B86"/>
    <mergeCell ref="D217:D221"/>
    <mergeCell ref="B7:B11"/>
    <mergeCell ref="B12:B16"/>
    <mergeCell ref="B17:B21"/>
    <mergeCell ref="B22:B26"/>
    <mergeCell ref="B27:B31"/>
    <mergeCell ref="B32:B36"/>
    <mergeCell ref="B37:B41"/>
    <mergeCell ref="D187:D191"/>
    <mergeCell ref="D192:D196"/>
    <mergeCell ref="D197:D201"/>
    <mergeCell ref="D202:D206"/>
    <mergeCell ref="D207:D211"/>
    <mergeCell ref="D212:D216"/>
    <mergeCell ref="D157:D161"/>
    <mergeCell ref="D162:D166"/>
    <mergeCell ref="D167:D171"/>
    <mergeCell ref="D172:D176"/>
    <mergeCell ref="D177:D181"/>
    <mergeCell ref="D182:D186"/>
    <mergeCell ref="D132:D136"/>
    <mergeCell ref="D137:D141"/>
    <mergeCell ref="D142:D146"/>
    <mergeCell ref="D147:D151"/>
    <mergeCell ref="D152:D156"/>
    <mergeCell ref="D102:D106"/>
    <mergeCell ref="D107:D111"/>
    <mergeCell ref="D112:D116"/>
    <mergeCell ref="D117:D121"/>
    <mergeCell ref="D122:D126"/>
    <mergeCell ref="D127:D131"/>
    <mergeCell ref="D77:D81"/>
    <mergeCell ref="D82:D86"/>
    <mergeCell ref="D87:D91"/>
    <mergeCell ref="D92:D96"/>
    <mergeCell ref="D97:D101"/>
    <mergeCell ref="D47:D51"/>
    <mergeCell ref="D52:D56"/>
    <mergeCell ref="D57:D61"/>
    <mergeCell ref="D62:D66"/>
    <mergeCell ref="D67:D71"/>
    <mergeCell ref="D72:D76"/>
    <mergeCell ref="D17:D21"/>
    <mergeCell ref="D22:D26"/>
    <mergeCell ref="D27:D31"/>
    <mergeCell ref="D32:D36"/>
    <mergeCell ref="D37:D41"/>
    <mergeCell ref="D42:D46"/>
    <mergeCell ref="D2:D6"/>
    <mergeCell ref="D7:D11"/>
    <mergeCell ref="B2:B6"/>
    <mergeCell ref="D12:D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41F8-34EE-4A72-88C7-BE984EBEF466}">
  <dimension ref="A1:BB52"/>
  <sheetViews>
    <sheetView zoomScale="60" zoomScaleNormal="60" workbookViewId="0">
      <pane xSplit="1" topLeftCell="B1" activePane="topRight" state="frozen"/>
      <selection pane="topRight" sqref="A1:A1048576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33203125" style="1" customWidth="1"/>
    <col min="12" max="12" width="19.5546875" style="1" customWidth="1"/>
    <col min="13" max="13" width="9.21875" style="1" customWidth="1"/>
    <col min="14" max="14" width="20.109375" style="1" customWidth="1"/>
    <col min="15" max="15" width="11.88671875" style="1" customWidth="1"/>
    <col min="16" max="16" width="22.5546875" style="1" customWidth="1"/>
    <col min="17" max="17" width="13.5546875" style="1" customWidth="1"/>
    <col min="18" max="18" width="23.44140625" style="1" customWidth="1"/>
    <col min="19" max="19" width="22.44140625" style="1" customWidth="1"/>
    <col min="20" max="20" width="25" style="1" customWidth="1"/>
    <col min="21" max="21" width="21.77734375" style="1" customWidth="1"/>
    <col min="22" max="22" width="13.88671875" style="1" customWidth="1"/>
    <col min="23" max="23" width="24" style="1" customWidth="1"/>
    <col min="24" max="24" width="12.88671875" style="1" customWidth="1"/>
    <col min="25" max="25" width="8.88671875" style="1"/>
    <col min="26" max="26" width="17.6640625" style="1" customWidth="1"/>
    <col min="27" max="27" width="19.77734375" style="1" customWidth="1"/>
    <col min="28" max="28" width="9.33203125" style="1" customWidth="1"/>
    <col min="29" max="29" width="19.33203125" style="1" customWidth="1"/>
    <col min="30" max="30" width="11.21875" style="1" customWidth="1"/>
    <col min="31" max="31" width="22.33203125" style="1" customWidth="1"/>
    <col min="32" max="32" width="13.109375" style="1" customWidth="1"/>
    <col min="33" max="33" width="23.44140625" style="1" customWidth="1"/>
    <col min="34" max="34" width="23.109375" style="1" customWidth="1"/>
    <col min="35" max="35" width="24.6640625" style="1" customWidth="1"/>
    <col min="36" max="36" width="21.109375" style="1" customWidth="1"/>
    <col min="37" max="37" width="12.44140625" style="1" customWidth="1"/>
    <col min="38" max="38" width="23.44140625" style="1" customWidth="1"/>
    <col min="39" max="39" width="12.6640625" style="1" customWidth="1"/>
    <col min="40" max="40" width="8.88671875" style="1"/>
    <col min="41" max="41" width="17.109375" style="1" customWidth="1"/>
    <col min="42" max="42" width="18.77734375" style="1" customWidth="1"/>
    <col min="43" max="43" width="9.88671875" style="1" customWidth="1"/>
    <col min="44" max="44" width="19.44140625" style="1" customWidth="1"/>
    <col min="45" max="45" width="11.21875" style="1" customWidth="1"/>
    <col min="46" max="46" width="21.33203125" style="1" customWidth="1"/>
    <col min="47" max="47" width="13.5546875" style="1" customWidth="1"/>
    <col min="48" max="48" width="23.44140625" style="1" customWidth="1"/>
    <col min="49" max="49" width="23.21875" style="1" customWidth="1"/>
    <col min="50" max="50" width="24.5546875" style="1" customWidth="1"/>
    <col min="51" max="51" width="21.5546875" style="1" customWidth="1"/>
    <col min="52" max="52" width="13.6640625" style="1" customWidth="1"/>
    <col min="53" max="53" width="23.332031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10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0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14</v>
      </c>
      <c r="C3" s="1">
        <f>2 * Table13[[#This Row],[INT]]</f>
        <v>10</v>
      </c>
      <c r="D3" s="1">
        <v>8</v>
      </c>
      <c r="E3" s="1">
        <v>6</v>
      </c>
      <c r="F3" s="1">
        <v>7</v>
      </c>
      <c r="G3" s="1">
        <v>5</v>
      </c>
      <c r="H3" s="1">
        <v>6</v>
      </c>
      <c r="I3" s="1">
        <v>100</v>
      </c>
      <c r="K3" s="14">
        <f>CEILING('Blue Slime'!$B$5/ IF('Blue Slime'!$D$5&lt; 10.8, Table13[[#This Row],[STR]], Table13[[#This Row],[STR]] / ('Blue Slime'!$D$5 / 10.8)), 1)</f>
        <v>3</v>
      </c>
      <c r="L3" s="14">
        <f>CEILING('Green Slime'!$B$5/ IF('Green Slime'!$D$5&lt; 10.8, Table13[[#This Row],[STR]], Table13[[#This Row],[STR]] / ('Green Slime'!$D$5 / 10.8)), 1)</f>
        <v>5</v>
      </c>
      <c r="M3" s="14">
        <f>CEILING(Wolf!$B$6/ IF(Wolf!$D$6&lt; 10.8, Table13[[#This Row],[STR]], Table13[[#This Row],[STR]] / (Wolf!$D$6 / 10.8)), 1)</f>
        <v>11</v>
      </c>
      <c r="N3" s="14">
        <f>CEILING('Horned Wolf'!$B$5/ IF('Horned Wolf'!$D$5&lt; 10.8, Table13[[#This Row],[STR]], Table13[[#This Row],[STR]] / ('Horned Wolf'!$D$5 / 10.8)), 1)</f>
        <v>28</v>
      </c>
      <c r="O3" s="8">
        <f>CEILING(Spider!$B$7/ IF(Spider!$D$7&lt; 10.8, Table13[[#This Row],[STR]], Table13[[#This Row],[STR]] / (Spider!$D$7 / 10.8)), 1)</f>
        <v>27</v>
      </c>
      <c r="P3" s="8">
        <f>CEILING('Evolved Spider'!$B$8/ IF('Evolved Spider'!$D$8&lt; 10.8, Table13[[#This Row],[STR]], Table13[[#This Row],[STR]] / ('Evolved Spider'!$D$8 / 10.8)), 1)</f>
        <v>53</v>
      </c>
      <c r="Q3" s="8">
        <f>CEILING(Arachne!$B$4/ IF(Arachne!$D$4&lt; 10.8, Table13[[#This Row],[STR]], Table13[[#This Row],[STR]] / (Arachne!$D$4 / 10.8)), 1)</f>
        <v>70</v>
      </c>
      <c r="R3" s="12">
        <f>CEILING('Earth Elemental'!$B$6/ IF('Earth Elemental'!$D$6&lt; 10.8, Table13[[#This Row],[STR]], Table13[[#This Row],[STR]] / ('Earth Elemental'!$D$6 / 10.8)), 1)</f>
        <v>72</v>
      </c>
      <c r="S3" s="12">
        <f>CEILING('Wind Elemental'!$B$6/ IF('Wind Elemental'!$D$6&lt; 10.8, Table13[[#This Row],[STR]], Table13[[#This Row],[STR]] / ('Wind Elemental'!$D$6 / 10.8)), 1)</f>
        <v>64</v>
      </c>
      <c r="T3" s="12">
        <f>CEILING('Water Elemental'!$B$6/ IF('Water Elemental'!$D$6&lt; 10.8, Table13[[#This Row],[STR]], Table13[[#This Row],[STR]] / ('Water Elemental'!$D$6 / 10.8)), 1)</f>
        <v>97</v>
      </c>
      <c r="U3" s="12">
        <f>CEILING('Fire Elemental'!$B$4/ IF('Fire Elemental'!$D$4&lt; 10.8, Table13[[#This Row],[STR]], Table13[[#This Row],[STR]] / ('Fire Elemental'!$D$4 / 10.8)), 1)</f>
        <v>124</v>
      </c>
      <c r="V3" s="12">
        <f>CEILING(Wyvern!$B$4/ IF(Wyvern!$D$4&lt; 10.8, Table13[[#This Row],[STR]], Table13[[#This Row],[STR]] / (Wyvern!$D$4 / 10.8)), 1)</f>
        <v>168</v>
      </c>
      <c r="W3" s="12">
        <f>CEILING('Evolved Wyvern'!$B$4/ IF('Evolved Wyvern'!$D$4&lt; 10.8, Table13[[#This Row],[STR]], Table13[[#This Row],[STR]] / ('Evolved Wyvern'!$D$4 / 10.8)), 1)</f>
        <v>232</v>
      </c>
      <c r="X3" s="12">
        <f>CEILING(Dragon!$B$4/ IF(Dragon!$D$4&lt; 10.8, Table13[[#This Row],[STR]], Table13[[#This Row],[STR]] / (Dragon!$D$4 / 10.8)), 1)</f>
        <v>382</v>
      </c>
      <c r="Z3" s="14">
        <f>CEILING('Blue Slime'!$M$5/ IF('Blue Slime'!$O$5&lt; 10.8, Table13[[#This Row],[STR]], Table13[[#This Row],[STR]] / ('Blue Slime'!$O$5 / 10.8)), 1)</f>
        <v>5</v>
      </c>
      <c r="AA3" s="14">
        <f>CEILING('Green Slime'!$M$5/ IF('Green Slime'!$O$5&lt; 10.8, Table13[[#This Row],[STR]], Table13[[#This Row],[STR]] / ('Green Slime'!$O$5 / 10.8)), 1)</f>
        <v>8</v>
      </c>
      <c r="AB3" s="14">
        <f>CEILING(Wolf!$M$6/ IF(Wolf!$O$6&lt; 10.8, Table13[[#This Row],[STR]], Table13[[#This Row],[STR]] / (Wolf!$O$6 / 10.8)), 1)</f>
        <v>22</v>
      </c>
      <c r="AC3" s="14">
        <f>CEILING('Horned Wolf'!$M$5/ IF('Horned Wolf'!$O$5&lt; 10.8, Table13[[#This Row],[STR]], Table13[[#This Row],[STR]] / ('Horned Wolf'!$O$5 / 10.8)), 1)</f>
        <v>61</v>
      </c>
      <c r="AD3" s="8">
        <f>CEILING(Spider!$M$7/ IF(Spider!$O$7&lt; 10.8, Table13[[#This Row],[STR]], Table13[[#This Row],[STR]] / (Spider!$O$7 / 10.8)), 1)</f>
        <v>55</v>
      </c>
      <c r="AE3" s="8">
        <f>CEILING('Evolved Spider'!$M$8/ IF('Evolved Spider'!$O$8&lt; 10.8, Table13[[#This Row],[STR]], Table13[[#This Row],[STR]] / ('Evolved Spider'!$O$8 / 10.8)), 1)</f>
        <v>103</v>
      </c>
      <c r="AF3" s="8">
        <f>CEILING(Arachne!$M$4/ IF(Arachne!$O$4&lt; 10.8, Table13[[#This Row],[STR]], Table13[[#This Row],[STR]] / (Arachne!$O$4 / 10.8)), 1)</f>
        <v>139</v>
      </c>
      <c r="AG3" s="12">
        <f>CEILING('Earth Elemental'!$M$6/ IF('Earth Elemental'!$O$6&lt; 10.8, Table13[[#This Row],[STR]], Table13[[#This Row],[STR]] / ('Earth Elemental'!$O$6 / 10.8)), 1)</f>
        <v>126</v>
      </c>
      <c r="AH3" s="12">
        <f>CEILING('Wind Elemental'!$M$6/ IF('Wind Elemental'!$O$6&lt; 10.8, Table13[[#This Row],[STR]], Table13[[#This Row],[STR]] / ('Wind Elemental'!$O$6 / 10.8)), 1)</f>
        <v>104</v>
      </c>
      <c r="AI3" s="12">
        <f>CEILING('Water Elemental'!$M$6/ IF('Water Elemental'!$O$6&lt; 10.8, Table13[[#This Row],[STR]], Table13[[#This Row],[STR]] / ('Water Elemental'!$O$6 / 10.8)), 1)</f>
        <v>150</v>
      </c>
      <c r="AJ3" s="12">
        <f>CEILING('Fire Elemental'!$M$4/ IF('Fire Elemental'!$O$4&lt; 10.8, Table13[[#This Row],[STR]], Table13[[#This Row],[STR]] / ('Fire Elemental'!$O$4 / 10.8)), 1)</f>
        <v>218</v>
      </c>
      <c r="AK3" s="8">
        <f>CEILING(Wyvern!$M$4/ IF(Wyvern!$O$4&lt; 10.8, Table13[[#This Row],[STR]], Table13[[#This Row],[STR]] / (Wyvern!$O$4 / 10.8)), 1)</f>
        <v>277</v>
      </c>
      <c r="AL3" s="8">
        <f>CEILING('Evolved Wyvern'!$M$4/ IF('Evolved Wyvern'!$O$4&lt; 10.8, Table13[[#This Row],[STR]], Table13[[#This Row],[STR]] / ('Evolved Wyvern'!$O$4 / 10.8)), 1)</f>
        <v>368</v>
      </c>
      <c r="AM3" s="8">
        <f>CEILING(Dragon!$M$4/ IF(Dragon!$O$4&lt; 10.8, Table13[[#This Row],[STR]], Table13[[#This Row],[STR]] / (Dragon!$O$4 / 10.8)), 1)</f>
        <v>613</v>
      </c>
      <c r="AO3" s="14">
        <f>CEILING('Blue Slime'!$Z$5/ IF('Blue Slime'!$X$5&lt; 10.8, Table13[[#This Row],[STR]], Table13[[#This Row],[STR]] / ('Blue Slime'!$X$5 / 10.8)), 1)</f>
        <v>8</v>
      </c>
      <c r="AP3" s="14">
        <f>CEILING('Green Slime'!$Z$5/ IF('Green Slime'!$X$5&lt; 10.8, Table13[[#This Row],[STR]], Table13[[#This Row],[STR]] / ('Green Slime'!$X$5 / 10.8)), 1)</f>
        <v>13</v>
      </c>
      <c r="AQ3" s="14">
        <f>CEILING(Wolf!$Z$6/ IF(Wolf!$X$6&lt; 10.8, Table13[[#This Row],[STR]], Table13[[#This Row],[STR]] / (Wolf!$X$6 / 10.8)), 1)</f>
        <v>38</v>
      </c>
      <c r="AR3" s="14">
        <f>CEILING('Horned Wolf'!$Z$5/ IF('Horned Wolf'!$X$5&lt; 10.8, Table13[[#This Row],[STR]], Table13[[#This Row],[STR]] / ('Horned Wolf'!$X$5 / 10.8)), 1)</f>
        <v>106</v>
      </c>
      <c r="AS3" s="8">
        <f>CEILING(Spider!$Z$7/ IF(Spider!$X$7&lt; 10.8, Table13[[#This Row],[STR]], Table13[[#This Row],[STR]] / (Spider!$X$7 / 10.8)), 1)</f>
        <v>93</v>
      </c>
      <c r="AT3" s="8">
        <f>CEILING('Evolved Spider'!$Z$8/ IF('Evolved Spider'!$X$8&lt; 10.8, Table13[[#This Row],[STR]], Table13[[#This Row],[STR]] / ('Evolved Spider'!$X$8 / 10.8)), 1)</f>
        <v>168</v>
      </c>
      <c r="AU3" s="8">
        <f>CEILING(Arachne!$Z$4/ IF(Arachne!$X$4&lt; 10.8, Table13[[#This Row],[STR]], Table13[[#This Row],[STR]] / (Arachne!$X$4 / 10.8)), 1)</f>
        <v>229</v>
      </c>
      <c r="AV3" s="8">
        <f>CEILING('Earth Elemental'!$Z$6/ IF('Earth Elemental'!$X$6&lt; 10.8, Table13[[#This Row],[STR]], Table13[[#This Row],[STR]] / ('Earth Elemental'!$X$6 / 10.8)), 1)</f>
        <v>192</v>
      </c>
      <c r="AW3" s="12">
        <f>CEILING('Wind Elemental'!$Z$6/ IF('Wind Elemental'!$X$6&lt; 10.8, Table13[[#This Row],[STR]], Table13[[#This Row],[STR]] / ('Wind Elemental'!$X$6 / 10.8)), 1)</f>
        <v>148</v>
      </c>
      <c r="AX3" s="12">
        <f>CEILING('Water Elemental'!$Z$6/ IF('Water Elemental'!$X$6&lt; 10.8, Table13[[#This Row],[STR]], Table13[[#This Row],[STR]] / ('Water Elemental'!$X$6 / 10.8)), 1)</f>
        <v>204</v>
      </c>
      <c r="AY3" s="8">
        <f>CEILING('Fire Elemental'!$Z$4/ IF('Fire Elemental'!$X$4&lt; 10.8, Table13[[#This Row],[STR]], Table13[[#This Row],[STR]] / ('Fire Elemental'!$X$4 / 10.8)), 1)</f>
        <v>333</v>
      </c>
      <c r="AZ3" s="8">
        <f>CEILING(Wyvern!$Z$4/ IF(Wyvern!$X$4&lt; 10.8, Table13[[#This Row],[STR]], Table13[[#This Row],[STR]] / (Wyvern!$X$4 / 10.8)), 1)</f>
        <v>403</v>
      </c>
      <c r="BA3" s="8">
        <f>CEILING('Evolved Wyvern'!$Z$4/ IF('Evolved Wyvern'!$X$4&lt; 10.8, Table13[[#This Row],[STR]], Table13[[#This Row],[STR]] / ('Evolved Wyvern'!$X$4 / 10.8)), 1)</f>
        <v>517</v>
      </c>
      <c r="BB3" s="8">
        <f>CEILING(Dragon!$Z$4/ IF(Dragon!$X$4&lt; 10.8, Table13[[#This Row],[STR]], Table13[[#This Row],[STR]] / (Dragon!$X$4 / 10.8)), 1)</f>
        <v>871</v>
      </c>
    </row>
    <row r="4" spans="1:54" x14ac:dyDescent="0.3">
      <c r="A4" s="1">
        <v>2</v>
      </c>
      <c r="B4" s="1">
        <f>$B$3 + ((Table13[[#This Row],[Level]] / 10) + $B$3 / 8) * Table13[[#This Row],[Level]]</f>
        <v>17.899999999999999</v>
      </c>
      <c r="C4" s="1">
        <f>2 * Table13[[#This Row],[INT]]</f>
        <v>15</v>
      </c>
      <c r="D4" s="1">
        <f>$D$3 + ($D$3 / 4) * Table13[[#This Row],[Level]]</f>
        <v>12</v>
      </c>
      <c r="E4" s="1">
        <f>$E$3 + ($E$3 / 4) * Table13[[#This Row],[Level]]</f>
        <v>9</v>
      </c>
      <c r="F4" s="1">
        <f>$F$3 + ($F$3 / 4) * Table13[[#This Row],[Level]]</f>
        <v>10.5</v>
      </c>
      <c r="G4" s="1">
        <f>$G$3 + ($G$3 / 4) * Table13[[#This Row],[Level]]</f>
        <v>7.5</v>
      </c>
      <c r="H4" s="1">
        <f>$H$3 + ($H$3 / 4) * Table13[[#This Row],[Level]]</f>
        <v>9</v>
      </c>
      <c r="I4" s="1">
        <f xml:space="preserve"> (4 * (Table13[[#This Row],[Level]] ^ 3))/7 + $I$3</f>
        <v>104.57142857142857</v>
      </c>
      <c r="K4" s="14">
        <f>CEILING('Blue Slime'!$B$5/ IF('Blue Slime'!$D$5&lt; 10.8, Table13[[#This Row],[STR]], Table13[[#This Row],[STR]] / ('Blue Slime'!$D$5 / 10.8)), 1)</f>
        <v>2</v>
      </c>
      <c r="L4" s="14">
        <f>CEILING('Green Slime'!$B$5/ IF('Green Slime'!$D$5&lt; 10.8, Table13[[#This Row],[STR]], Table13[[#This Row],[STR]] / ('Green Slime'!$D$5 / 10.8)), 1)</f>
        <v>3</v>
      </c>
      <c r="M4" s="14">
        <f>CEILING(Wolf!$B$6/ IF(Wolf!$D$6&lt; 10.8, Table13[[#This Row],[STR]], Table13[[#This Row],[STR]] / (Wolf!$D$6 / 10.8)), 1)</f>
        <v>7</v>
      </c>
      <c r="N4" s="14">
        <f>CEILING('Horned Wolf'!$B$5/ IF('Horned Wolf'!$D$5&lt; 10.8, Table13[[#This Row],[STR]], Table13[[#This Row],[STR]] / ('Horned Wolf'!$D$5 / 10.8)), 1)</f>
        <v>19</v>
      </c>
      <c r="O4" s="8">
        <f>CEILING(Spider!$B$7/ IF(Spider!$D$7&lt; 10.8, Table13[[#This Row],[STR]], Table13[[#This Row],[STR]] / (Spider!$D$7 / 10.8)), 1)</f>
        <v>18</v>
      </c>
      <c r="P4" s="8">
        <f>CEILING('Evolved Spider'!$B$8/ IF('Evolved Spider'!$D$8&lt; 10.8, Table13[[#This Row],[STR]], Table13[[#This Row],[STR]] / ('Evolved Spider'!$D$8 / 10.8)), 1)</f>
        <v>36</v>
      </c>
      <c r="Q4" s="8">
        <f>CEILING(Arachne!$B$4/ IF(Arachne!$D$4&lt; 10.8, Table13[[#This Row],[STR]], Table13[[#This Row],[STR]] / (Arachne!$D$4 / 10.8)), 1)</f>
        <v>47</v>
      </c>
      <c r="R4" s="12">
        <f>CEILING('Earth Elemental'!$B$6/ IF('Earth Elemental'!$D$6&lt; 10.8, Table13[[#This Row],[STR]], Table13[[#This Row],[STR]] / ('Earth Elemental'!$D$6 / 10.8)), 1)</f>
        <v>48</v>
      </c>
      <c r="S4" s="12">
        <f>CEILING('Wind Elemental'!$B$6/ IF('Wind Elemental'!$D$6&lt; 10.8, Table13[[#This Row],[STR]], Table13[[#This Row],[STR]] / ('Wind Elemental'!$D$6 / 10.8)), 1)</f>
        <v>43</v>
      </c>
      <c r="T4" s="12">
        <f>CEILING('Water Elemental'!$B$6/ IF('Water Elemental'!$D$6&lt; 10.8, Table13[[#This Row],[STR]], Table13[[#This Row],[STR]] / ('Water Elemental'!$D$6 / 10.8)), 1)</f>
        <v>65</v>
      </c>
      <c r="U4" s="12">
        <f>CEILING('Fire Elemental'!$B$4/ IF('Fire Elemental'!$D$4&lt; 10.8, Table13[[#This Row],[STR]], Table13[[#This Row],[STR]] / ('Fire Elemental'!$D$4 / 10.8)), 1)</f>
        <v>83</v>
      </c>
      <c r="V4" s="12">
        <f>CEILING(Wyvern!$B$4/ IF(Wyvern!$D$4&lt; 10.8, Table13[[#This Row],[STR]], Table13[[#This Row],[STR]] / (Wyvern!$D$4 / 10.8)), 1)</f>
        <v>112</v>
      </c>
      <c r="W4" s="12">
        <f>CEILING('Evolved Wyvern'!$B$4/ IF('Evolved Wyvern'!$D$4&lt; 10.8, Table13[[#This Row],[STR]], Table13[[#This Row],[STR]] / ('Evolved Wyvern'!$D$4 / 10.8)), 1)</f>
        <v>155</v>
      </c>
      <c r="X4" s="12">
        <f>CEILING(Dragon!$B$4/ IF(Dragon!$D$4&lt; 10.8, Table13[[#This Row],[STR]], Table13[[#This Row],[STR]] / (Dragon!$D$4 / 10.8)), 1)</f>
        <v>255</v>
      </c>
      <c r="Z4" s="14">
        <f>CEILING('Blue Slime'!$M$5/ IF('Blue Slime'!$O$5&lt; 10.8, Table13[[#This Row],[STR]], Table13[[#This Row],[STR]] / ('Blue Slime'!$O$5 / 10.8)), 1)</f>
        <v>3</v>
      </c>
      <c r="AA4" s="14">
        <f>CEILING('Green Slime'!$M$5/ IF('Green Slime'!$O$5&lt; 10.8, Table13[[#This Row],[STR]], Table13[[#This Row],[STR]] / ('Green Slime'!$O$5 / 10.8)), 1)</f>
        <v>5</v>
      </c>
      <c r="AB4" s="14">
        <f>CEILING(Wolf!$M$6/ IF(Wolf!$O$6&lt; 10.8, Table13[[#This Row],[STR]], Table13[[#This Row],[STR]] / (Wolf!$O$6 / 10.8)), 1)</f>
        <v>15</v>
      </c>
      <c r="AC4" s="14">
        <f>CEILING('Horned Wolf'!$M$5/ IF('Horned Wolf'!$O$5&lt; 10.8, Table13[[#This Row],[STR]], Table13[[#This Row],[STR]] / ('Horned Wolf'!$O$5 / 10.8)), 1)</f>
        <v>41</v>
      </c>
      <c r="AD4" s="8">
        <f>CEILING(Spider!$M$7/ IF(Spider!$O$7&lt; 10.8, Table13[[#This Row],[STR]], Table13[[#This Row],[STR]] / (Spider!$O$7 / 10.8)), 1)</f>
        <v>37</v>
      </c>
      <c r="AE4" s="8">
        <f>CEILING('Evolved Spider'!$M$8/ IF('Evolved Spider'!$O$8&lt; 10.8, Table13[[#This Row],[STR]], Table13[[#This Row],[STR]] / ('Evolved Spider'!$O$8 / 10.8)), 1)</f>
        <v>69</v>
      </c>
      <c r="AF4" s="8">
        <f>CEILING(Arachne!$M$4/ IF(Arachne!$O$4&lt; 10.8, Table13[[#This Row],[STR]], Table13[[#This Row],[STR]] / (Arachne!$O$4 / 10.8)), 1)</f>
        <v>93</v>
      </c>
      <c r="AG4" s="12">
        <f>CEILING('Earth Elemental'!$M$6/ IF('Earth Elemental'!$O$6&lt; 10.8, Table13[[#This Row],[STR]], Table13[[#This Row],[STR]] / ('Earth Elemental'!$O$6 / 10.8)), 1)</f>
        <v>84</v>
      </c>
      <c r="AH4" s="12">
        <f>CEILING('Wind Elemental'!$M$6/ IF('Wind Elemental'!$O$6&lt; 10.8, Table13[[#This Row],[STR]], Table13[[#This Row],[STR]] / ('Wind Elemental'!$O$6 / 10.8)), 1)</f>
        <v>69</v>
      </c>
      <c r="AI4" s="12">
        <f>CEILING('Water Elemental'!$M$6/ IF('Water Elemental'!$O$6&lt; 10.8, Table13[[#This Row],[STR]], Table13[[#This Row],[STR]] / ('Water Elemental'!$O$6 / 10.8)), 1)</f>
        <v>100</v>
      </c>
      <c r="AJ4" s="12">
        <f>CEILING('Fire Elemental'!$M$4/ IF('Fire Elemental'!$O$4&lt; 10.8, Table13[[#This Row],[STR]], Table13[[#This Row],[STR]] / ('Fire Elemental'!$O$4 / 10.8)), 1)</f>
        <v>146</v>
      </c>
      <c r="AK4" s="12">
        <f>CEILING(Wyvern!$M$4/ IF(Wyvern!$O$4&lt; 10.8, Table13[[#This Row],[STR]], Table13[[#This Row],[STR]] / (Wyvern!$O$4 / 10.8)), 1)</f>
        <v>185</v>
      </c>
      <c r="AL4" s="12">
        <f>CEILING('Evolved Wyvern'!$M$4/ IF('Evolved Wyvern'!$O$4&lt; 10.8, Table13[[#This Row],[STR]], Table13[[#This Row],[STR]] / ('Evolved Wyvern'!$O$4 / 10.8)), 1)</f>
        <v>245</v>
      </c>
      <c r="AM4" s="12">
        <f>CEILING(Dragon!$M$4/ IF(Dragon!$O$4&lt; 10.8, Table13[[#This Row],[STR]], Table13[[#This Row],[STR]] / (Dragon!$O$4 / 10.8)), 1)</f>
        <v>409</v>
      </c>
      <c r="AO4" s="14">
        <f>CEILING('Blue Slime'!$Z$5/ IF('Blue Slime'!$X$5&lt; 10.8, Table13[[#This Row],[STR]], Table13[[#This Row],[STR]] / ('Blue Slime'!$X$5 / 10.8)), 1)</f>
        <v>5</v>
      </c>
      <c r="AP4" s="14">
        <f>CEILING('Green Slime'!$Z$5/ IF('Green Slime'!$X$5&lt; 10.8, Table13[[#This Row],[STR]], Table13[[#This Row],[STR]] / ('Green Slime'!$X$5 / 10.8)), 1)</f>
        <v>9</v>
      </c>
      <c r="AQ4" s="14">
        <f>CEILING(Wolf!$Z$6/ IF(Wolf!$X$6&lt; 10.8, Table13[[#This Row],[STR]], Table13[[#This Row],[STR]] / (Wolf!$X$6 / 10.8)), 1)</f>
        <v>25</v>
      </c>
      <c r="AR4" s="14">
        <f>CEILING('Horned Wolf'!$Z$5/ IF('Horned Wolf'!$X$5&lt; 10.8, Table13[[#This Row],[STR]], Table13[[#This Row],[STR]] / ('Horned Wolf'!$X$5 / 10.8)), 1)</f>
        <v>71</v>
      </c>
      <c r="AS4" s="8">
        <f>CEILING(Spider!$Z$7/ IF(Spider!$X$7&lt; 10.8, Table13[[#This Row],[STR]], Table13[[#This Row],[STR]] / (Spider!$X$7 / 10.8)), 1)</f>
        <v>62</v>
      </c>
      <c r="AT4" s="8">
        <f>CEILING('Evolved Spider'!$Z$8/ IF('Evolved Spider'!$X$8&lt; 10.8, Table13[[#This Row],[STR]], Table13[[#This Row],[STR]] / ('Evolved Spider'!$X$8 / 10.8)), 1)</f>
        <v>112</v>
      </c>
      <c r="AU4" s="8">
        <f>CEILING(Arachne!$Z$4/ IF(Arachne!$X$4&lt; 10.8, Table13[[#This Row],[STR]], Table13[[#This Row],[STR]] / (Arachne!$X$4 / 10.8)), 1)</f>
        <v>153</v>
      </c>
      <c r="AV4" s="12">
        <f>CEILING('Earth Elemental'!$Z$6/ IF('Earth Elemental'!$X$6&lt; 10.8, Table13[[#This Row],[STR]], Table13[[#This Row],[STR]] / ('Earth Elemental'!$X$6 / 10.8)), 1)</f>
        <v>128</v>
      </c>
      <c r="AW4" s="12">
        <f>CEILING('Wind Elemental'!$Z$6/ IF('Wind Elemental'!$X$6&lt; 10.8, Table13[[#This Row],[STR]], Table13[[#This Row],[STR]] / ('Wind Elemental'!$X$6 / 10.8)), 1)</f>
        <v>99</v>
      </c>
      <c r="AX4" s="12">
        <f>CEILING('Water Elemental'!$Z$6/ IF('Water Elemental'!$X$6&lt; 10.8, Table13[[#This Row],[STR]], Table13[[#This Row],[STR]] / ('Water Elemental'!$X$6 / 10.8)), 1)</f>
        <v>136</v>
      </c>
      <c r="AY4" s="12">
        <f>CEILING('Fire Elemental'!$Z$4/ IF('Fire Elemental'!$X$4&lt; 10.8, Table13[[#This Row],[STR]], Table13[[#This Row],[STR]] / ('Fire Elemental'!$X$4 / 10.8)), 1)</f>
        <v>222</v>
      </c>
      <c r="AZ4" s="12">
        <f>CEILING(Wyvern!$Z$4/ IF(Wyvern!$X$4&lt; 10.8, Table13[[#This Row],[STR]], Table13[[#This Row],[STR]] / (Wyvern!$X$4 / 10.8)), 1)</f>
        <v>269</v>
      </c>
      <c r="BA4" s="12">
        <f>CEILING('Evolved Wyvern'!$Z$4/ IF('Evolved Wyvern'!$X$4&lt; 10.8, Table13[[#This Row],[STR]], Table13[[#This Row],[STR]] / ('Evolved Wyvern'!$X$4 / 10.8)), 1)</f>
        <v>345</v>
      </c>
      <c r="BB4" s="12">
        <f>CEILING(Dragon!$Z$4/ IF(Dragon!$X$4&lt; 10.8, Table13[[#This Row],[STR]], Table13[[#This Row],[STR]] / (Dragon!$X$4 / 10.8)), 1)</f>
        <v>581</v>
      </c>
    </row>
    <row r="5" spans="1:54" x14ac:dyDescent="0.3">
      <c r="A5" s="1">
        <v>3</v>
      </c>
      <c r="B5" s="1">
        <f>$B$3 + ((Table13[[#This Row],[Level]] / 10) + $B$3 / 8) * Table13[[#This Row],[Level]]</f>
        <v>20.149999999999999</v>
      </c>
      <c r="C5" s="1">
        <f>2 * Table13[[#This Row],[INT]]</f>
        <v>17.5</v>
      </c>
      <c r="D5" s="1">
        <f>$D$3 + ($D$3 / 4) * Table13[[#This Row],[Level]]</f>
        <v>14</v>
      </c>
      <c r="E5" s="1">
        <f>$E$3 + ($E$3 / 4) * Table13[[#This Row],[Level]]</f>
        <v>10.5</v>
      </c>
      <c r="F5" s="1">
        <f>$F$3 + ($F$3 / 4) * Table13[[#This Row],[Level]]</f>
        <v>12.25</v>
      </c>
      <c r="G5" s="1">
        <f>$G$3 + ($G$3 / 4) * Table13[[#This Row],[Level]]</f>
        <v>8.75</v>
      </c>
      <c r="H5" s="1">
        <f>$H$3 + ($H$3 / 4) * Table13[[#This Row],[Level]]</f>
        <v>10.5</v>
      </c>
      <c r="I5" s="1">
        <f xml:space="preserve"> (4 * (Table13[[#This Row],[Level]] ^ 3))/7 + $I$3</f>
        <v>115.42857142857143</v>
      </c>
      <c r="K5" s="14">
        <f>CEILING('Blue Slime'!$B$5/ IF('Blue Slime'!$D$5&lt; 10.8, Table13[[#This Row],[STR]], Table13[[#This Row],[STR]] / ('Blue Slime'!$D$5 / 10.8)), 1)</f>
        <v>2</v>
      </c>
      <c r="L5" s="14">
        <f>CEILING('Green Slime'!$B$5/ IF('Green Slime'!$D$5&lt; 10.8, Table13[[#This Row],[STR]], Table13[[#This Row],[STR]] / ('Green Slime'!$D$5 / 10.8)), 1)</f>
        <v>3</v>
      </c>
      <c r="M5" s="14">
        <f>CEILING(Wolf!$B$6/ IF(Wolf!$D$6&lt; 10.8, Table13[[#This Row],[STR]], Table13[[#This Row],[STR]] / (Wolf!$D$6 / 10.8)), 1)</f>
        <v>6</v>
      </c>
      <c r="N5" s="14">
        <f>CEILING('Horned Wolf'!$B$5/ IF('Horned Wolf'!$D$5&lt; 10.8, Table13[[#This Row],[STR]], Table13[[#This Row],[STR]] / ('Horned Wolf'!$D$5 / 10.8)), 1)</f>
        <v>16</v>
      </c>
      <c r="O5" s="8">
        <f>CEILING(Spider!$B$7/ IF(Spider!$D$7&lt; 10.8, Table13[[#This Row],[STR]], Table13[[#This Row],[STR]] / (Spider!$D$7 / 10.8)), 1)</f>
        <v>16</v>
      </c>
      <c r="P5" s="8">
        <f>CEILING('Evolved Spider'!$B$8/ IF('Evolved Spider'!$D$8&lt; 10.8, Table13[[#This Row],[STR]], Table13[[#This Row],[STR]] / ('Evolved Spider'!$D$8 / 10.8)), 1)</f>
        <v>31</v>
      </c>
      <c r="Q5" s="8">
        <f>CEILING(Arachne!$B$4/ IF(Arachne!$D$4&lt; 10.8, Table13[[#This Row],[STR]], Table13[[#This Row],[STR]] / (Arachne!$D$4 / 10.8)), 1)</f>
        <v>40</v>
      </c>
      <c r="R5" s="12">
        <f>CEILING('Earth Elemental'!$B$6/ IF('Earth Elemental'!$D$6&lt; 10.8, Table13[[#This Row],[STR]], Table13[[#This Row],[STR]] / ('Earth Elemental'!$D$6 / 10.8)), 1)</f>
        <v>41</v>
      </c>
      <c r="S5" s="12">
        <f>CEILING('Wind Elemental'!$B$6/ IF('Wind Elemental'!$D$6&lt; 10.8, Table13[[#This Row],[STR]], Table13[[#This Row],[STR]] / ('Wind Elemental'!$D$6 / 10.8)), 1)</f>
        <v>37</v>
      </c>
      <c r="T5" s="12">
        <f>CEILING('Water Elemental'!$B$6/ IF('Water Elemental'!$D$6&lt; 10.8, Table13[[#This Row],[STR]], Table13[[#This Row],[STR]] / ('Water Elemental'!$D$6 / 10.8)), 1)</f>
        <v>56</v>
      </c>
      <c r="U5" s="12">
        <f>CEILING('Fire Elemental'!$B$4/ IF('Fire Elemental'!$D$4&lt; 10.8, Table13[[#This Row],[STR]], Table13[[#This Row],[STR]] / ('Fire Elemental'!$D$4 / 10.8)), 1)</f>
        <v>71</v>
      </c>
      <c r="V5" s="12">
        <f>CEILING(Wyvern!$B$4/ IF(Wyvern!$D$4&lt; 10.8, Table13[[#This Row],[STR]], Table13[[#This Row],[STR]] / (Wyvern!$D$4 / 10.8)), 1)</f>
        <v>96</v>
      </c>
      <c r="W5" s="12">
        <f>CEILING('Evolved Wyvern'!$B$4/ IF('Evolved Wyvern'!$D$4&lt; 10.8, Table13[[#This Row],[STR]], Table13[[#This Row],[STR]] / ('Evolved Wyvern'!$D$4 / 10.8)), 1)</f>
        <v>133</v>
      </c>
      <c r="X5" s="12">
        <f>CEILING(Dragon!$B$4/ IF(Dragon!$D$4&lt; 10.8, Table13[[#This Row],[STR]], Table13[[#This Row],[STR]] / (Dragon!$D$4 / 10.8)), 1)</f>
        <v>219</v>
      </c>
      <c r="Z5" s="14">
        <f>CEILING('Blue Slime'!$M$5/ IF('Blue Slime'!$O$5&lt; 10.8, Table13[[#This Row],[STR]], Table13[[#This Row],[STR]] / ('Blue Slime'!$O$5 / 10.8)), 1)</f>
        <v>3</v>
      </c>
      <c r="AA5" s="14">
        <f>CEILING('Green Slime'!$M$5/ IF('Green Slime'!$O$5&lt; 10.8, Table13[[#This Row],[STR]], Table13[[#This Row],[STR]] / ('Green Slime'!$O$5 / 10.8)), 1)</f>
        <v>5</v>
      </c>
      <c r="AB5" s="14">
        <f>CEILING(Wolf!$M$6/ IF(Wolf!$O$6&lt; 10.8, Table13[[#This Row],[STR]], Table13[[#This Row],[STR]] / (Wolf!$O$6 / 10.8)), 1)</f>
        <v>13</v>
      </c>
      <c r="AC5" s="14">
        <f>CEILING('Horned Wolf'!$M$5/ IF('Horned Wolf'!$O$5&lt; 10.8, Table13[[#This Row],[STR]], Table13[[#This Row],[STR]] / ('Horned Wolf'!$O$5 / 10.8)), 1)</f>
        <v>35</v>
      </c>
      <c r="AD5" s="8">
        <f>CEILING(Spider!$M$7/ IF(Spider!$O$7&lt; 10.8, Table13[[#This Row],[STR]], Table13[[#This Row],[STR]] / (Spider!$O$7 / 10.8)), 1)</f>
        <v>32</v>
      </c>
      <c r="AE5" s="8">
        <f>CEILING('Evolved Spider'!$M$8/ IF('Evolved Spider'!$O$8&lt; 10.8, Table13[[#This Row],[STR]], Table13[[#This Row],[STR]] / ('Evolved Spider'!$O$8 / 10.8)), 1)</f>
        <v>59</v>
      </c>
      <c r="AF5" s="8">
        <f>CEILING(Arachne!$M$4/ IF(Arachne!$O$4&lt; 10.8, Table13[[#This Row],[STR]], Table13[[#This Row],[STR]] / (Arachne!$O$4 / 10.8)), 1)</f>
        <v>79</v>
      </c>
      <c r="AG5" s="12">
        <f>CEILING('Earth Elemental'!$M$6/ IF('Earth Elemental'!$O$6&lt; 10.8, Table13[[#This Row],[STR]], Table13[[#This Row],[STR]] / ('Earth Elemental'!$O$6 / 10.8)), 1)</f>
        <v>72</v>
      </c>
      <c r="AH5" s="12">
        <f>CEILING('Wind Elemental'!$M$6/ IF('Wind Elemental'!$O$6&lt; 10.8, Table13[[#This Row],[STR]], Table13[[#This Row],[STR]] / ('Wind Elemental'!$O$6 / 10.8)), 1)</f>
        <v>59</v>
      </c>
      <c r="AI5" s="12">
        <f>CEILING('Water Elemental'!$M$6/ IF('Water Elemental'!$O$6&lt; 10.8, Table13[[#This Row],[STR]], Table13[[#This Row],[STR]] / ('Water Elemental'!$O$6 / 10.8)), 1)</f>
        <v>86</v>
      </c>
      <c r="AJ5" s="12">
        <f>CEILING('Fire Elemental'!$M$4/ IF('Fire Elemental'!$O$4&lt; 10.8, Table13[[#This Row],[STR]], Table13[[#This Row],[STR]] / ('Fire Elemental'!$O$4 / 10.8)), 1)</f>
        <v>125</v>
      </c>
      <c r="AK5" s="12">
        <f>CEILING(Wyvern!$M$4/ IF(Wyvern!$O$4&lt; 10.8, Table13[[#This Row],[STR]], Table13[[#This Row],[STR]] / (Wyvern!$O$4 / 10.8)), 1)</f>
        <v>158</v>
      </c>
      <c r="AL5" s="12">
        <f>CEILING('Evolved Wyvern'!$M$4/ IF('Evolved Wyvern'!$O$4&lt; 10.8, Table13[[#This Row],[STR]], Table13[[#This Row],[STR]] / ('Evolved Wyvern'!$O$4 / 10.8)), 1)</f>
        <v>210</v>
      </c>
      <c r="AM5" s="12">
        <f>CEILING(Dragon!$M$4/ IF(Dragon!$O$4&lt; 10.8, Table13[[#This Row],[STR]], Table13[[#This Row],[STR]] / (Dragon!$O$4 / 10.8)), 1)</f>
        <v>351</v>
      </c>
      <c r="AO5" s="14">
        <f>CEILING('Blue Slime'!$Z$5/ IF('Blue Slime'!$X$5&lt; 10.8, Table13[[#This Row],[STR]], Table13[[#This Row],[STR]] / ('Blue Slime'!$X$5 / 10.8)), 1)</f>
        <v>5</v>
      </c>
      <c r="AP5" s="14">
        <f>CEILING('Green Slime'!$Z$5/ IF('Green Slime'!$X$5&lt; 10.8, Table13[[#This Row],[STR]], Table13[[#This Row],[STR]] / ('Green Slime'!$X$5 / 10.8)), 1)</f>
        <v>8</v>
      </c>
      <c r="AQ5" s="14">
        <f>CEILING(Wolf!$Z$6/ IF(Wolf!$X$6&lt; 10.8, Table13[[#This Row],[STR]], Table13[[#This Row],[STR]] / (Wolf!$X$6 / 10.8)), 1)</f>
        <v>22</v>
      </c>
      <c r="AR5" s="14">
        <f>CEILING('Horned Wolf'!$Z$5/ IF('Horned Wolf'!$X$5&lt; 10.8, Table13[[#This Row],[STR]], Table13[[#This Row],[STR]] / ('Horned Wolf'!$X$5 / 10.8)), 1)</f>
        <v>61</v>
      </c>
      <c r="AS5" s="8">
        <f>CEILING(Spider!$Z$7/ IF(Spider!$X$7&lt; 10.8, Table13[[#This Row],[STR]], Table13[[#This Row],[STR]] / (Spider!$X$7 / 10.8)), 1)</f>
        <v>53</v>
      </c>
      <c r="AT5" s="8">
        <f>CEILING('Evolved Spider'!$Z$8/ IF('Evolved Spider'!$X$8&lt; 10.8, Table13[[#This Row],[STR]], Table13[[#This Row],[STR]] / ('Evolved Spider'!$X$8 / 10.8)), 1)</f>
        <v>96</v>
      </c>
      <c r="AU5" s="8">
        <f>CEILING(Arachne!$Z$4/ IF(Arachne!$X$4&lt; 10.8, Table13[[#This Row],[STR]], Table13[[#This Row],[STR]] / (Arachne!$X$4 / 10.8)), 1)</f>
        <v>131</v>
      </c>
      <c r="AV5" s="12">
        <f>CEILING('Earth Elemental'!$Z$6/ IF('Earth Elemental'!$X$6&lt; 10.8, Table13[[#This Row],[STR]], Table13[[#This Row],[STR]] / ('Earth Elemental'!$X$6 / 10.8)), 1)</f>
        <v>110</v>
      </c>
      <c r="AW5" s="12">
        <f>CEILING('Wind Elemental'!$Z$6/ IF('Wind Elemental'!$X$6&lt; 10.8, Table13[[#This Row],[STR]], Table13[[#This Row],[STR]] / ('Wind Elemental'!$X$6 / 10.8)), 1)</f>
        <v>85</v>
      </c>
      <c r="AX5" s="12">
        <f>CEILING('Water Elemental'!$Z$6/ IF('Water Elemental'!$X$6&lt; 10.8, Table13[[#This Row],[STR]], Table13[[#This Row],[STR]] / ('Water Elemental'!$X$6 / 10.8)), 1)</f>
        <v>117</v>
      </c>
      <c r="AY5" s="12">
        <f>CEILING('Fire Elemental'!$Z$4/ IF('Fire Elemental'!$X$4&lt; 10.8, Table13[[#This Row],[STR]], Table13[[#This Row],[STR]] / ('Fire Elemental'!$X$4 / 10.8)), 1)</f>
        <v>191</v>
      </c>
      <c r="AZ5" s="12">
        <f>CEILING(Wyvern!$Z$4/ IF(Wyvern!$X$4&lt; 10.8, Table13[[#This Row],[STR]], Table13[[#This Row],[STR]] / (Wyvern!$X$4 / 10.8)), 1)</f>
        <v>230</v>
      </c>
      <c r="BA5" s="12">
        <f>CEILING('Evolved Wyvern'!$Z$4/ IF('Evolved Wyvern'!$X$4&lt; 10.8, Table13[[#This Row],[STR]], Table13[[#This Row],[STR]] / ('Evolved Wyvern'!$X$4 / 10.8)), 1)</f>
        <v>295</v>
      </c>
      <c r="BB5" s="12">
        <f>CEILING(Dragon!$Z$4/ IF(Dragon!$X$4&lt; 10.8, Table13[[#This Row],[STR]], Table13[[#This Row],[STR]] / (Dragon!$X$4 / 10.8)), 1)</f>
        <v>498</v>
      </c>
    </row>
    <row r="6" spans="1:54" x14ac:dyDescent="0.3">
      <c r="A6" s="30">
        <v>4</v>
      </c>
      <c r="B6" s="30">
        <f>$B$3 + ((Table13[[#This Row],[Level]] / 10) + $B$3 / 8) * Table13[[#This Row],[Level]]</f>
        <v>22.6</v>
      </c>
      <c r="C6" s="30">
        <f>2 * Table13[[#This Row],[INT]]</f>
        <v>20</v>
      </c>
      <c r="D6" s="30">
        <f>$D$3 + ($D$3 / 4) * Table13[[#This Row],[Level]]</f>
        <v>16</v>
      </c>
      <c r="E6" s="30">
        <f>$E$3 + ($E$3 / 4) * Table13[[#This Row],[Level]]</f>
        <v>12</v>
      </c>
      <c r="F6" s="30">
        <f>$F$3 + ($F$3 / 4) * Table13[[#This Row],[Level]]</f>
        <v>14</v>
      </c>
      <c r="G6" s="30">
        <f>$G$3 + ($G$3 / 4) * Table13[[#This Row],[Level]]</f>
        <v>10</v>
      </c>
      <c r="H6" s="30">
        <f>$H$3 + ($H$3 / 4) * Table13[[#This Row],[Level]]</f>
        <v>12</v>
      </c>
      <c r="I6" s="30">
        <f xml:space="preserve"> (4 * (Table13[[#This Row],[Level]] ^ 3))/7 + $I$3</f>
        <v>136.57142857142856</v>
      </c>
      <c r="K6" s="14">
        <f>CEILING('Blue Slime'!$B$5/ IF('Blue Slime'!$D$5&lt; 10.8, Table13[[#This Row],[STR]], Table13[[#This Row],[STR]] / ('Blue Slime'!$D$5 / 10.8)), 1)</f>
        <v>2</v>
      </c>
      <c r="L6" s="14">
        <f>CEILING('Green Slime'!$B$5/ IF('Green Slime'!$D$5&lt; 10.8, Table13[[#This Row],[STR]], Table13[[#This Row],[STR]] / ('Green Slime'!$D$5 / 10.8)), 1)</f>
        <v>3</v>
      </c>
      <c r="M6" s="14">
        <f>CEILING(Wolf!$B$6/ IF(Wolf!$D$6&lt; 10.8, Table13[[#This Row],[STR]], Table13[[#This Row],[STR]] / (Wolf!$D$6 / 10.8)), 1)</f>
        <v>6</v>
      </c>
      <c r="N6" s="14">
        <f>CEILING('Horned Wolf'!$B$5/ IF('Horned Wolf'!$D$5&lt; 10.8, Table13[[#This Row],[STR]], Table13[[#This Row],[STR]] / ('Horned Wolf'!$D$5 / 10.8)), 1)</f>
        <v>14</v>
      </c>
      <c r="O6" s="8">
        <f>CEILING(Spider!$B$7/ IF(Spider!$D$7&lt; 10.8, Table13[[#This Row],[STR]], Table13[[#This Row],[STR]] / (Spider!$D$7 / 10.8)), 1)</f>
        <v>14</v>
      </c>
      <c r="P6" s="8">
        <f>CEILING('Evolved Spider'!$B$8/ IF('Evolved Spider'!$D$8&lt; 10.8, Table13[[#This Row],[STR]], Table13[[#This Row],[STR]] / ('Evolved Spider'!$D$8 / 10.8)), 1)</f>
        <v>27</v>
      </c>
      <c r="Q6" s="8">
        <f>CEILING(Arachne!$B$4/ IF(Arachne!$D$4&lt; 10.8, Table13[[#This Row],[STR]], Table13[[#This Row],[STR]] / (Arachne!$D$4 / 10.8)), 1)</f>
        <v>35</v>
      </c>
      <c r="R6" s="12">
        <f>CEILING('Earth Elemental'!$B$6/ IF('Earth Elemental'!$D$6&lt; 10.8, Table13[[#This Row],[STR]], Table13[[#This Row],[STR]] / ('Earth Elemental'!$D$6 / 10.8)), 1)</f>
        <v>36</v>
      </c>
      <c r="S6" s="12">
        <f>CEILING('Wind Elemental'!$B$6/ IF('Wind Elemental'!$D$6&lt; 10.8, Table13[[#This Row],[STR]], Table13[[#This Row],[STR]] / ('Wind Elemental'!$D$6 / 10.8)), 1)</f>
        <v>32</v>
      </c>
      <c r="T6" s="12">
        <f>CEILING('Water Elemental'!$B$6/ IF('Water Elemental'!$D$6&lt; 10.8, Table13[[#This Row],[STR]], Table13[[#This Row],[STR]] / ('Water Elemental'!$D$6 / 10.8)), 1)</f>
        <v>49</v>
      </c>
      <c r="U6" s="12">
        <f>CEILING('Fire Elemental'!$B$4/ IF('Fire Elemental'!$D$4&lt; 10.8, Table13[[#This Row],[STR]], Table13[[#This Row],[STR]] / ('Fire Elemental'!$D$4 / 10.8)), 1)</f>
        <v>62</v>
      </c>
      <c r="V6" s="12">
        <f>CEILING(Wyvern!$B$4/ IF(Wyvern!$D$4&lt; 10.8, Table13[[#This Row],[STR]], Table13[[#This Row],[STR]] / (Wyvern!$D$4 / 10.8)), 1)</f>
        <v>84</v>
      </c>
      <c r="W6" s="12">
        <f>CEILING('Evolved Wyvern'!$B$4/ IF('Evolved Wyvern'!$D$4&lt; 10.8, Table13[[#This Row],[STR]], Table13[[#This Row],[STR]] / ('Evolved Wyvern'!$D$4 / 10.8)), 1)</f>
        <v>116</v>
      </c>
      <c r="X6" s="12">
        <f>CEILING(Dragon!$B$4/ IF(Dragon!$D$4&lt; 10.8, Table13[[#This Row],[STR]], Table13[[#This Row],[STR]] / (Dragon!$D$4 / 10.8)), 1)</f>
        <v>191</v>
      </c>
      <c r="Z6" s="14">
        <f>CEILING('Blue Slime'!$M$5/ IF('Blue Slime'!$O$5&lt; 10.8, Table13[[#This Row],[STR]], Table13[[#This Row],[STR]] / ('Blue Slime'!$O$5 / 10.8)), 1)</f>
        <v>3</v>
      </c>
      <c r="AA6" s="14">
        <f>CEILING('Green Slime'!$M$5/ IF('Green Slime'!$O$5&lt; 10.8, Table13[[#This Row],[STR]], Table13[[#This Row],[STR]] / ('Green Slime'!$O$5 / 10.8)), 1)</f>
        <v>4</v>
      </c>
      <c r="AB6" s="14">
        <f>CEILING(Wolf!$M$6/ IF(Wolf!$O$6&lt; 10.8, Table13[[#This Row],[STR]], Table13[[#This Row],[STR]] / (Wolf!$O$6 / 10.8)), 1)</f>
        <v>11</v>
      </c>
      <c r="AC6" s="14">
        <f>CEILING('Horned Wolf'!$M$5/ IF('Horned Wolf'!$O$5&lt; 10.8, Table13[[#This Row],[STR]], Table13[[#This Row],[STR]] / ('Horned Wolf'!$O$5 / 10.8)), 1)</f>
        <v>31</v>
      </c>
      <c r="AD6" s="8">
        <f>CEILING(Spider!$M$7/ IF(Spider!$O$7&lt; 10.8, Table13[[#This Row],[STR]], Table13[[#This Row],[STR]] / (Spider!$O$7 / 10.8)), 1)</f>
        <v>28</v>
      </c>
      <c r="AE6" s="8">
        <f>CEILING('Evolved Spider'!$M$8/ IF('Evolved Spider'!$O$8&lt; 10.8, Table13[[#This Row],[STR]], Table13[[#This Row],[STR]] / ('Evolved Spider'!$O$8 / 10.8)), 1)</f>
        <v>52</v>
      </c>
      <c r="AF6" s="8">
        <f>CEILING(Arachne!$M$4/ IF(Arachne!$O$4&lt; 10.8, Table13[[#This Row],[STR]], Table13[[#This Row],[STR]] / (Arachne!$O$4 / 10.8)), 1)</f>
        <v>70</v>
      </c>
      <c r="AG6" s="12">
        <f>CEILING('Earth Elemental'!$M$6/ IF('Earth Elemental'!$O$6&lt; 10.8, Table13[[#This Row],[STR]], Table13[[#This Row],[STR]] / ('Earth Elemental'!$O$6 / 10.8)), 1)</f>
        <v>63</v>
      </c>
      <c r="AH6" s="12">
        <f>CEILING('Wind Elemental'!$M$6/ IF('Wind Elemental'!$O$6&lt; 10.8, Table13[[#This Row],[STR]], Table13[[#This Row],[STR]] / ('Wind Elemental'!$O$6 / 10.8)), 1)</f>
        <v>52</v>
      </c>
      <c r="AI6" s="12">
        <f>CEILING('Water Elemental'!$M$6/ IF('Water Elemental'!$O$6&lt; 10.8, Table13[[#This Row],[STR]], Table13[[#This Row],[STR]] / ('Water Elemental'!$O$6 / 10.8)), 1)</f>
        <v>75</v>
      </c>
      <c r="AJ6" s="12">
        <f>CEILING('Fire Elemental'!$M$4/ IF('Fire Elemental'!$O$4&lt; 10.8, Table13[[#This Row],[STR]], Table13[[#This Row],[STR]] / ('Fire Elemental'!$O$4 / 10.8)), 1)</f>
        <v>109</v>
      </c>
      <c r="AK6" s="12">
        <f>CEILING(Wyvern!$M$4/ IF(Wyvern!$O$4&lt; 10.8, Table13[[#This Row],[STR]], Table13[[#This Row],[STR]] / (Wyvern!$O$4 / 10.8)), 1)</f>
        <v>139</v>
      </c>
      <c r="AL6" s="12">
        <f>CEILING('Evolved Wyvern'!$M$4/ IF('Evolved Wyvern'!$O$4&lt; 10.8, Table13[[#This Row],[STR]], Table13[[#This Row],[STR]] / ('Evolved Wyvern'!$O$4 / 10.8)), 1)</f>
        <v>184</v>
      </c>
      <c r="AM6" s="12">
        <f>CEILING(Dragon!$M$4/ IF(Dragon!$O$4&lt; 10.8, Table13[[#This Row],[STR]], Table13[[#This Row],[STR]] / (Dragon!$O$4 / 10.8)), 1)</f>
        <v>307</v>
      </c>
      <c r="AO6" s="14">
        <f>CEILING('Blue Slime'!$Z$5/ IF('Blue Slime'!$X$5&lt; 10.8, Table13[[#This Row],[STR]], Table13[[#This Row],[STR]] / ('Blue Slime'!$X$5 / 10.8)), 1)</f>
        <v>4</v>
      </c>
      <c r="AP6" s="14">
        <f>CEILING('Green Slime'!$Z$5/ IF('Green Slime'!$X$5&lt; 10.8, Table13[[#This Row],[STR]], Table13[[#This Row],[STR]] / ('Green Slime'!$X$5 / 10.8)), 1)</f>
        <v>7</v>
      </c>
      <c r="AQ6" s="14">
        <f>CEILING(Wolf!$Z$6/ IF(Wolf!$X$6&lt; 10.8, Table13[[#This Row],[STR]], Table13[[#This Row],[STR]] / (Wolf!$X$6 / 10.8)), 1)</f>
        <v>19</v>
      </c>
      <c r="AR6" s="14">
        <f>CEILING('Horned Wolf'!$Z$5/ IF('Horned Wolf'!$X$5&lt; 10.8, Table13[[#This Row],[STR]], Table13[[#This Row],[STR]] / ('Horned Wolf'!$X$5 / 10.8)), 1)</f>
        <v>53</v>
      </c>
      <c r="AS6" s="8">
        <f>CEILING(Spider!$Z$7/ IF(Spider!$X$7&lt; 10.8, Table13[[#This Row],[STR]], Table13[[#This Row],[STR]] / (Spider!$X$7 / 10.8)), 1)</f>
        <v>47</v>
      </c>
      <c r="AT6" s="8">
        <f>CEILING('Evolved Spider'!$Z$8/ IF('Evolved Spider'!$X$8&lt; 10.8, Table13[[#This Row],[STR]], Table13[[#This Row],[STR]] / ('Evolved Spider'!$X$8 / 10.8)), 1)</f>
        <v>84</v>
      </c>
      <c r="AU6" s="8">
        <f>CEILING(Arachne!$Z$4/ IF(Arachne!$X$4&lt; 10.8, Table13[[#This Row],[STR]], Table13[[#This Row],[STR]] / (Arachne!$X$4 / 10.8)), 1)</f>
        <v>115</v>
      </c>
      <c r="AV6" s="12">
        <f>CEILING('Earth Elemental'!$Z$6/ IF('Earth Elemental'!$X$6&lt; 10.8, Table13[[#This Row],[STR]], Table13[[#This Row],[STR]] / ('Earth Elemental'!$X$6 / 10.8)), 1)</f>
        <v>96</v>
      </c>
      <c r="AW6" s="12">
        <f>CEILING('Wind Elemental'!$Z$6/ IF('Wind Elemental'!$X$6&lt; 10.8, Table13[[#This Row],[STR]], Table13[[#This Row],[STR]] / ('Wind Elemental'!$X$6 / 10.8)), 1)</f>
        <v>74</v>
      </c>
      <c r="AX6" s="12">
        <f>CEILING('Water Elemental'!$Z$6/ IF('Water Elemental'!$X$6&lt; 10.8, Table13[[#This Row],[STR]], Table13[[#This Row],[STR]] / ('Water Elemental'!$X$6 / 10.8)), 1)</f>
        <v>102</v>
      </c>
      <c r="AY6" s="12">
        <f>CEILING('Fire Elemental'!$Z$4/ IF('Fire Elemental'!$X$4&lt; 10.8, Table13[[#This Row],[STR]], Table13[[#This Row],[STR]] / ('Fire Elemental'!$X$4 / 10.8)), 1)</f>
        <v>167</v>
      </c>
      <c r="AZ6" s="12">
        <f>CEILING(Wyvern!$Z$4/ IF(Wyvern!$X$4&lt; 10.8, Table13[[#This Row],[STR]], Table13[[#This Row],[STR]] / (Wyvern!$X$4 / 10.8)), 1)</f>
        <v>202</v>
      </c>
      <c r="BA6" s="12">
        <f>CEILING('Evolved Wyvern'!$Z$4/ IF('Evolved Wyvern'!$X$4&lt; 10.8, Table13[[#This Row],[STR]], Table13[[#This Row],[STR]] / ('Evolved Wyvern'!$X$4 / 10.8)), 1)</f>
        <v>259</v>
      </c>
      <c r="BB6" s="12">
        <f>CEILING(Dragon!$Z$4/ IF(Dragon!$X$4&lt; 10.8, Table13[[#This Row],[STR]], Table13[[#This Row],[STR]] / (Dragon!$X$4 / 10.8)), 1)</f>
        <v>436</v>
      </c>
    </row>
    <row r="7" spans="1:54" x14ac:dyDescent="0.3">
      <c r="A7" s="1">
        <v>5</v>
      </c>
      <c r="B7" s="1">
        <f>$B$3 + ((Table13[[#This Row],[Level]] / 10) + $B$3 / 8) * Table13[[#This Row],[Level]] + Equipment!$Z$10</f>
        <v>33.25</v>
      </c>
      <c r="C7" s="1">
        <f>2 * Table13[[#This Row],[INT]]</f>
        <v>28.5</v>
      </c>
      <c r="D7" s="1">
        <f>$D$3 + ($D$3 / 4) * Table13[[#This Row],[Level]] + Equipment!$AA$10</f>
        <v>22</v>
      </c>
      <c r="E7" s="1">
        <f>$E$3 + ($E$3 / 4) * Table13[[#This Row],[Level]] + Equipment!$AB$10</f>
        <v>16.5</v>
      </c>
      <c r="F7" s="1">
        <f>$F$3 + ($F$3 / 4) * Table13[[#This Row],[Level]] + Equipment!$AC$10</f>
        <v>19.75</v>
      </c>
      <c r="G7" s="1">
        <f>$G$3 + ($G$3 / 4) * Table13[[#This Row],[Level]] + Equipment!$AD$10</f>
        <v>14.25</v>
      </c>
      <c r="H7" s="1">
        <f>$H$3 + ($H$3 / 4) * Table13[[#This Row],[Level]] + Equipment!$AE$10</f>
        <v>16.5</v>
      </c>
      <c r="I7" s="1">
        <f xml:space="preserve"> (4 * (Table13[[#This Row],[Level]] ^ 3))/7 + $I$3</f>
        <v>171.42857142857144</v>
      </c>
      <c r="K7" s="14">
        <f>CEILING('Blue Slime'!$B$5/ IF('Blue Slime'!$D$5&lt; 10.8, Table13[[#This Row],[STR]], Table13[[#This Row],[STR]] / ('Blue Slime'!$D$5 / 10.8)), 1)</f>
        <v>2</v>
      </c>
      <c r="L7" s="14">
        <f>CEILING('Green Slime'!$B$5/ IF('Green Slime'!$D$5&lt; 10.8, Table13[[#This Row],[STR]], Table13[[#This Row],[STR]] / ('Green Slime'!$D$5 / 10.8)), 1)</f>
        <v>2</v>
      </c>
      <c r="M7" s="14">
        <f>CEILING(Wolf!$B$6/ IF(Wolf!$D$6&lt; 10.8, Table13[[#This Row],[STR]], Table13[[#This Row],[STR]] / (Wolf!$D$6 / 10.8)), 1)</f>
        <v>4</v>
      </c>
      <c r="N7" s="14">
        <f>CEILING('Horned Wolf'!$B$5/ IF('Horned Wolf'!$D$5&lt; 10.8, Table13[[#This Row],[STR]], Table13[[#This Row],[STR]] / ('Horned Wolf'!$D$5 / 10.8)), 1)</f>
        <v>10</v>
      </c>
      <c r="O7" s="8">
        <f>CEILING(Spider!$B$7/ IF(Spider!$D$7&lt; 10.8, Table13[[#This Row],[STR]], Table13[[#This Row],[STR]] / (Spider!$D$7 / 10.8)), 1)</f>
        <v>10</v>
      </c>
      <c r="P7" s="8">
        <f>CEILING('Evolved Spider'!$B$8/ IF('Evolved Spider'!$D$8&lt; 10.8, Table13[[#This Row],[STR]], Table13[[#This Row],[STR]] / ('Evolved Spider'!$D$8 / 10.8)), 1)</f>
        <v>19</v>
      </c>
      <c r="Q7" s="8">
        <f>CEILING(Arachne!$B$4/ IF(Arachne!$D$4&lt; 10.8, Table13[[#This Row],[STR]], Table13[[#This Row],[STR]] / (Arachne!$D$4 / 10.8)), 1)</f>
        <v>25</v>
      </c>
      <c r="R7" s="12">
        <f>CEILING('Earth Elemental'!$B$6/ IF('Earth Elemental'!$D$6&lt; 10.8, Table13[[#This Row],[STR]], Table13[[#This Row],[STR]] / ('Earth Elemental'!$D$6 / 10.8)), 1)</f>
        <v>26</v>
      </c>
      <c r="S7" s="12">
        <f>CEILING('Wind Elemental'!$B$6/ IF('Wind Elemental'!$D$6&lt; 10.8, Table13[[#This Row],[STR]], Table13[[#This Row],[STR]] / ('Wind Elemental'!$D$6 / 10.8)), 1)</f>
        <v>23</v>
      </c>
      <c r="T7" s="12">
        <f>CEILING('Water Elemental'!$B$6/ IF('Water Elemental'!$D$6&lt; 10.8, Table13[[#This Row],[STR]], Table13[[#This Row],[STR]] / ('Water Elemental'!$D$6 / 10.8)), 1)</f>
        <v>35</v>
      </c>
      <c r="U7" s="12">
        <f>CEILING('Fire Elemental'!$B$4/ IF('Fire Elemental'!$D$4&lt; 10.8, Table13[[#This Row],[STR]], Table13[[#This Row],[STR]] / ('Fire Elemental'!$D$4 / 10.8)), 1)</f>
        <v>44</v>
      </c>
      <c r="V7" s="12">
        <f>CEILING(Wyvern!$B$4/ IF(Wyvern!$D$4&lt; 10.8, Table13[[#This Row],[STR]], Table13[[#This Row],[STR]] / (Wyvern!$D$4 / 10.8)), 1)</f>
        <v>60</v>
      </c>
      <c r="W7" s="12">
        <f>CEILING('Evolved Wyvern'!$B$4/ IF('Evolved Wyvern'!$D$4&lt; 10.8, Table13[[#This Row],[STR]], Table13[[#This Row],[STR]] / ('Evolved Wyvern'!$D$4 / 10.8)), 1)</f>
        <v>83</v>
      </c>
      <c r="X7" s="12">
        <f>CEILING(Dragon!$B$4/ IF(Dragon!$D$4&lt; 10.8, Table13[[#This Row],[STR]], Table13[[#This Row],[STR]] / (Dragon!$D$4 / 10.8)), 1)</f>
        <v>136</v>
      </c>
      <c r="Z7" s="14">
        <f>CEILING('Blue Slime'!$M$5/ IF('Blue Slime'!$O$5&lt; 10.8, Table13[[#This Row],[STR]], Table13[[#This Row],[STR]] / ('Blue Slime'!$O$5 / 10.8)), 1)</f>
        <v>2</v>
      </c>
      <c r="AA7" s="14">
        <f>CEILING('Green Slime'!$M$5/ IF('Green Slime'!$O$5&lt; 10.8, Table13[[#This Row],[STR]], Table13[[#This Row],[STR]] / ('Green Slime'!$O$5 / 10.8)), 1)</f>
        <v>3</v>
      </c>
      <c r="AB7" s="14">
        <f>CEILING(Wolf!$M$6/ IF(Wolf!$O$6&lt; 10.8, Table13[[#This Row],[STR]], Table13[[#This Row],[STR]] / (Wolf!$O$6 / 10.8)), 1)</f>
        <v>8</v>
      </c>
      <c r="AC7" s="14">
        <f>CEILING('Horned Wolf'!$M$5/ IF('Horned Wolf'!$O$5&lt; 10.8, Table13[[#This Row],[STR]], Table13[[#This Row],[STR]] / ('Horned Wolf'!$O$5 / 10.8)), 1)</f>
        <v>22</v>
      </c>
      <c r="AD7" s="8">
        <f>CEILING(Spider!$M$7/ IF(Spider!$O$7&lt; 10.8, Table13[[#This Row],[STR]], Table13[[#This Row],[STR]] / (Spider!$O$7 / 10.8)), 1)</f>
        <v>20</v>
      </c>
      <c r="AE7" s="8">
        <f>CEILING('Evolved Spider'!$M$8/ IF('Evolved Spider'!$O$8&lt; 10.8, Table13[[#This Row],[STR]], Table13[[#This Row],[STR]] / ('Evolved Spider'!$O$8 / 10.8)), 1)</f>
        <v>37</v>
      </c>
      <c r="AF7" s="8">
        <f>CEILING(Arachne!$M$4/ IF(Arachne!$O$4&lt; 10.8, Table13[[#This Row],[STR]], Table13[[#This Row],[STR]] / (Arachne!$O$4 / 10.8)), 1)</f>
        <v>49</v>
      </c>
      <c r="AG7" s="12">
        <f>CEILING('Earth Elemental'!$M$6/ IF('Earth Elemental'!$O$6&lt; 10.8, Table13[[#This Row],[STR]], Table13[[#This Row],[STR]] / ('Earth Elemental'!$O$6 / 10.8)), 1)</f>
        <v>45</v>
      </c>
      <c r="AH7" s="12">
        <f>CEILING('Wind Elemental'!$M$6/ IF('Wind Elemental'!$O$6&lt; 10.8, Table13[[#This Row],[STR]], Table13[[#This Row],[STR]] / ('Wind Elemental'!$O$6 / 10.8)), 1)</f>
        <v>37</v>
      </c>
      <c r="AI7" s="12">
        <f>CEILING('Water Elemental'!$M$6/ IF('Water Elemental'!$O$6&lt; 10.8, Table13[[#This Row],[STR]], Table13[[#This Row],[STR]] / ('Water Elemental'!$O$6 / 10.8)), 1)</f>
        <v>53</v>
      </c>
      <c r="AJ7" s="12">
        <f>CEILING('Fire Elemental'!$M$4/ IF('Fire Elemental'!$O$4&lt; 10.8, Table13[[#This Row],[STR]], Table13[[#This Row],[STR]] / ('Fire Elemental'!$O$4 / 10.8)), 1)</f>
        <v>78</v>
      </c>
      <c r="AK7" s="12">
        <f>CEILING(Wyvern!$M$4/ IF(Wyvern!$O$4&lt; 10.8, Table13[[#This Row],[STR]], Table13[[#This Row],[STR]] / (Wyvern!$O$4 / 10.8)), 1)</f>
        <v>98</v>
      </c>
      <c r="AL7" s="12">
        <f>CEILING('Evolved Wyvern'!$M$4/ IF('Evolved Wyvern'!$O$4&lt; 10.8, Table13[[#This Row],[STR]], Table13[[#This Row],[STR]] / ('Evolved Wyvern'!$O$4 / 10.8)), 1)</f>
        <v>131</v>
      </c>
      <c r="AM7" s="12">
        <f>CEILING(Dragon!$M$4/ IF(Dragon!$O$4&lt; 10.8, Table13[[#This Row],[STR]], Table13[[#This Row],[STR]] / (Dragon!$O$4 / 10.8)), 1)</f>
        <v>218</v>
      </c>
      <c r="AO7" s="14">
        <f>CEILING('Blue Slime'!$Z$5/ IF('Blue Slime'!$X$5&lt; 10.8, Table13[[#This Row],[STR]], Table13[[#This Row],[STR]] / ('Blue Slime'!$X$5 / 10.8)), 1)</f>
        <v>3</v>
      </c>
      <c r="AP7" s="14">
        <f>CEILING('Green Slime'!$Z$5/ IF('Green Slime'!$X$5&lt; 10.8, Table13[[#This Row],[STR]], Table13[[#This Row],[STR]] / ('Green Slime'!$X$5 / 10.8)), 1)</f>
        <v>5</v>
      </c>
      <c r="AQ7" s="14">
        <f>CEILING(Wolf!$Z$6/ IF(Wolf!$X$6&lt; 10.8, Table13[[#This Row],[STR]], Table13[[#This Row],[STR]] / (Wolf!$X$6 / 10.8)), 1)</f>
        <v>14</v>
      </c>
      <c r="AR7" s="14">
        <f>CEILING('Horned Wolf'!$Z$5/ IF('Horned Wolf'!$X$5&lt; 10.8, Table13[[#This Row],[STR]], Table13[[#This Row],[STR]] / ('Horned Wolf'!$X$5 / 10.8)), 1)</f>
        <v>38</v>
      </c>
      <c r="AS7" s="8">
        <f>CEILING(Spider!$Z$7/ IF(Spider!$X$7&lt; 10.8, Table13[[#This Row],[STR]], Table13[[#This Row],[STR]] / (Spider!$X$7 / 10.8)), 1)</f>
        <v>33</v>
      </c>
      <c r="AT7" s="8">
        <f>CEILING('Evolved Spider'!$Z$8/ IF('Evolved Spider'!$X$8&lt; 10.8, Table13[[#This Row],[STR]], Table13[[#This Row],[STR]] / ('Evolved Spider'!$X$8 / 10.8)), 1)</f>
        <v>60</v>
      </c>
      <c r="AU7" s="8">
        <f>CEILING(Arachne!$Z$4/ IF(Arachne!$X$4&lt; 10.8, Table13[[#This Row],[STR]], Table13[[#This Row],[STR]] / (Arachne!$X$4 / 10.8)), 1)</f>
        <v>82</v>
      </c>
      <c r="AV7" s="12">
        <f>CEILING('Earth Elemental'!$Z$6/ IF('Earth Elemental'!$X$6&lt; 10.8, Table13[[#This Row],[STR]], Table13[[#This Row],[STR]] / ('Earth Elemental'!$X$6 / 10.8)), 1)</f>
        <v>68</v>
      </c>
      <c r="AW7" s="12">
        <f>CEILING('Wind Elemental'!$Z$6/ IF('Wind Elemental'!$X$6&lt; 10.8, Table13[[#This Row],[STR]], Table13[[#This Row],[STR]] / ('Wind Elemental'!$X$6 / 10.8)), 1)</f>
        <v>53</v>
      </c>
      <c r="AX7" s="12">
        <f>CEILING('Water Elemental'!$Z$6/ IF('Water Elemental'!$X$6&lt; 10.8, Table13[[#This Row],[STR]], Table13[[#This Row],[STR]] / ('Water Elemental'!$X$6 / 10.8)), 1)</f>
        <v>73</v>
      </c>
      <c r="AY7" s="12">
        <f>CEILING('Fire Elemental'!$Z$4/ IF('Fire Elemental'!$X$4&lt; 10.8, Table13[[#This Row],[STR]], Table13[[#This Row],[STR]] / ('Fire Elemental'!$X$4 / 10.8)), 1)</f>
        <v>118</v>
      </c>
      <c r="AZ7" s="12">
        <f>CEILING(Wyvern!$Z$4/ IF(Wyvern!$X$4&lt; 10.8, Table13[[#This Row],[STR]], Table13[[#This Row],[STR]] / (Wyvern!$X$4 / 10.8)), 1)</f>
        <v>143</v>
      </c>
      <c r="BA7" s="12">
        <f>CEILING('Evolved Wyvern'!$Z$4/ IF('Evolved Wyvern'!$X$4&lt; 10.8, Table13[[#This Row],[STR]], Table13[[#This Row],[STR]] / ('Evolved Wyvern'!$X$4 / 10.8)), 1)</f>
        <v>183</v>
      </c>
      <c r="BB7" s="12">
        <f>CEILING(Dragon!$Z$4/ IF(Dragon!$X$4&lt; 10.8, Table13[[#This Row],[STR]], Table13[[#This Row],[STR]] / (Dragon!$X$4 / 10.8)), 1)</f>
        <v>309</v>
      </c>
    </row>
    <row r="8" spans="1:54" x14ac:dyDescent="0.3">
      <c r="A8" s="1">
        <v>6</v>
      </c>
      <c r="B8" s="1">
        <f>$B$3 + ((Table13[[#This Row],[Level]] / 10) + $B$3 / 8) * Table13[[#This Row],[Level]] + Equipment!$Z$10</f>
        <v>36.1</v>
      </c>
      <c r="C8" s="1">
        <f>2 * Table13[[#This Row],[INT]]</f>
        <v>31</v>
      </c>
      <c r="D8" s="1">
        <f>$D$3 + ($D$3 / 4) * Table13[[#This Row],[Level]] + Equipment!$AA$10</f>
        <v>24</v>
      </c>
      <c r="E8" s="1">
        <f>$E$3 + ($E$3 / 4) * Table13[[#This Row],[Level]] + Equipment!$AB$10</f>
        <v>18</v>
      </c>
      <c r="F8" s="1">
        <f>$F$3 + ($F$3 / 4) * Table13[[#This Row],[Level]] + Equipment!$AC$10</f>
        <v>21.5</v>
      </c>
      <c r="G8" s="1">
        <f>$G$3 + ($G$3 / 4) * Table13[[#This Row],[Level]] + Equipment!$AD$10</f>
        <v>15.5</v>
      </c>
      <c r="H8" s="1">
        <f>$H$3 + ($H$3 / 4) * Table13[[#This Row],[Level]] + Equipment!$AE$10</f>
        <v>18</v>
      </c>
      <c r="I8" s="1">
        <f xml:space="preserve"> (4 * (Table13[[#This Row],[Level]] ^ 3))/7 + $I$3</f>
        <v>223.42857142857144</v>
      </c>
      <c r="K8" s="14">
        <f>CEILING('Blue Slime'!$B$5/ IF('Blue Slime'!$D$5&lt; 10.8, Table13[[#This Row],[STR]], Table13[[#This Row],[STR]] / ('Blue Slime'!$D$5 / 10.8)), 1)</f>
        <v>1</v>
      </c>
      <c r="L8" s="14">
        <f>CEILING('Green Slime'!$B$5/ IF('Green Slime'!$D$5&lt; 10.8, Table13[[#This Row],[STR]], Table13[[#This Row],[STR]] / ('Green Slime'!$D$5 / 10.8)), 1)</f>
        <v>2</v>
      </c>
      <c r="M8" s="14">
        <f>CEILING(Wolf!$B$6/ IF(Wolf!$D$6&lt; 10.8, Table13[[#This Row],[STR]], Table13[[#This Row],[STR]] / (Wolf!$D$6 / 10.8)), 1)</f>
        <v>4</v>
      </c>
      <c r="N8" s="14">
        <f>CEILING('Horned Wolf'!$B$5/ IF('Horned Wolf'!$D$5&lt; 10.8, Table13[[#This Row],[STR]], Table13[[#This Row],[STR]] / ('Horned Wolf'!$D$5 / 10.8)), 1)</f>
        <v>10</v>
      </c>
      <c r="O8" s="8">
        <f>CEILING(Spider!$B$7/ IF(Spider!$D$7&lt; 10.8, Table13[[#This Row],[STR]], Table13[[#This Row],[STR]] / (Spider!$D$7 / 10.8)), 1)</f>
        <v>9</v>
      </c>
      <c r="P8" s="8">
        <f>CEILING('Evolved Spider'!$B$8/ IF('Evolved Spider'!$D$8&lt; 10.8, Table13[[#This Row],[STR]], Table13[[#This Row],[STR]] / ('Evolved Spider'!$D$8 / 10.8)), 1)</f>
        <v>18</v>
      </c>
      <c r="Q8" s="8">
        <f>CEILING(Arachne!$B$4/ IF(Arachne!$D$4&lt; 10.8, Table13[[#This Row],[STR]], Table13[[#This Row],[STR]] / (Arachne!$D$4 / 10.8)), 1)</f>
        <v>23</v>
      </c>
      <c r="R8" s="12">
        <f>CEILING('Earth Elemental'!$B$6/ IF('Earth Elemental'!$D$6&lt; 10.8, Table13[[#This Row],[STR]], Table13[[#This Row],[STR]] / ('Earth Elemental'!$D$6 / 10.8)), 1)</f>
        <v>24</v>
      </c>
      <c r="S8" s="12">
        <f>CEILING('Wind Elemental'!$B$6/ IF('Wind Elemental'!$D$6&lt; 10.8, Table13[[#This Row],[STR]], Table13[[#This Row],[STR]] / ('Wind Elemental'!$D$6 / 10.8)), 1)</f>
        <v>21</v>
      </c>
      <c r="T8" s="12">
        <f>CEILING('Water Elemental'!$B$6/ IF('Water Elemental'!$D$6&lt; 10.8, Table13[[#This Row],[STR]], Table13[[#This Row],[STR]] / ('Water Elemental'!$D$6 / 10.8)), 1)</f>
        <v>32</v>
      </c>
      <c r="U8" s="12">
        <f>CEILING('Fire Elemental'!$B$4/ IF('Fire Elemental'!$D$4&lt; 10.8, Table13[[#This Row],[STR]], Table13[[#This Row],[STR]] / ('Fire Elemental'!$D$4 / 10.8)), 1)</f>
        <v>41</v>
      </c>
      <c r="V8" s="12">
        <f>CEILING(Wyvern!$B$4/ IF(Wyvern!$D$4&lt; 10.8, Table13[[#This Row],[STR]], Table13[[#This Row],[STR]] / (Wyvern!$D$4 / 10.8)), 1)</f>
        <v>55</v>
      </c>
      <c r="W8" s="12">
        <f>CEILING('Evolved Wyvern'!$B$4/ IF('Evolved Wyvern'!$D$4&lt; 10.8, Table13[[#This Row],[STR]], Table13[[#This Row],[STR]] / ('Evolved Wyvern'!$D$4 / 10.8)), 1)</f>
        <v>76</v>
      </c>
      <c r="X8" s="12">
        <f>CEILING(Dragon!$B$4/ IF(Dragon!$D$4&lt; 10.8, Table13[[#This Row],[STR]], Table13[[#This Row],[STR]] / (Dragon!$D$4 / 10.8)), 1)</f>
        <v>125</v>
      </c>
      <c r="Z8" s="14">
        <f>CEILING('Blue Slime'!$M$5/ IF('Blue Slime'!$O$5&lt; 10.8, Table13[[#This Row],[STR]], Table13[[#This Row],[STR]] / ('Blue Slime'!$O$5 / 10.8)), 1)</f>
        <v>2</v>
      </c>
      <c r="AA8" s="14">
        <f>CEILING('Green Slime'!$M$5/ IF('Green Slime'!$O$5&lt; 10.8, Table13[[#This Row],[STR]], Table13[[#This Row],[STR]] / ('Green Slime'!$O$5 / 10.8)), 1)</f>
        <v>3</v>
      </c>
      <c r="AB8" s="14">
        <f>CEILING(Wolf!$M$6/ IF(Wolf!$O$6&lt; 10.8, Table13[[#This Row],[STR]], Table13[[#This Row],[STR]] / (Wolf!$O$6 / 10.8)), 1)</f>
        <v>8</v>
      </c>
      <c r="AC8" s="14">
        <f>CEILING('Horned Wolf'!$M$5/ IF('Horned Wolf'!$O$5&lt; 10.8, Table13[[#This Row],[STR]], Table13[[#This Row],[STR]] / ('Horned Wolf'!$O$5 / 10.8)), 1)</f>
        <v>20</v>
      </c>
      <c r="AD8" s="8">
        <f>CEILING(Spider!$M$7/ IF(Spider!$O$7&lt; 10.8, Table13[[#This Row],[STR]], Table13[[#This Row],[STR]] / (Spider!$O$7 / 10.8)), 1)</f>
        <v>18</v>
      </c>
      <c r="AE8" s="8">
        <f>CEILING('Evolved Spider'!$M$8/ IF('Evolved Spider'!$O$8&lt; 10.8, Table13[[#This Row],[STR]], Table13[[#This Row],[STR]] / ('Evolved Spider'!$O$8 / 10.8)), 1)</f>
        <v>34</v>
      </c>
      <c r="AF8" s="8">
        <f>CEILING(Arachne!$M$4/ IF(Arachne!$O$4&lt; 10.8, Table13[[#This Row],[STR]], Table13[[#This Row],[STR]] / (Arachne!$O$4 / 10.8)), 1)</f>
        <v>45</v>
      </c>
      <c r="AG8" s="12">
        <f>CEILING('Earth Elemental'!$M$6/ IF('Earth Elemental'!$O$6&lt; 10.8, Table13[[#This Row],[STR]], Table13[[#This Row],[STR]] / ('Earth Elemental'!$O$6 / 10.8)), 1)</f>
        <v>41</v>
      </c>
      <c r="AH8" s="12">
        <f>CEILING('Wind Elemental'!$M$6/ IF('Wind Elemental'!$O$6&lt; 10.8, Table13[[#This Row],[STR]], Table13[[#This Row],[STR]] / ('Wind Elemental'!$O$6 / 10.8)), 1)</f>
        <v>34</v>
      </c>
      <c r="AI8" s="12">
        <f>CEILING('Water Elemental'!$M$6/ IF('Water Elemental'!$O$6&lt; 10.8, Table13[[#This Row],[STR]], Table13[[#This Row],[STR]] / ('Water Elemental'!$O$6 / 10.8)), 1)</f>
        <v>49</v>
      </c>
      <c r="AJ8" s="12">
        <f>CEILING('Fire Elemental'!$M$4/ IF('Fire Elemental'!$O$4&lt; 10.8, Table13[[#This Row],[STR]], Table13[[#This Row],[STR]] / ('Fire Elemental'!$O$4 / 10.8)), 1)</f>
        <v>71</v>
      </c>
      <c r="AK8" s="12">
        <f>CEILING(Wyvern!$M$4/ IF(Wyvern!$O$4&lt; 10.8, Table13[[#This Row],[STR]], Table13[[#This Row],[STR]] / (Wyvern!$O$4 / 10.8)), 1)</f>
        <v>90</v>
      </c>
      <c r="AL8" s="12">
        <f>CEILING('Evolved Wyvern'!$M$4/ IF('Evolved Wyvern'!$O$4&lt; 10.8, Table13[[#This Row],[STR]], Table13[[#This Row],[STR]] / ('Evolved Wyvern'!$O$4 / 10.8)), 1)</f>
        <v>120</v>
      </c>
      <c r="AM8" s="12">
        <f>CEILING(Dragon!$M$4/ IF(Dragon!$O$4&lt; 10.8, Table13[[#This Row],[STR]], Table13[[#This Row],[STR]] / (Dragon!$O$4 / 10.8)), 1)</f>
        <v>200</v>
      </c>
      <c r="AO8" s="14">
        <f>CEILING('Blue Slime'!$Z$5/ IF('Blue Slime'!$X$5&lt; 10.8, Table13[[#This Row],[STR]], Table13[[#This Row],[STR]] / ('Blue Slime'!$X$5 / 10.8)), 1)</f>
        <v>3</v>
      </c>
      <c r="AP8" s="14">
        <f>CEILING('Green Slime'!$Z$5/ IF('Green Slime'!$X$5&lt; 10.8, Table13[[#This Row],[STR]], Table13[[#This Row],[STR]] / ('Green Slime'!$X$5 / 10.8)), 1)</f>
        <v>5</v>
      </c>
      <c r="AQ8" s="14">
        <f>CEILING(Wolf!$Z$6/ IF(Wolf!$X$6&lt; 10.8, Table13[[#This Row],[STR]], Table13[[#This Row],[STR]] / (Wolf!$X$6 / 10.8)), 1)</f>
        <v>13</v>
      </c>
      <c r="AR8" s="14">
        <f>CEILING('Horned Wolf'!$Z$5/ IF('Horned Wolf'!$X$5&lt; 10.8, Table13[[#This Row],[STR]], Table13[[#This Row],[STR]] / ('Horned Wolf'!$X$5 / 10.8)), 1)</f>
        <v>35</v>
      </c>
      <c r="AS8" s="8">
        <f>CEILING(Spider!$Z$7/ IF(Spider!$X$7&lt; 10.8, Table13[[#This Row],[STR]], Table13[[#This Row],[STR]] / (Spider!$X$7 / 10.8)), 1)</f>
        <v>31</v>
      </c>
      <c r="AT8" s="8">
        <f>CEILING('Evolved Spider'!$Z$8/ IF('Evolved Spider'!$X$8&lt; 10.8, Table13[[#This Row],[STR]], Table13[[#This Row],[STR]] / ('Evolved Spider'!$X$8 / 10.8)), 1)</f>
        <v>55</v>
      </c>
      <c r="AU8" s="8">
        <f>CEILING(Arachne!$Z$4/ IF(Arachne!$X$4&lt; 10.8, Table13[[#This Row],[STR]], Table13[[#This Row],[STR]] / (Arachne!$X$4 / 10.8)), 1)</f>
        <v>75</v>
      </c>
      <c r="AV8" s="12">
        <f>CEILING('Earth Elemental'!$Z$6/ IF('Earth Elemental'!$X$6&lt; 10.8, Table13[[#This Row],[STR]], Table13[[#This Row],[STR]] / ('Earth Elemental'!$X$6 / 10.8)), 1)</f>
        <v>63</v>
      </c>
      <c r="AW8" s="12">
        <f>CEILING('Wind Elemental'!$Z$6/ IF('Wind Elemental'!$X$6&lt; 10.8, Table13[[#This Row],[STR]], Table13[[#This Row],[STR]] / ('Wind Elemental'!$X$6 / 10.8)), 1)</f>
        <v>49</v>
      </c>
      <c r="AX8" s="12">
        <f>CEILING('Water Elemental'!$Z$6/ IF('Water Elemental'!$X$6&lt; 10.8, Table13[[#This Row],[STR]], Table13[[#This Row],[STR]] / ('Water Elemental'!$X$6 / 10.8)), 1)</f>
        <v>67</v>
      </c>
      <c r="AY8" s="12">
        <f>CEILING('Fire Elemental'!$Z$4/ IF('Fire Elemental'!$X$4&lt; 10.8, Table13[[#This Row],[STR]], Table13[[#This Row],[STR]] / ('Fire Elemental'!$X$4 / 10.8)), 1)</f>
        <v>109</v>
      </c>
      <c r="AZ8" s="12">
        <f>CEILING(Wyvern!$Z$4/ IF(Wyvern!$X$4&lt; 10.8, Table13[[#This Row],[STR]], Table13[[#This Row],[STR]] / (Wyvern!$X$4 / 10.8)), 1)</f>
        <v>132</v>
      </c>
      <c r="BA8" s="12">
        <f>CEILING('Evolved Wyvern'!$Z$4/ IF('Evolved Wyvern'!$X$4&lt; 10.8, Table13[[#This Row],[STR]], Table13[[#This Row],[STR]] / ('Evolved Wyvern'!$X$4 / 10.8)), 1)</f>
        <v>169</v>
      </c>
      <c r="BB8" s="12">
        <f>CEILING(Dragon!$Z$4/ IF(Dragon!$X$4&lt; 10.8, Table13[[#This Row],[STR]], Table13[[#This Row],[STR]] / (Dragon!$X$4 / 10.8)), 1)</f>
        <v>284</v>
      </c>
    </row>
    <row r="9" spans="1:54" x14ac:dyDescent="0.3">
      <c r="A9" s="1">
        <v>7</v>
      </c>
      <c r="B9" s="1">
        <f>$B$3 + ((Table13[[#This Row],[Level]] / 10) + $B$3 / 8) * Table13[[#This Row],[Level]] + Equipment!$Z$10</f>
        <v>39.150000000000006</v>
      </c>
      <c r="C9" s="1">
        <f>2 * Table13[[#This Row],[INT]]</f>
        <v>33.5</v>
      </c>
      <c r="D9" s="1">
        <f>$D$3 + ($D$3 / 4) * Table13[[#This Row],[Level]] + Equipment!$AA$10</f>
        <v>26</v>
      </c>
      <c r="E9" s="1">
        <f>$E$3 + ($E$3 / 4) * Table13[[#This Row],[Level]] + Equipment!$AB$10</f>
        <v>19.5</v>
      </c>
      <c r="F9" s="1">
        <f>$F$3 + ($F$3 / 4) * Table13[[#This Row],[Level]] + Equipment!$AC$10</f>
        <v>23.25</v>
      </c>
      <c r="G9" s="1">
        <f>$G$3 + ($G$3 / 4) * Table13[[#This Row],[Level]] + Equipment!$AD$10</f>
        <v>16.75</v>
      </c>
      <c r="H9" s="1">
        <f>$H$3 + ($H$3 / 4) * Table13[[#This Row],[Level]] + Equipment!$AE$10</f>
        <v>19.5</v>
      </c>
      <c r="I9" s="1">
        <f xml:space="preserve"> (4 * (Table13[[#This Row],[Level]] ^ 3))/7 + $I$3</f>
        <v>296</v>
      </c>
      <c r="K9" s="14">
        <f>CEILING('Blue Slime'!$B$5/ IF('Blue Slime'!$D$5&lt; 10.8, Table13[[#This Row],[STR]], Table13[[#This Row],[STR]] / ('Blue Slime'!$D$5 / 10.8)), 1)</f>
        <v>1</v>
      </c>
      <c r="L9" s="14">
        <f>CEILING('Green Slime'!$B$5/ IF('Green Slime'!$D$5&lt; 10.8, Table13[[#This Row],[STR]], Table13[[#This Row],[STR]] / ('Green Slime'!$D$5 / 10.8)), 1)</f>
        <v>2</v>
      </c>
      <c r="M9" s="14">
        <f>CEILING(Wolf!$B$6/ IF(Wolf!$D$6&lt; 10.8, Table13[[#This Row],[STR]], Table13[[#This Row],[STR]] / (Wolf!$D$6 / 10.8)), 1)</f>
        <v>4</v>
      </c>
      <c r="N9" s="14">
        <f>CEILING('Horned Wolf'!$B$5/ IF('Horned Wolf'!$D$5&lt; 10.8, Table13[[#This Row],[STR]], Table13[[#This Row],[STR]] / ('Horned Wolf'!$D$5 / 10.8)), 1)</f>
        <v>9</v>
      </c>
      <c r="O9" s="8">
        <f>CEILING(Spider!$B$7/ IF(Spider!$D$7&lt; 10.8, Table13[[#This Row],[STR]], Table13[[#This Row],[STR]] / (Spider!$D$7 / 10.8)), 1)</f>
        <v>9</v>
      </c>
      <c r="P9" s="8">
        <f>CEILING('Evolved Spider'!$B$8/ IF('Evolved Spider'!$D$8&lt; 10.8, Table13[[#This Row],[STR]], Table13[[#This Row],[STR]] / ('Evolved Spider'!$D$8 / 10.8)), 1)</f>
        <v>16</v>
      </c>
      <c r="Q9" s="8">
        <f>CEILING(Arachne!$B$4/ IF(Arachne!$D$4&lt; 10.8, Table13[[#This Row],[STR]], Table13[[#This Row],[STR]] / (Arachne!$D$4 / 10.8)), 1)</f>
        <v>22</v>
      </c>
      <c r="R9" s="12">
        <f>CEILING('Earth Elemental'!$B$6/ IF('Earth Elemental'!$D$6&lt; 10.8, Table13[[#This Row],[STR]], Table13[[#This Row],[STR]] / ('Earth Elemental'!$D$6 / 10.8)), 1)</f>
        <v>22</v>
      </c>
      <c r="S9" s="12">
        <f>CEILING('Wind Elemental'!$B$6/ IF('Wind Elemental'!$D$6&lt; 10.8, Table13[[#This Row],[STR]], Table13[[#This Row],[STR]] / ('Wind Elemental'!$D$6 / 10.8)), 1)</f>
        <v>20</v>
      </c>
      <c r="T9" s="12">
        <f>CEILING('Water Elemental'!$B$6/ IF('Water Elemental'!$D$6&lt; 10.8, Table13[[#This Row],[STR]], Table13[[#This Row],[STR]] / ('Water Elemental'!$D$6 / 10.8)), 1)</f>
        <v>30</v>
      </c>
      <c r="U9" s="12">
        <f>CEILING('Fire Elemental'!$B$4/ IF('Fire Elemental'!$D$4&lt; 10.8, Table13[[#This Row],[STR]], Table13[[#This Row],[STR]] / ('Fire Elemental'!$D$4 / 10.8)), 1)</f>
        <v>38</v>
      </c>
      <c r="V9" s="12">
        <f>CEILING(Wyvern!$B$4/ IF(Wyvern!$D$4&lt; 10.8, Table13[[#This Row],[STR]], Table13[[#This Row],[STR]] / (Wyvern!$D$4 / 10.8)), 1)</f>
        <v>51</v>
      </c>
      <c r="W9" s="12">
        <f>CEILING('Evolved Wyvern'!$B$4/ IF('Evolved Wyvern'!$D$4&lt; 10.8, Table13[[#This Row],[STR]], Table13[[#This Row],[STR]] / ('Evolved Wyvern'!$D$4 / 10.8)), 1)</f>
        <v>70</v>
      </c>
      <c r="X9" s="12">
        <f>CEILING(Dragon!$B$4/ IF(Dragon!$D$4&lt; 10.8, Table13[[#This Row],[STR]], Table13[[#This Row],[STR]] / (Dragon!$D$4 / 10.8)), 1)</f>
        <v>115</v>
      </c>
      <c r="Z9" s="14">
        <f>CEILING('Blue Slime'!$M$5/ IF('Blue Slime'!$O$5&lt; 10.8, Table13[[#This Row],[STR]], Table13[[#This Row],[STR]] / ('Blue Slime'!$O$5 / 10.8)), 1)</f>
        <v>2</v>
      </c>
      <c r="AA9" s="14">
        <f>CEILING('Green Slime'!$M$5/ IF('Green Slime'!$O$5&lt; 10.8, Table13[[#This Row],[STR]], Table13[[#This Row],[STR]] / ('Green Slime'!$O$5 / 10.8)), 1)</f>
        <v>3</v>
      </c>
      <c r="AB9" s="14">
        <f>CEILING(Wolf!$M$6/ IF(Wolf!$O$6&lt; 10.8, Table13[[#This Row],[STR]], Table13[[#This Row],[STR]] / (Wolf!$O$6 / 10.8)), 1)</f>
        <v>7</v>
      </c>
      <c r="AC9" s="14">
        <f>CEILING('Horned Wolf'!$M$5/ IF('Horned Wolf'!$O$5&lt; 10.8, Table13[[#This Row],[STR]], Table13[[#This Row],[STR]] / ('Horned Wolf'!$O$5 / 10.8)), 1)</f>
        <v>19</v>
      </c>
      <c r="AD9" s="8">
        <f>CEILING(Spider!$M$7/ IF(Spider!$O$7&lt; 10.8, Table13[[#This Row],[STR]], Table13[[#This Row],[STR]] / (Spider!$O$7 / 10.8)), 1)</f>
        <v>17</v>
      </c>
      <c r="AE9" s="8">
        <f>CEILING('Evolved Spider'!$M$8/ IF('Evolved Spider'!$O$8&lt; 10.8, Table13[[#This Row],[STR]], Table13[[#This Row],[STR]] / ('Evolved Spider'!$O$8 / 10.8)), 1)</f>
        <v>31</v>
      </c>
      <c r="AF9" s="8">
        <f>CEILING(Arachne!$M$4/ IF(Arachne!$O$4&lt; 10.8, Table13[[#This Row],[STR]], Table13[[#This Row],[STR]] / (Arachne!$O$4 / 10.8)), 1)</f>
        <v>42</v>
      </c>
      <c r="AG9" s="12">
        <f>CEILING('Earth Elemental'!$M$6/ IF('Earth Elemental'!$O$6&lt; 10.8, Table13[[#This Row],[STR]], Table13[[#This Row],[STR]] / ('Earth Elemental'!$O$6 / 10.8)), 1)</f>
        <v>38</v>
      </c>
      <c r="AH9" s="12">
        <f>CEILING('Wind Elemental'!$M$6/ IF('Wind Elemental'!$O$6&lt; 10.8, Table13[[#This Row],[STR]], Table13[[#This Row],[STR]] / ('Wind Elemental'!$O$6 / 10.8)), 1)</f>
        <v>32</v>
      </c>
      <c r="AI9" s="12">
        <f>CEILING('Water Elemental'!$M$6/ IF('Water Elemental'!$O$6&lt; 10.8, Table13[[#This Row],[STR]], Table13[[#This Row],[STR]] / ('Water Elemental'!$O$6 / 10.8)), 1)</f>
        <v>45</v>
      </c>
      <c r="AJ9" s="12">
        <f>CEILING('Fire Elemental'!$M$4/ IF('Fire Elemental'!$O$4&lt; 10.8, Table13[[#This Row],[STR]], Table13[[#This Row],[STR]] / ('Fire Elemental'!$O$4 / 10.8)), 1)</f>
        <v>66</v>
      </c>
      <c r="AK9" s="12">
        <f>CEILING(Wyvern!$M$4/ IF(Wyvern!$O$4&lt; 10.8, Table13[[#This Row],[STR]], Table13[[#This Row],[STR]] / (Wyvern!$O$4 / 10.8)), 1)</f>
        <v>84</v>
      </c>
      <c r="AL9" s="12">
        <f>CEILING('Evolved Wyvern'!$M$4/ IF('Evolved Wyvern'!$O$4&lt; 10.8, Table13[[#This Row],[STR]], Table13[[#This Row],[STR]] / ('Evolved Wyvern'!$O$4 / 10.8)), 1)</f>
        <v>111</v>
      </c>
      <c r="AM9" s="12">
        <f>CEILING(Dragon!$M$4/ IF(Dragon!$O$4&lt; 10.8, Table13[[#This Row],[STR]], Table13[[#This Row],[STR]] / (Dragon!$O$4 / 10.8)), 1)</f>
        <v>185</v>
      </c>
      <c r="AO9" s="14">
        <f>CEILING('Blue Slime'!$Z$5/ IF('Blue Slime'!$X$5&lt; 10.8, Table13[[#This Row],[STR]], Table13[[#This Row],[STR]] / ('Blue Slime'!$X$5 / 10.8)), 1)</f>
        <v>3</v>
      </c>
      <c r="AP9" s="14">
        <f>CEILING('Green Slime'!$Z$5/ IF('Green Slime'!$X$5&lt; 10.8, Table13[[#This Row],[STR]], Table13[[#This Row],[STR]] / ('Green Slime'!$X$5 / 10.8)), 1)</f>
        <v>4</v>
      </c>
      <c r="AQ9" s="14">
        <f>CEILING(Wolf!$Z$6/ IF(Wolf!$X$6&lt; 10.8, Table13[[#This Row],[STR]], Table13[[#This Row],[STR]] / (Wolf!$X$6 / 10.8)), 1)</f>
        <v>12</v>
      </c>
      <c r="AR9" s="14">
        <f>CEILING('Horned Wolf'!$Z$5/ IF('Horned Wolf'!$X$5&lt; 10.8, Table13[[#This Row],[STR]], Table13[[#This Row],[STR]] / ('Horned Wolf'!$X$5 / 10.8)), 1)</f>
        <v>32</v>
      </c>
      <c r="AS9" s="8">
        <f>CEILING(Spider!$Z$7/ IF(Spider!$X$7&lt; 10.8, Table13[[#This Row],[STR]], Table13[[#This Row],[STR]] / (Spider!$X$7 / 10.8)), 1)</f>
        <v>28</v>
      </c>
      <c r="AT9" s="8">
        <f>CEILING('Evolved Spider'!$Z$8/ IF('Evolved Spider'!$X$8&lt; 10.8, Table13[[#This Row],[STR]], Table13[[#This Row],[STR]] / ('Evolved Spider'!$X$8 / 10.8)), 1)</f>
        <v>51</v>
      </c>
      <c r="AU9" s="8">
        <f>CEILING(Arachne!$Z$4/ IF(Arachne!$X$4&lt; 10.8, Table13[[#This Row],[STR]], Table13[[#This Row],[STR]] / (Arachne!$X$4 / 10.8)), 1)</f>
        <v>69</v>
      </c>
      <c r="AV9" s="12">
        <f>CEILING('Earth Elemental'!$Z$6/ IF('Earth Elemental'!$X$6&lt; 10.8, Table13[[#This Row],[STR]], Table13[[#This Row],[STR]] / ('Earth Elemental'!$X$6 / 10.8)), 1)</f>
        <v>58</v>
      </c>
      <c r="AW9" s="12">
        <f>CEILING('Wind Elemental'!$Z$6/ IF('Wind Elemental'!$X$6&lt; 10.8, Table13[[#This Row],[STR]], Table13[[#This Row],[STR]] / ('Wind Elemental'!$X$6 / 10.8)), 1)</f>
        <v>45</v>
      </c>
      <c r="AX9" s="12">
        <f>CEILING('Water Elemental'!$Z$6/ IF('Water Elemental'!$X$6&lt; 10.8, Table13[[#This Row],[STR]], Table13[[#This Row],[STR]] / ('Water Elemental'!$X$6 / 10.8)), 1)</f>
        <v>62</v>
      </c>
      <c r="AY9" s="12">
        <f>CEILING('Fire Elemental'!$Z$4/ IF('Fire Elemental'!$X$4&lt; 10.8, Table13[[#This Row],[STR]], Table13[[#This Row],[STR]] / ('Fire Elemental'!$X$4 / 10.8)), 1)</f>
        <v>101</v>
      </c>
      <c r="AZ9" s="12">
        <f>CEILING(Wyvern!$Z$4/ IF(Wyvern!$X$4&lt; 10.8, Table13[[#This Row],[STR]], Table13[[#This Row],[STR]] / (Wyvern!$X$4 / 10.8)), 1)</f>
        <v>122</v>
      </c>
      <c r="BA9" s="12">
        <f>CEILING('Evolved Wyvern'!$Z$4/ IF('Evolved Wyvern'!$X$4&lt; 10.8, Table13[[#This Row],[STR]], Table13[[#This Row],[STR]] / ('Evolved Wyvern'!$X$4 / 10.8)), 1)</f>
        <v>156</v>
      </c>
      <c r="BB9" s="12">
        <f>CEILING(Dragon!$Z$4/ IF(Dragon!$X$4&lt; 10.8, Table13[[#This Row],[STR]], Table13[[#This Row],[STR]] / (Dragon!$X$4 / 10.8)), 1)</f>
        <v>263</v>
      </c>
    </row>
    <row r="10" spans="1:54" x14ac:dyDescent="0.3">
      <c r="A10" s="1">
        <v>8</v>
      </c>
      <c r="B10" s="1">
        <f>$B$3 + ((Table13[[#This Row],[Level]] / 10) + $B$3 / 8) * Table13[[#This Row],[Level]] + Equipment!$Z$10</f>
        <v>42.4</v>
      </c>
      <c r="C10" s="1">
        <f>2 * Table13[[#This Row],[INT]]</f>
        <v>36</v>
      </c>
      <c r="D10" s="1">
        <f>$D$3 + ($D$3 / 4) * Table13[[#This Row],[Level]] + Equipment!$AA$10</f>
        <v>28</v>
      </c>
      <c r="E10" s="1">
        <f>$E$3 + ($E$3 / 4) * Table13[[#This Row],[Level]] + Equipment!$AB$10</f>
        <v>21</v>
      </c>
      <c r="F10" s="1">
        <f>$F$3 + ($F$3 / 4) * Table13[[#This Row],[Level]] + Equipment!$AC$10</f>
        <v>25</v>
      </c>
      <c r="G10" s="1">
        <f>$G$3 + ($G$3 / 4) * Table13[[#This Row],[Level]] + Equipment!$AD$10</f>
        <v>18</v>
      </c>
      <c r="H10" s="1">
        <f>$H$3 + ($H$3 / 4) * Table13[[#This Row],[Level]] + Equipment!$AE$10</f>
        <v>21</v>
      </c>
      <c r="I10" s="1">
        <f xml:space="preserve"> (4 * (Table13[[#This Row],[Level]] ^ 3))/7 + $I$3</f>
        <v>392.57142857142856</v>
      </c>
      <c r="K10" s="14">
        <f>CEILING('Blue Slime'!$B$5/ IF('Blue Slime'!$D$5&lt; 10.8, Table13[[#This Row],[STR]], Table13[[#This Row],[STR]] / ('Blue Slime'!$D$5 / 10.8)), 1)</f>
        <v>1</v>
      </c>
      <c r="L10" s="14">
        <f>CEILING('Green Slime'!$B$5/ IF('Green Slime'!$D$5&lt; 10.8, Table13[[#This Row],[STR]], Table13[[#This Row],[STR]] / ('Green Slime'!$D$5 / 10.8)), 1)</f>
        <v>2</v>
      </c>
      <c r="M10" s="14">
        <f>CEILING(Wolf!$B$6/ IF(Wolf!$D$6&lt; 10.8, Table13[[#This Row],[STR]], Table13[[#This Row],[STR]] / (Wolf!$D$6 / 10.8)), 1)</f>
        <v>3</v>
      </c>
      <c r="N10" s="14">
        <f>CEILING('Horned Wolf'!$B$5/ IF('Horned Wolf'!$D$5&lt; 10.8, Table13[[#This Row],[STR]], Table13[[#This Row],[STR]] / ('Horned Wolf'!$D$5 / 10.8)), 1)</f>
        <v>8</v>
      </c>
      <c r="O10" s="8">
        <f>CEILING(Spider!$B$7/ IF(Spider!$D$7&lt; 10.8, Table13[[#This Row],[STR]], Table13[[#This Row],[STR]] / (Spider!$D$7 / 10.8)), 1)</f>
        <v>8</v>
      </c>
      <c r="P10" s="8">
        <f>CEILING('Evolved Spider'!$B$8/ IF('Evolved Spider'!$D$8&lt; 10.8, Table13[[#This Row],[STR]], Table13[[#This Row],[STR]] / ('Evolved Spider'!$D$8 / 10.8)), 1)</f>
        <v>15</v>
      </c>
      <c r="Q10" s="8">
        <f>CEILING(Arachne!$B$4/ IF(Arachne!$D$4&lt; 10.8, Table13[[#This Row],[STR]], Table13[[#This Row],[STR]] / (Arachne!$D$4 / 10.8)), 1)</f>
        <v>20</v>
      </c>
      <c r="R10" s="12">
        <f>CEILING('Earth Elemental'!$B$6/ IF('Earth Elemental'!$D$6&lt; 10.8, Table13[[#This Row],[STR]], Table13[[#This Row],[STR]] / ('Earth Elemental'!$D$6 / 10.8)), 1)</f>
        <v>21</v>
      </c>
      <c r="S10" s="12">
        <f>CEILING('Wind Elemental'!$B$6/ IF('Wind Elemental'!$D$6&lt; 10.8, Table13[[#This Row],[STR]], Table13[[#This Row],[STR]] / ('Wind Elemental'!$D$6 / 10.8)), 1)</f>
        <v>18</v>
      </c>
      <c r="T10" s="12">
        <f>CEILING('Water Elemental'!$B$6/ IF('Water Elemental'!$D$6&lt; 10.8, Table13[[#This Row],[STR]], Table13[[#This Row],[STR]] / ('Water Elemental'!$D$6 / 10.8)), 1)</f>
        <v>28</v>
      </c>
      <c r="U10" s="12">
        <f>CEILING('Fire Elemental'!$B$4/ IF('Fire Elemental'!$D$4&lt; 10.8, Table13[[#This Row],[STR]], Table13[[#This Row],[STR]] / ('Fire Elemental'!$D$4 / 10.8)), 1)</f>
        <v>35</v>
      </c>
      <c r="V10" s="12">
        <f>CEILING(Wyvern!$B$4/ IF(Wyvern!$D$4&lt; 10.8, Table13[[#This Row],[STR]], Table13[[#This Row],[STR]] / (Wyvern!$D$4 / 10.8)), 1)</f>
        <v>47</v>
      </c>
      <c r="W10" s="12">
        <f>CEILING('Evolved Wyvern'!$B$4/ IF('Evolved Wyvern'!$D$4&lt; 10.8, Table13[[#This Row],[STR]], Table13[[#This Row],[STR]] / ('Evolved Wyvern'!$D$4 / 10.8)), 1)</f>
        <v>65</v>
      </c>
      <c r="X10" s="12">
        <f>CEILING(Dragon!$B$4/ IF(Dragon!$D$4&lt; 10.8, Table13[[#This Row],[STR]], Table13[[#This Row],[STR]] / (Dragon!$D$4 / 10.8)), 1)</f>
        <v>107</v>
      </c>
      <c r="Z10" s="14">
        <f>CEILING('Blue Slime'!$M$5/ IF('Blue Slime'!$O$5&lt; 10.8, Table13[[#This Row],[STR]], Table13[[#This Row],[STR]] / ('Blue Slime'!$O$5 / 10.8)), 1)</f>
        <v>2</v>
      </c>
      <c r="AA10" s="14">
        <f>CEILING('Green Slime'!$M$5/ IF('Green Slime'!$O$5&lt; 10.8, Table13[[#This Row],[STR]], Table13[[#This Row],[STR]] / ('Green Slime'!$O$5 / 10.8)), 1)</f>
        <v>3</v>
      </c>
      <c r="AB10" s="14">
        <f>CEILING(Wolf!$M$6/ IF(Wolf!$O$6&lt; 10.8, Table13[[#This Row],[STR]], Table13[[#This Row],[STR]] / (Wolf!$O$6 / 10.8)), 1)</f>
        <v>7</v>
      </c>
      <c r="AC10" s="14">
        <f>CEILING('Horned Wolf'!$M$5/ IF('Horned Wolf'!$O$5&lt; 10.8, Table13[[#This Row],[STR]], Table13[[#This Row],[STR]] / ('Horned Wolf'!$O$5 / 10.8)), 1)</f>
        <v>17</v>
      </c>
      <c r="AD10" s="8">
        <f>CEILING(Spider!$M$7/ IF(Spider!$O$7&lt; 10.8, Table13[[#This Row],[STR]], Table13[[#This Row],[STR]] / (Spider!$O$7 / 10.8)), 1)</f>
        <v>16</v>
      </c>
      <c r="AE10" s="8">
        <f>CEILING('Evolved Spider'!$M$8/ IF('Evolved Spider'!$O$8&lt; 10.8, Table13[[#This Row],[STR]], Table13[[#This Row],[STR]] / ('Evolved Spider'!$O$8 / 10.8)), 1)</f>
        <v>29</v>
      </c>
      <c r="AF10" s="8">
        <f>CEILING(Arachne!$M$4/ IF(Arachne!$O$4&lt; 10.8, Table13[[#This Row],[STR]], Table13[[#This Row],[STR]] / (Arachne!$O$4 / 10.8)), 1)</f>
        <v>39</v>
      </c>
      <c r="AG10" s="12">
        <f>CEILING('Earth Elemental'!$M$6/ IF('Earth Elemental'!$O$6&lt; 10.8, Table13[[#This Row],[STR]], Table13[[#This Row],[STR]] / ('Earth Elemental'!$O$6 / 10.8)), 1)</f>
        <v>36</v>
      </c>
      <c r="AH10" s="12">
        <f>CEILING('Wind Elemental'!$M$6/ IF('Wind Elemental'!$O$6&lt; 10.8, Table13[[#This Row],[STR]], Table13[[#This Row],[STR]] / ('Wind Elemental'!$O$6 / 10.8)), 1)</f>
        <v>29</v>
      </c>
      <c r="AI10" s="12">
        <f>CEILING('Water Elemental'!$M$6/ IF('Water Elemental'!$O$6&lt; 10.8, Table13[[#This Row],[STR]], Table13[[#This Row],[STR]] / ('Water Elemental'!$O$6 / 10.8)), 1)</f>
        <v>42</v>
      </c>
      <c r="AJ10" s="12">
        <f>CEILING('Fire Elemental'!$M$4/ IF('Fire Elemental'!$O$4&lt; 10.8, Table13[[#This Row],[STR]], Table13[[#This Row],[STR]] / ('Fire Elemental'!$O$4 / 10.8)), 1)</f>
        <v>61</v>
      </c>
      <c r="AK10" s="12">
        <f>CEILING(Wyvern!$M$4/ IF(Wyvern!$O$4&lt; 10.8, Table13[[#This Row],[STR]], Table13[[#This Row],[STR]] / (Wyvern!$O$4 / 10.8)), 1)</f>
        <v>78</v>
      </c>
      <c r="AL10" s="12">
        <f>CEILING('Evolved Wyvern'!$M$4/ IF('Evolved Wyvern'!$O$4&lt; 10.8, Table13[[#This Row],[STR]], Table13[[#This Row],[STR]] / ('Evolved Wyvern'!$O$4 / 10.8)), 1)</f>
        <v>103</v>
      </c>
      <c r="AM10" s="12">
        <f>CEILING(Dragon!$M$4/ IF(Dragon!$O$4&lt; 10.8, Table13[[#This Row],[STR]], Table13[[#This Row],[STR]] / (Dragon!$O$4 / 10.8)), 1)</f>
        <v>172</v>
      </c>
      <c r="AO10" s="14">
        <f>CEILING('Blue Slime'!$Z$5/ IF('Blue Slime'!$X$5&lt; 10.8, Table13[[#This Row],[STR]], Table13[[#This Row],[STR]] / ('Blue Slime'!$X$5 / 10.8)), 1)</f>
        <v>3</v>
      </c>
      <c r="AP10" s="14">
        <f>CEILING('Green Slime'!$Z$5/ IF('Green Slime'!$X$5&lt; 10.8, Table13[[#This Row],[STR]], Table13[[#This Row],[STR]] / ('Green Slime'!$X$5 / 10.8)), 1)</f>
        <v>4</v>
      </c>
      <c r="AQ10" s="14">
        <f>CEILING(Wolf!$Z$6/ IF(Wolf!$X$6&lt; 10.8, Table13[[#This Row],[STR]], Table13[[#This Row],[STR]] / (Wolf!$X$6 / 10.8)), 1)</f>
        <v>11</v>
      </c>
      <c r="AR10" s="14">
        <f>CEILING('Horned Wolf'!$Z$5/ IF('Horned Wolf'!$X$5&lt; 10.8, Table13[[#This Row],[STR]], Table13[[#This Row],[STR]] / ('Horned Wolf'!$X$5 / 10.8)), 1)</f>
        <v>30</v>
      </c>
      <c r="AS10" s="8">
        <f>CEILING(Spider!$Z$7/ IF(Spider!$X$7&lt; 10.8, Table13[[#This Row],[STR]], Table13[[#This Row],[STR]] / (Spider!$X$7 / 10.8)), 1)</f>
        <v>26</v>
      </c>
      <c r="AT10" s="8">
        <f>CEILING('Evolved Spider'!$Z$8/ IF('Evolved Spider'!$X$8&lt; 10.8, Table13[[#This Row],[STR]], Table13[[#This Row],[STR]] / ('Evolved Spider'!$X$8 / 10.8)), 1)</f>
        <v>47</v>
      </c>
      <c r="AU10" s="8">
        <f>CEILING(Arachne!$Z$4/ IF(Arachne!$X$4&lt; 10.8, Table13[[#This Row],[STR]], Table13[[#This Row],[STR]] / (Arachne!$X$4 / 10.8)), 1)</f>
        <v>64</v>
      </c>
      <c r="AV10" s="12">
        <f>CEILING('Earth Elemental'!$Z$6/ IF('Earth Elemental'!$X$6&lt; 10.8, Table13[[#This Row],[STR]], Table13[[#This Row],[STR]] / ('Earth Elemental'!$X$6 / 10.8)), 1)</f>
        <v>54</v>
      </c>
      <c r="AW10" s="12">
        <f>CEILING('Wind Elemental'!$Z$6/ IF('Wind Elemental'!$X$6&lt; 10.8, Table13[[#This Row],[STR]], Table13[[#This Row],[STR]] / ('Wind Elemental'!$X$6 / 10.8)), 1)</f>
        <v>42</v>
      </c>
      <c r="AX10" s="12">
        <f>CEILING('Water Elemental'!$Z$6/ IF('Water Elemental'!$X$6&lt; 10.8, Table13[[#This Row],[STR]], Table13[[#This Row],[STR]] / ('Water Elemental'!$X$6 / 10.8)), 1)</f>
        <v>58</v>
      </c>
      <c r="AY10" s="12">
        <f>CEILING('Fire Elemental'!$Z$4/ IF('Fire Elemental'!$X$4&lt; 10.8, Table13[[#This Row],[STR]], Table13[[#This Row],[STR]] / ('Fire Elemental'!$X$4 / 10.8)), 1)</f>
        <v>94</v>
      </c>
      <c r="AZ10" s="12">
        <f>CEILING(Wyvern!$Z$4/ IF(Wyvern!$X$4&lt; 10.8, Table13[[#This Row],[STR]], Table13[[#This Row],[STR]] / (Wyvern!$X$4 / 10.8)), 1)</f>
        <v>113</v>
      </c>
      <c r="BA10" s="12">
        <f>CEILING('Evolved Wyvern'!$Z$4/ IF('Evolved Wyvern'!$X$4&lt; 10.8, Table13[[#This Row],[STR]], Table13[[#This Row],[STR]] / ('Evolved Wyvern'!$X$4 / 10.8)), 1)</f>
        <v>145</v>
      </c>
      <c r="BB10" s="12">
        <f>CEILING(Dragon!$Z$4/ IF(Dragon!$X$4&lt; 10.8, Table13[[#This Row],[STR]], Table13[[#This Row],[STR]] / (Dragon!$X$4 / 10.8)), 1)</f>
        <v>244</v>
      </c>
    </row>
    <row r="11" spans="1:54" x14ac:dyDescent="0.3">
      <c r="A11" s="1">
        <v>9</v>
      </c>
      <c r="B11" s="1">
        <f>$B$3 + ((Table13[[#This Row],[Level]] / 10) + $B$3 / 8) * Table13[[#This Row],[Level]] + Equipment!$Z$10</f>
        <v>45.849999999999994</v>
      </c>
      <c r="C11" s="1">
        <f>2 * Table13[[#This Row],[INT]]</f>
        <v>38.5</v>
      </c>
      <c r="D11" s="1">
        <f>$D$3 + ($D$3 / 4) * Table13[[#This Row],[Level]] + Equipment!$AA$10</f>
        <v>30</v>
      </c>
      <c r="E11" s="1">
        <f>$E$3 + ($E$3 / 4) * Table13[[#This Row],[Level]] + Equipment!$AB$10</f>
        <v>22.5</v>
      </c>
      <c r="F11" s="1">
        <f>$F$3 + ($F$3 / 4) * Table13[[#This Row],[Level]] + Equipment!$AC$10</f>
        <v>26.75</v>
      </c>
      <c r="G11" s="1">
        <f>$G$3 + ($G$3 / 4) * Table13[[#This Row],[Level]] + Equipment!$AD$10</f>
        <v>19.25</v>
      </c>
      <c r="H11" s="1">
        <f>$H$3 + ($H$3 / 4) * Table13[[#This Row],[Level]] + Equipment!$AE$10</f>
        <v>22.5</v>
      </c>
      <c r="I11" s="1">
        <f xml:space="preserve"> (4 * (Table13[[#This Row],[Level]] ^ 3))/7 + $I$3</f>
        <v>516.57142857142856</v>
      </c>
      <c r="K11" s="8">
        <f>CEILING('Blue Slime'!$B$5/ IF('Blue Slime'!$D$5&lt; 10.8, Table13[[#This Row],[STR]], Table13[[#This Row],[STR]] / ('Blue Slime'!$D$5 / 10.8)), 1)</f>
        <v>1</v>
      </c>
      <c r="L11" s="8">
        <f>CEILING('Green Slime'!$B$5/ IF('Green Slime'!$D$5&lt; 10.8, Table13[[#This Row],[STR]], Table13[[#This Row],[STR]] / ('Green Slime'!$D$5 / 10.8)), 1)</f>
        <v>2</v>
      </c>
      <c r="M11" s="8">
        <f>CEILING(Wolf!$B$6/ IF(Wolf!$D$6&lt; 10.8, Table13[[#This Row],[STR]], Table13[[#This Row],[STR]] / (Wolf!$D$6 / 10.8)), 1)</f>
        <v>3</v>
      </c>
      <c r="N11" s="8">
        <f>CEILING('Horned Wolf'!$B$5/ IF('Horned Wolf'!$D$5&lt; 10.8, Table13[[#This Row],[STR]], Table13[[#This Row],[STR]] / ('Horned Wolf'!$D$5 / 10.8)), 1)</f>
        <v>8</v>
      </c>
      <c r="O11" s="14">
        <f>CEILING(Spider!$B$7/ IF(Spider!$D$7&lt; 10.8, Table13[[#This Row],[STR]], Table13[[#This Row],[STR]] / (Spider!$D$7 / 10.8)), 1)</f>
        <v>7</v>
      </c>
      <c r="P11" s="14">
        <f>CEILING('Evolved Spider'!$B$8/ IF('Evolved Spider'!$D$8&lt; 10.8, Table13[[#This Row],[STR]], Table13[[#This Row],[STR]] / ('Evolved Spider'!$D$8 / 10.8)), 1)</f>
        <v>14</v>
      </c>
      <c r="Q11" s="14">
        <f>CEILING(Arachne!$B$4/ IF(Arachne!$D$4&lt; 10.8, Table13[[#This Row],[STR]], Table13[[#This Row],[STR]] / (Arachne!$D$4 / 10.8)), 1)</f>
        <v>19</v>
      </c>
      <c r="R11" s="12">
        <f>CEILING('Earth Elemental'!$B$6/ IF('Earth Elemental'!$D$6&lt; 10.8, Table13[[#This Row],[STR]], Table13[[#This Row],[STR]] / ('Earth Elemental'!$D$6 / 10.8)), 1)</f>
        <v>19</v>
      </c>
      <c r="S11" s="12">
        <f>CEILING('Wind Elemental'!$B$6/ IF('Wind Elemental'!$D$6&lt; 10.8, Table13[[#This Row],[STR]], Table13[[#This Row],[STR]] / ('Wind Elemental'!$D$6 / 10.8)), 1)</f>
        <v>17</v>
      </c>
      <c r="T11" s="12">
        <f>CEILING('Water Elemental'!$B$6/ IF('Water Elemental'!$D$6&lt; 10.8, Table13[[#This Row],[STR]], Table13[[#This Row],[STR]] / ('Water Elemental'!$D$6 / 10.8)), 1)</f>
        <v>26</v>
      </c>
      <c r="U11" s="12">
        <f>CEILING('Fire Elemental'!$B$4/ IF('Fire Elemental'!$D$4&lt; 10.8, Table13[[#This Row],[STR]], Table13[[#This Row],[STR]] / ('Fire Elemental'!$D$4 / 10.8)), 1)</f>
        <v>33</v>
      </c>
      <c r="V11" s="12">
        <f>CEILING(Wyvern!$B$4/ IF(Wyvern!$D$4&lt; 10.8, Table13[[#This Row],[STR]], Table13[[#This Row],[STR]] / (Wyvern!$D$4 / 10.8)), 1)</f>
        <v>44</v>
      </c>
      <c r="W11" s="12">
        <f>CEILING('Evolved Wyvern'!$B$4/ IF('Evolved Wyvern'!$D$4&lt; 10.8, Table13[[#This Row],[STR]], Table13[[#This Row],[STR]] / ('Evolved Wyvern'!$D$4 / 10.8)), 1)</f>
        <v>61</v>
      </c>
      <c r="X11" s="12">
        <f>CEILING(Dragon!$B$4/ IF(Dragon!$D$4&lt; 10.8, Table13[[#This Row],[STR]], Table13[[#This Row],[STR]] / (Dragon!$D$4 / 10.8)), 1)</f>
        <v>100</v>
      </c>
      <c r="Z11" s="14">
        <f>CEILING('Blue Slime'!$M$5/ IF('Blue Slime'!$O$5&lt; 10.8, Table13[[#This Row],[STR]], Table13[[#This Row],[STR]] / ('Blue Slime'!$O$5 / 10.8)), 1)</f>
        <v>2</v>
      </c>
      <c r="AA11" s="14">
        <f>CEILING('Green Slime'!$M$5/ IF('Green Slime'!$O$5&lt; 10.8, Table13[[#This Row],[STR]], Table13[[#This Row],[STR]] / ('Green Slime'!$O$5 / 10.8)), 1)</f>
        <v>2</v>
      </c>
      <c r="AB11" s="14">
        <f>CEILING(Wolf!$M$6/ IF(Wolf!$O$6&lt; 10.8, Table13[[#This Row],[STR]], Table13[[#This Row],[STR]] / (Wolf!$O$6 / 10.8)), 1)</f>
        <v>6</v>
      </c>
      <c r="AC11" s="14">
        <f>CEILING('Horned Wolf'!$M$5/ IF('Horned Wolf'!$O$5&lt; 10.8, Table13[[#This Row],[STR]], Table13[[#This Row],[STR]] / ('Horned Wolf'!$O$5 / 10.8)), 1)</f>
        <v>16</v>
      </c>
      <c r="AD11" s="8">
        <f>CEILING(Spider!$M$7/ IF(Spider!$O$7&lt; 10.8, Table13[[#This Row],[STR]], Table13[[#This Row],[STR]] / (Spider!$O$7 / 10.8)), 1)</f>
        <v>15</v>
      </c>
      <c r="AE11" s="8">
        <f>CEILING('Evolved Spider'!$M$8/ IF('Evolved Spider'!$O$8&lt; 10.8, Table13[[#This Row],[STR]], Table13[[#This Row],[STR]] / ('Evolved Spider'!$O$8 / 10.8)), 1)</f>
        <v>27</v>
      </c>
      <c r="AF11" s="8">
        <f>CEILING(Arachne!$M$4/ IF(Arachne!$O$4&lt; 10.8, Table13[[#This Row],[STR]], Table13[[#This Row],[STR]] / (Arachne!$O$4 / 10.8)), 1)</f>
        <v>37</v>
      </c>
      <c r="AG11" s="12">
        <f>CEILING('Earth Elemental'!$M$6/ IF('Earth Elemental'!$O$6&lt; 10.8, Table13[[#This Row],[STR]], Table13[[#This Row],[STR]] / ('Earth Elemental'!$O$6 / 10.8)), 1)</f>
        <v>33</v>
      </c>
      <c r="AH11" s="12">
        <f>CEILING('Wind Elemental'!$M$6/ IF('Wind Elemental'!$O$6&lt; 10.8, Table13[[#This Row],[STR]], Table13[[#This Row],[STR]] / ('Wind Elemental'!$O$6 / 10.8)), 1)</f>
        <v>28</v>
      </c>
      <c r="AI11" s="12">
        <f>CEILING('Water Elemental'!$M$6/ IF('Water Elemental'!$O$6&lt; 10.8, Table13[[#This Row],[STR]], Table13[[#This Row],[STR]] / ('Water Elemental'!$O$6 / 10.8)), 1)</f>
        <v>39</v>
      </c>
      <c r="AJ11" s="12">
        <f>CEILING('Fire Elemental'!$M$4/ IF('Fire Elemental'!$O$4&lt; 10.8, Table13[[#This Row],[STR]], Table13[[#This Row],[STR]] / ('Fire Elemental'!$O$4 / 10.8)), 1)</f>
        <v>57</v>
      </c>
      <c r="AK11" s="12">
        <f>CEILING(Wyvern!$M$4/ IF(Wyvern!$O$4&lt; 10.8, Table13[[#This Row],[STR]], Table13[[#This Row],[STR]] / (Wyvern!$O$4 / 10.8)), 1)</f>
        <v>73</v>
      </c>
      <c r="AL11" s="12">
        <f>CEILING('Evolved Wyvern'!$M$4/ IF('Evolved Wyvern'!$O$4&lt; 10.8, Table13[[#This Row],[STR]], Table13[[#This Row],[STR]] / ('Evolved Wyvern'!$O$4 / 10.8)), 1)</f>
        <v>97</v>
      </c>
      <c r="AM11" s="12">
        <f>CEILING(Dragon!$M$4/ IF(Dragon!$O$4&lt; 10.8, Table13[[#This Row],[STR]], Table13[[#This Row],[STR]] / (Dragon!$O$4 / 10.8)), 1)</f>
        <v>161</v>
      </c>
      <c r="AO11" s="14">
        <f>CEILING('Blue Slime'!$Z$5/ IF('Blue Slime'!$X$5&lt; 10.8, Table13[[#This Row],[STR]], Table13[[#This Row],[STR]] / ('Blue Slime'!$X$5 / 10.8)), 1)</f>
        <v>2</v>
      </c>
      <c r="AP11" s="14">
        <f>CEILING('Green Slime'!$Z$5/ IF('Green Slime'!$X$5&lt; 10.8, Table13[[#This Row],[STR]], Table13[[#This Row],[STR]] / ('Green Slime'!$X$5 / 10.8)), 1)</f>
        <v>4</v>
      </c>
      <c r="AQ11" s="14">
        <f>CEILING(Wolf!$Z$6/ IF(Wolf!$X$6&lt; 10.8, Table13[[#This Row],[STR]], Table13[[#This Row],[STR]] / (Wolf!$X$6 / 10.8)), 1)</f>
        <v>10</v>
      </c>
      <c r="AR11" s="14">
        <f>CEILING('Horned Wolf'!$Z$5/ IF('Horned Wolf'!$X$5&lt; 10.8, Table13[[#This Row],[STR]], Table13[[#This Row],[STR]] / ('Horned Wolf'!$X$5 / 10.8)), 1)</f>
        <v>28</v>
      </c>
      <c r="AS11" s="8">
        <f>CEILING(Spider!$Z$7/ IF(Spider!$X$7&lt; 10.8, Table13[[#This Row],[STR]], Table13[[#This Row],[STR]] / (Spider!$X$7 / 10.8)), 1)</f>
        <v>25</v>
      </c>
      <c r="AT11" s="8">
        <f>CEILING('Evolved Spider'!$Z$8/ IF('Evolved Spider'!$X$8&lt; 10.8, Table13[[#This Row],[STR]], Table13[[#This Row],[STR]] / ('Evolved Spider'!$X$8 / 10.8)), 1)</f>
        <v>44</v>
      </c>
      <c r="AU11" s="8">
        <f>CEILING(Arachne!$Z$4/ IF(Arachne!$X$4&lt; 10.8, Table13[[#This Row],[STR]], Table13[[#This Row],[STR]] / (Arachne!$X$4 / 10.8)), 1)</f>
        <v>60</v>
      </c>
      <c r="AV11" s="12">
        <f>CEILING('Earth Elemental'!$Z$6/ IF('Earth Elemental'!$X$6&lt; 10.8, Table13[[#This Row],[STR]], Table13[[#This Row],[STR]] / ('Earth Elemental'!$X$6 / 10.8)), 1)</f>
        <v>51</v>
      </c>
      <c r="AW11" s="12">
        <f>CEILING('Wind Elemental'!$Z$6/ IF('Wind Elemental'!$X$6&lt; 10.8, Table13[[#This Row],[STR]], Table13[[#This Row],[STR]] / ('Wind Elemental'!$X$6 / 10.8)), 1)</f>
        <v>39</v>
      </c>
      <c r="AX11" s="12">
        <f>CEILING('Water Elemental'!$Z$6/ IF('Water Elemental'!$X$6&lt; 10.8, Table13[[#This Row],[STR]], Table13[[#This Row],[STR]] / ('Water Elemental'!$X$6 / 10.8)), 1)</f>
        <v>54</v>
      </c>
      <c r="AY11" s="12">
        <f>CEILING('Fire Elemental'!$Z$4/ IF('Fire Elemental'!$X$4&lt; 10.8, Table13[[#This Row],[STR]], Table13[[#This Row],[STR]] / ('Fire Elemental'!$X$4 / 10.8)), 1)</f>
        <v>88</v>
      </c>
      <c r="AZ11" s="12">
        <f>CEILING(Wyvern!$Z$4/ IF(Wyvern!$X$4&lt; 10.8, Table13[[#This Row],[STR]], Table13[[#This Row],[STR]] / (Wyvern!$X$4 / 10.8)), 1)</f>
        <v>106</v>
      </c>
      <c r="BA11" s="12">
        <f>CEILING('Evolved Wyvern'!$Z$4/ IF('Evolved Wyvern'!$X$4&lt; 10.8, Table13[[#This Row],[STR]], Table13[[#This Row],[STR]] / ('Evolved Wyvern'!$X$4 / 10.8)), 1)</f>
        <v>136</v>
      </c>
      <c r="BB11" s="12">
        <f>CEILING(Dragon!$Z$4/ IF(Dragon!$X$4&lt; 10.8, Table13[[#This Row],[STR]], Table13[[#This Row],[STR]] / (Dragon!$X$4 / 10.8)), 1)</f>
        <v>228</v>
      </c>
    </row>
    <row r="12" spans="1:54" x14ac:dyDescent="0.3">
      <c r="A12" s="1">
        <v>10</v>
      </c>
      <c r="B12" s="1">
        <f>$B$3 + ((Table13[[#This Row],[Level]] / 10) + $B$3 / 8) * Table13[[#This Row],[Level]] + Equipment!$Z$10</f>
        <v>49.5</v>
      </c>
      <c r="C12" s="1">
        <f>2 * Table13[[#This Row],[INT]]</f>
        <v>41</v>
      </c>
      <c r="D12" s="1">
        <f>$D$3 + ($D$3 / 4) * Table13[[#This Row],[Level]] + Equipment!$AA$10</f>
        <v>32</v>
      </c>
      <c r="E12" s="1">
        <f>$E$3 + ($E$3 / 4) * Table13[[#This Row],[Level]] + Equipment!$AB$10</f>
        <v>24</v>
      </c>
      <c r="F12" s="1">
        <f>$F$3 + ($F$3 / 4) * Table13[[#This Row],[Level]] + Equipment!$AC$10</f>
        <v>28.5</v>
      </c>
      <c r="G12" s="1">
        <f>$G$3 + ($G$3 / 4) * Table13[[#This Row],[Level]] + Equipment!$AD$10</f>
        <v>20.5</v>
      </c>
      <c r="H12" s="1">
        <f>$H$3 + ($H$3 / 4) * Table13[[#This Row],[Level]] + Equipment!$AE$10</f>
        <v>24</v>
      </c>
      <c r="I12" s="1">
        <f xml:space="preserve"> (4 * (Table13[[#This Row],[Level]] ^ 3))/7 + $I$3</f>
        <v>671.42857142857144</v>
      </c>
      <c r="K12" s="8">
        <f>CEILING('Blue Slime'!$B$5/ IF('Blue Slime'!$D$5&lt; 10.8, Table13[[#This Row],[STR]], Table13[[#This Row],[STR]] / ('Blue Slime'!$D$5 / 10.8)), 1)</f>
        <v>1</v>
      </c>
      <c r="L12" s="8">
        <f>CEILING('Green Slime'!$B$5/ IF('Green Slime'!$D$5&lt; 10.8, Table13[[#This Row],[STR]], Table13[[#This Row],[STR]] / ('Green Slime'!$D$5 / 10.8)), 1)</f>
        <v>1</v>
      </c>
      <c r="M12" s="8">
        <f>CEILING(Wolf!$B$6/ IF(Wolf!$D$6&lt; 10.8, Table13[[#This Row],[STR]], Table13[[#This Row],[STR]] / (Wolf!$D$6 / 10.8)), 1)</f>
        <v>3</v>
      </c>
      <c r="N12" s="8">
        <f>CEILING('Horned Wolf'!$B$5/ IF('Horned Wolf'!$D$5&lt; 10.8, Table13[[#This Row],[STR]], Table13[[#This Row],[STR]] / ('Horned Wolf'!$D$5 / 10.8)), 1)</f>
        <v>7</v>
      </c>
      <c r="O12" s="14">
        <f>CEILING(Spider!$B$7/ IF(Spider!$D$7&lt; 10.8, Table13[[#This Row],[STR]], Table13[[#This Row],[STR]] / (Spider!$D$7 / 10.8)), 1)</f>
        <v>7</v>
      </c>
      <c r="P12" s="14">
        <f>CEILING('Evolved Spider'!$B$8/ IF('Evolved Spider'!$D$8&lt; 10.8, Table13[[#This Row],[STR]], Table13[[#This Row],[STR]] / ('Evolved Spider'!$D$8 / 10.8)), 1)</f>
        <v>13</v>
      </c>
      <c r="Q12" s="14">
        <f>CEILING(Arachne!$B$4/ IF(Arachne!$D$4&lt; 10.8, Table13[[#This Row],[STR]], Table13[[#This Row],[STR]] / (Arachne!$D$4 / 10.8)), 1)</f>
        <v>18</v>
      </c>
      <c r="R12" s="12">
        <f>CEILING('Earth Elemental'!$B$6/ IF('Earth Elemental'!$D$6&lt; 10.8, Table13[[#This Row],[STR]], Table13[[#This Row],[STR]] / ('Earth Elemental'!$D$6 / 10.8)), 1)</f>
        <v>18</v>
      </c>
      <c r="S12" s="12">
        <f>CEILING('Wind Elemental'!$B$6/ IF('Wind Elemental'!$D$6&lt; 10.8, Table13[[#This Row],[STR]], Table13[[#This Row],[STR]] / ('Wind Elemental'!$D$6 / 10.8)), 1)</f>
        <v>16</v>
      </c>
      <c r="T12" s="12">
        <f>CEILING('Water Elemental'!$B$6/ IF('Water Elemental'!$D$6&lt; 10.8, Table13[[#This Row],[STR]], Table13[[#This Row],[STR]] / ('Water Elemental'!$D$6 / 10.8)), 1)</f>
        <v>24</v>
      </c>
      <c r="U12" s="12">
        <f>CEILING('Fire Elemental'!$B$4/ IF('Fire Elemental'!$D$4&lt; 10.8, Table13[[#This Row],[STR]], Table13[[#This Row],[STR]] / ('Fire Elemental'!$D$4 / 10.8)), 1)</f>
        <v>31</v>
      </c>
      <c r="V12" s="12">
        <f>CEILING(Wyvern!$B$4/ IF(Wyvern!$D$4&lt; 10.8, Table13[[#This Row],[STR]], Table13[[#This Row],[STR]] / (Wyvern!$D$4 / 10.8)), 1)</f>
        <v>42</v>
      </c>
      <c r="W12" s="12">
        <f>CEILING('Evolved Wyvern'!$B$4/ IF('Evolved Wyvern'!$D$4&lt; 10.8, Table13[[#This Row],[STR]], Table13[[#This Row],[STR]] / ('Evolved Wyvern'!$D$4 / 10.8)), 1)</f>
        <v>57</v>
      </c>
      <c r="X12" s="12">
        <f>CEILING(Dragon!$B$4/ IF(Dragon!$D$4&lt; 10.8, Table13[[#This Row],[STR]], Table13[[#This Row],[STR]] / (Dragon!$D$4 / 10.8)), 1)</f>
        <v>94</v>
      </c>
      <c r="Z12" s="14">
        <f>CEILING('Blue Slime'!$M$5/ IF('Blue Slime'!$O$5&lt; 10.8, Table13[[#This Row],[STR]], Table13[[#This Row],[STR]] / ('Blue Slime'!$O$5 / 10.8)), 1)</f>
        <v>2</v>
      </c>
      <c r="AA12" s="14">
        <f>CEILING('Green Slime'!$M$5/ IF('Green Slime'!$O$5&lt; 10.8, Table13[[#This Row],[STR]], Table13[[#This Row],[STR]] / ('Green Slime'!$O$5 / 10.8)), 1)</f>
        <v>2</v>
      </c>
      <c r="AB12" s="14">
        <f>CEILING(Wolf!$M$6/ IF(Wolf!$O$6&lt; 10.8, Table13[[#This Row],[STR]], Table13[[#This Row],[STR]] / (Wolf!$O$6 / 10.8)), 1)</f>
        <v>6</v>
      </c>
      <c r="AC12" s="14">
        <f>CEILING('Horned Wolf'!$M$5/ IF('Horned Wolf'!$O$5&lt; 10.8, Table13[[#This Row],[STR]], Table13[[#This Row],[STR]] / ('Horned Wolf'!$O$5 / 10.8)), 1)</f>
        <v>15</v>
      </c>
      <c r="AD12" s="8">
        <f>CEILING(Spider!$M$7/ IF(Spider!$O$7&lt; 10.8, Table13[[#This Row],[STR]], Table13[[#This Row],[STR]] / (Spider!$O$7 / 10.8)), 1)</f>
        <v>14</v>
      </c>
      <c r="AE12" s="8">
        <f>CEILING('Evolved Spider'!$M$8/ IF('Evolved Spider'!$O$8&lt; 10.8, Table13[[#This Row],[STR]], Table13[[#This Row],[STR]] / ('Evolved Spider'!$O$8 / 10.8)), 1)</f>
        <v>26</v>
      </c>
      <c r="AF12" s="8">
        <f>CEILING(Arachne!$M$4/ IF(Arachne!$O$4&lt; 10.8, Table13[[#This Row],[STR]], Table13[[#This Row],[STR]] / (Arachne!$O$4 / 10.8)), 1)</f>
        <v>34</v>
      </c>
      <c r="AG12" s="12">
        <f>CEILING('Earth Elemental'!$M$6/ IF('Earth Elemental'!$O$6&lt; 10.8, Table13[[#This Row],[STR]], Table13[[#This Row],[STR]] / ('Earth Elemental'!$O$6 / 10.8)), 1)</f>
        <v>31</v>
      </c>
      <c r="AH12" s="12">
        <f>CEILING('Wind Elemental'!$M$6/ IF('Wind Elemental'!$O$6&lt; 10.8, Table13[[#This Row],[STR]], Table13[[#This Row],[STR]] / ('Wind Elemental'!$O$6 / 10.8)), 1)</f>
        <v>26</v>
      </c>
      <c r="AI12" s="12">
        <f>CEILING('Water Elemental'!$M$6/ IF('Water Elemental'!$O$6&lt; 10.8, Table13[[#This Row],[STR]], Table13[[#This Row],[STR]] / ('Water Elemental'!$O$6 / 10.8)), 1)</f>
        <v>37</v>
      </c>
      <c r="AJ12" s="12">
        <f>CEILING('Fire Elemental'!$M$4/ IF('Fire Elemental'!$O$4&lt; 10.8, Table13[[#This Row],[STR]], Table13[[#This Row],[STR]] / ('Fire Elemental'!$O$4 / 10.8)), 1)</f>
        <v>54</v>
      </c>
      <c r="AK12" s="12">
        <f>CEILING(Wyvern!$M$4/ IF(Wyvern!$O$4&lt; 10.8, Table13[[#This Row],[STR]], Table13[[#This Row],[STR]] / (Wyvern!$O$4 / 10.8)), 1)</f>
        <v>68</v>
      </c>
      <c r="AL12" s="12">
        <f>CEILING('Evolved Wyvern'!$M$4/ IF('Evolved Wyvern'!$O$4&lt; 10.8, Table13[[#This Row],[STR]], Table13[[#This Row],[STR]] / ('Evolved Wyvern'!$O$4 / 10.8)), 1)</f>
        <v>91</v>
      </c>
      <c r="AM12" s="12">
        <f>CEILING(Dragon!$M$4/ IF(Dragon!$O$4&lt; 10.8, Table13[[#This Row],[STR]], Table13[[#This Row],[STR]] / (Dragon!$O$4 / 10.8)), 1)</f>
        <v>151</v>
      </c>
      <c r="AO12" s="14">
        <f>CEILING('Blue Slime'!$Z$5/ IF('Blue Slime'!$X$5&lt; 10.8, Table13[[#This Row],[STR]], Table13[[#This Row],[STR]] / ('Blue Slime'!$X$5 / 10.8)), 1)</f>
        <v>2</v>
      </c>
      <c r="AP12" s="14">
        <f>CEILING('Green Slime'!$Z$5/ IF('Green Slime'!$X$5&lt; 10.8, Table13[[#This Row],[STR]], Table13[[#This Row],[STR]] / ('Green Slime'!$X$5 / 10.8)), 1)</f>
        <v>4</v>
      </c>
      <c r="AQ12" s="14">
        <f>CEILING(Wolf!$Z$6/ IF(Wolf!$X$6&lt; 10.8, Table13[[#This Row],[STR]], Table13[[#This Row],[STR]] / (Wolf!$X$6 / 10.8)), 1)</f>
        <v>10</v>
      </c>
      <c r="AR12" s="14">
        <f>CEILING('Horned Wolf'!$Z$5/ IF('Horned Wolf'!$X$5&lt; 10.8, Table13[[#This Row],[STR]], Table13[[#This Row],[STR]] / ('Horned Wolf'!$X$5 / 10.8)), 1)</f>
        <v>26</v>
      </c>
      <c r="AS12" s="8">
        <f>CEILING(Spider!$Z$7/ IF(Spider!$X$7&lt; 10.8, Table13[[#This Row],[STR]], Table13[[#This Row],[STR]] / (Spider!$X$7 / 10.8)), 1)</f>
        <v>23</v>
      </c>
      <c r="AT12" s="8">
        <f>CEILING('Evolved Spider'!$Z$8/ IF('Evolved Spider'!$X$8&lt; 10.8, Table13[[#This Row],[STR]], Table13[[#This Row],[STR]] / ('Evolved Spider'!$X$8 / 10.8)), 1)</f>
        <v>42</v>
      </c>
      <c r="AU12" s="8">
        <f>CEILING(Arachne!$Z$4/ IF(Arachne!$X$4&lt; 10.8, Table13[[#This Row],[STR]], Table13[[#This Row],[STR]] / (Arachne!$X$4 / 10.8)), 1)</f>
        <v>57</v>
      </c>
      <c r="AV12" s="12">
        <f>CEILING('Earth Elemental'!$Z$6/ IF('Earth Elemental'!$X$6&lt; 10.8, Table13[[#This Row],[STR]], Table13[[#This Row],[STR]] / ('Earth Elemental'!$X$6 / 10.8)), 1)</f>
        <v>47</v>
      </c>
      <c r="AW12" s="12">
        <f>CEILING('Wind Elemental'!$Z$6/ IF('Wind Elemental'!$X$6&lt; 10.8, Table13[[#This Row],[STR]], Table13[[#This Row],[STR]] / ('Wind Elemental'!$X$6 / 10.8)), 1)</f>
        <v>37</v>
      </c>
      <c r="AX12" s="12">
        <f>CEILING('Water Elemental'!$Z$6/ IF('Water Elemental'!$X$6&lt; 10.8, Table13[[#This Row],[STR]], Table13[[#This Row],[STR]] / ('Water Elemental'!$X$6 / 10.8)), 1)</f>
        <v>51</v>
      </c>
      <c r="AY12" s="12">
        <f>CEILING('Fire Elemental'!$Z$4/ IF('Fire Elemental'!$X$4&lt; 10.8, Table13[[#This Row],[STR]], Table13[[#This Row],[STR]] / ('Fire Elemental'!$X$4 / 10.8)), 1)</f>
        <v>82</v>
      </c>
      <c r="AZ12" s="12">
        <f>CEILING(Wyvern!$Z$4/ IF(Wyvern!$X$4&lt; 10.8, Table13[[#This Row],[STR]], Table13[[#This Row],[STR]] / (Wyvern!$X$4 / 10.8)), 1)</f>
        <v>99</v>
      </c>
      <c r="BA12" s="12">
        <f>CEILING('Evolved Wyvern'!$Z$4/ IF('Evolved Wyvern'!$X$4&lt; 10.8, Table13[[#This Row],[STR]], Table13[[#This Row],[STR]] / ('Evolved Wyvern'!$X$4 / 10.8)), 1)</f>
        <v>127</v>
      </c>
      <c r="BB12" s="12">
        <f>CEILING(Dragon!$Z$4/ IF(Dragon!$X$4&lt; 10.8, Table13[[#This Row],[STR]], Table13[[#This Row],[STR]] / (Dragon!$X$4 / 10.8)), 1)</f>
        <v>214</v>
      </c>
    </row>
    <row r="13" spans="1:54" x14ac:dyDescent="0.3">
      <c r="A13" s="1">
        <v>11</v>
      </c>
      <c r="B13" s="1">
        <f>$B$3 + ((Table13[[#This Row],[Level]] / 10) + $B$3 / 8) * Table13[[#This Row],[Level]] + Equipment!$Z$10</f>
        <v>53.35</v>
      </c>
      <c r="C13" s="1">
        <f>2 * Table13[[#This Row],[INT]]</f>
        <v>43.5</v>
      </c>
      <c r="D13" s="1">
        <f>$D$3 + ($D$3 / 4) * Table13[[#This Row],[Level]] + Equipment!$AA$10</f>
        <v>34</v>
      </c>
      <c r="E13" s="1">
        <f>$E$3 + ($E$3 / 4) * Table13[[#This Row],[Level]] + Equipment!$AB$10</f>
        <v>25.5</v>
      </c>
      <c r="F13" s="1">
        <f>$F$3 + ($F$3 / 4) * Table13[[#This Row],[Level]] + Equipment!$AC$10</f>
        <v>30.25</v>
      </c>
      <c r="G13" s="1">
        <f>$G$3 + ($G$3 / 4) * Table13[[#This Row],[Level]] + Equipment!$AD$10</f>
        <v>21.75</v>
      </c>
      <c r="H13" s="1">
        <f>$H$3 + ($H$3 / 4) * Table13[[#This Row],[Level]] + Equipment!$AE$10</f>
        <v>25.5</v>
      </c>
      <c r="I13" s="1">
        <f xml:space="preserve"> (4 * (Table13[[#This Row],[Level]] ^ 3))/7 + $I$3</f>
        <v>860.57142857142856</v>
      </c>
      <c r="K13" s="8">
        <f>CEILING('Blue Slime'!$B$5/ IF('Blue Slime'!$D$5&lt; 10.8, Table13[[#This Row],[STR]], Table13[[#This Row],[STR]] / ('Blue Slime'!$D$5 / 10.8)), 1)</f>
        <v>1</v>
      </c>
      <c r="L13" s="8">
        <f>CEILING('Green Slime'!$B$5/ IF('Green Slime'!$D$5&lt; 10.8, Table13[[#This Row],[STR]], Table13[[#This Row],[STR]] / ('Green Slime'!$D$5 / 10.8)), 1)</f>
        <v>1</v>
      </c>
      <c r="M13" s="8">
        <f>CEILING(Wolf!$B$6/ IF(Wolf!$D$6&lt; 10.8, Table13[[#This Row],[STR]], Table13[[#This Row],[STR]] / (Wolf!$D$6 / 10.8)), 1)</f>
        <v>3</v>
      </c>
      <c r="N13" s="8">
        <f>CEILING('Horned Wolf'!$B$5/ IF('Horned Wolf'!$D$5&lt; 10.8, Table13[[#This Row],[STR]], Table13[[#This Row],[STR]] / ('Horned Wolf'!$D$5 / 10.8)), 1)</f>
        <v>7</v>
      </c>
      <c r="O13" s="14">
        <f>CEILING(Spider!$B$7/ IF(Spider!$D$7&lt; 10.8, Table13[[#This Row],[STR]], Table13[[#This Row],[STR]] / (Spider!$D$7 / 10.8)), 1)</f>
        <v>7</v>
      </c>
      <c r="P13" s="14">
        <f>CEILING('Evolved Spider'!$B$8/ IF('Evolved Spider'!$D$8&lt; 10.8, Table13[[#This Row],[STR]], Table13[[#This Row],[STR]] / ('Evolved Spider'!$D$8 / 10.8)), 1)</f>
        <v>13</v>
      </c>
      <c r="Q13" s="14">
        <f>CEILING(Arachne!$B$4/ IF(Arachne!$D$4&lt; 10.8, Table13[[#This Row],[STR]], Table13[[#This Row],[STR]] / (Arachne!$D$4 / 10.8)), 1)</f>
        <v>17</v>
      </c>
      <c r="R13" s="12">
        <f>CEILING('Earth Elemental'!$B$6/ IF('Earth Elemental'!$D$6&lt; 10.8, Table13[[#This Row],[STR]], Table13[[#This Row],[STR]] / ('Earth Elemental'!$D$6 / 10.8)), 1)</f>
        <v>17</v>
      </c>
      <c r="S13" s="12">
        <f>CEILING('Wind Elemental'!$B$6/ IF('Wind Elemental'!$D$6&lt; 10.8, Table13[[#This Row],[STR]], Table13[[#This Row],[STR]] / ('Wind Elemental'!$D$6 / 10.8)), 1)</f>
        <v>15</v>
      </c>
      <c r="T13" s="12">
        <f>CEILING('Water Elemental'!$B$6/ IF('Water Elemental'!$D$6&lt; 10.8, Table13[[#This Row],[STR]], Table13[[#This Row],[STR]] / ('Water Elemental'!$D$6 / 10.8)), 1)</f>
        <v>23</v>
      </c>
      <c r="U13" s="12">
        <f>CEILING('Fire Elemental'!$B$4/ IF('Fire Elemental'!$D$4&lt; 10.8, Table13[[#This Row],[STR]], Table13[[#This Row],[STR]] / ('Fire Elemental'!$D$4 / 10.8)), 1)</f>
        <v>29</v>
      </c>
      <c r="V13" s="12">
        <f>CEILING(Wyvern!$B$4/ IF(Wyvern!$D$4&lt; 10.8, Table13[[#This Row],[STR]], Table13[[#This Row],[STR]] / (Wyvern!$D$4 / 10.8)), 1)</f>
        <v>39</v>
      </c>
      <c r="W13" s="12">
        <f>CEILING('Evolved Wyvern'!$B$4/ IF('Evolved Wyvern'!$D$4&lt; 10.8, Table13[[#This Row],[STR]], Table13[[#This Row],[STR]] / ('Evolved Wyvern'!$D$4 / 10.8)), 1)</f>
        <v>54</v>
      </c>
      <c r="X13" s="12">
        <f>CEILING(Dragon!$B$4/ IF(Dragon!$D$4&lt; 10.8, Table13[[#This Row],[STR]], Table13[[#This Row],[STR]] / (Dragon!$D$4 / 10.8)), 1)</f>
        <v>89</v>
      </c>
      <c r="Z13" s="8">
        <f>CEILING('Blue Slime'!$M$5/ IF('Blue Slime'!$O$5&lt; 10.8, Table13[[#This Row],[STR]], Table13[[#This Row],[STR]] / ('Blue Slime'!$O$5 / 10.8)), 1)</f>
        <v>1</v>
      </c>
      <c r="AA13" s="8">
        <f>CEILING('Green Slime'!$M$5/ IF('Green Slime'!$O$5&lt; 10.8, Table13[[#This Row],[STR]], Table13[[#This Row],[STR]] / ('Green Slime'!$O$5 / 10.8)), 1)</f>
        <v>2</v>
      </c>
      <c r="AB13" s="8">
        <f>CEILING(Wolf!$M$6/ IF(Wolf!$O$6&lt; 10.8, Table13[[#This Row],[STR]], Table13[[#This Row],[STR]] / (Wolf!$O$6 / 10.8)), 1)</f>
        <v>5</v>
      </c>
      <c r="AC13" s="8">
        <f>CEILING('Horned Wolf'!$M$5/ IF('Horned Wolf'!$O$5&lt; 10.8, Table13[[#This Row],[STR]], Table13[[#This Row],[STR]] / ('Horned Wolf'!$O$5 / 10.8)), 1)</f>
        <v>14</v>
      </c>
      <c r="AD13" s="14">
        <f>CEILING(Spider!$M$7/ IF(Spider!$O$7&lt; 10.8, Table13[[#This Row],[STR]], Table13[[#This Row],[STR]] / (Spider!$O$7 / 10.8)), 1)</f>
        <v>13</v>
      </c>
      <c r="AE13" s="14">
        <f>CEILING('Evolved Spider'!$M$8/ IF('Evolved Spider'!$O$8&lt; 10.8, Table13[[#This Row],[STR]], Table13[[#This Row],[STR]] / ('Evolved Spider'!$O$8 / 10.8)), 1)</f>
        <v>24</v>
      </c>
      <c r="AF13" s="14">
        <f>CEILING(Arachne!$M$4/ IF(Arachne!$O$4&lt; 10.8, Table13[[#This Row],[STR]], Table13[[#This Row],[STR]] / (Arachne!$O$4 / 10.8)), 1)</f>
        <v>32</v>
      </c>
      <c r="AG13" s="12">
        <f>CEILING('Earth Elemental'!$M$6/ IF('Earth Elemental'!$O$6&lt; 10.8, Table13[[#This Row],[STR]], Table13[[#This Row],[STR]] / ('Earth Elemental'!$O$6 / 10.8)), 1)</f>
        <v>30</v>
      </c>
      <c r="AH13" s="12">
        <f>CEILING('Wind Elemental'!$M$6/ IF('Wind Elemental'!$O$6&lt; 10.8, Table13[[#This Row],[STR]], Table13[[#This Row],[STR]] / ('Wind Elemental'!$O$6 / 10.8)), 1)</f>
        <v>24</v>
      </c>
      <c r="AI13" s="12">
        <f>CEILING('Water Elemental'!$M$6/ IF('Water Elemental'!$O$6&lt; 10.8, Table13[[#This Row],[STR]], Table13[[#This Row],[STR]] / ('Water Elemental'!$O$6 / 10.8)), 1)</f>
        <v>35</v>
      </c>
      <c r="AJ13" s="12">
        <f>CEILING('Fire Elemental'!$M$4/ IF('Fire Elemental'!$O$4&lt; 10.8, Table13[[#This Row],[STR]], Table13[[#This Row],[STR]] / ('Fire Elemental'!$O$4 / 10.8)), 1)</f>
        <v>51</v>
      </c>
      <c r="AK13" s="12">
        <f>CEILING(Wyvern!$M$4/ IF(Wyvern!$O$4&lt; 10.8, Table13[[#This Row],[STR]], Table13[[#This Row],[STR]] / (Wyvern!$O$4 / 10.8)), 1)</f>
        <v>64</v>
      </c>
      <c r="AL13" s="12">
        <f>CEILING('Evolved Wyvern'!$M$4/ IF('Evolved Wyvern'!$O$4&lt; 10.8, Table13[[#This Row],[STR]], Table13[[#This Row],[STR]] / ('Evolved Wyvern'!$O$4 / 10.8)), 1)</f>
        <v>86</v>
      </c>
      <c r="AM13" s="12">
        <f>CEILING(Dragon!$M$4/ IF(Dragon!$O$4&lt; 10.8, Table13[[#This Row],[STR]], Table13[[#This Row],[STR]] / (Dragon!$O$4 / 10.8)), 1)</f>
        <v>142</v>
      </c>
      <c r="AO13" s="8">
        <f>CEILING('Blue Slime'!$Z$5/ IF('Blue Slime'!$X$5&lt; 10.8, Table13[[#This Row],[STR]], Table13[[#This Row],[STR]] / ('Blue Slime'!$X$5 / 10.8)), 1)</f>
        <v>2</v>
      </c>
      <c r="AP13" s="8">
        <f>CEILING('Green Slime'!$Z$5/ IF('Green Slime'!$X$5&lt; 10.8, Table13[[#This Row],[STR]], Table13[[#This Row],[STR]] / ('Green Slime'!$X$5 / 10.8)), 1)</f>
        <v>4</v>
      </c>
      <c r="AQ13" s="8">
        <f>CEILING(Wolf!$Z$6/ IF(Wolf!$X$6&lt; 10.8, Table13[[#This Row],[STR]], Table13[[#This Row],[STR]] / (Wolf!$X$6 / 10.8)), 1)</f>
        <v>9</v>
      </c>
      <c r="AR13" s="8">
        <f>CEILING('Horned Wolf'!$Z$5/ IF('Horned Wolf'!$X$5&lt; 10.8, Table13[[#This Row],[STR]], Table13[[#This Row],[STR]] / ('Horned Wolf'!$X$5 / 10.8)), 1)</f>
        <v>25</v>
      </c>
      <c r="AS13" s="13">
        <f>CEILING(Spider!$Z$7/ IF(Spider!$X$7&lt; 10.8, Table13[[#This Row],[STR]], Table13[[#This Row],[STR]] / (Spider!$X$7 / 10.8)), 1)</f>
        <v>22</v>
      </c>
      <c r="AT13" s="13">
        <f>CEILING('Evolved Spider'!$Z$8/ IF('Evolved Spider'!$X$8&lt; 10.8, Table13[[#This Row],[STR]], Table13[[#This Row],[STR]] / ('Evolved Spider'!$X$8 / 10.8)), 1)</f>
        <v>39</v>
      </c>
      <c r="AU13" s="13">
        <f>CEILING(Arachne!$Z$4/ IF(Arachne!$X$4&lt; 10.8, Table13[[#This Row],[STR]], Table13[[#This Row],[STR]] / (Arachne!$X$4 / 10.8)), 1)</f>
        <v>53</v>
      </c>
      <c r="AV13" s="12">
        <f>CEILING('Earth Elemental'!$Z$6/ IF('Earth Elemental'!$X$6&lt; 10.8, Table13[[#This Row],[STR]], Table13[[#This Row],[STR]] / ('Earth Elemental'!$X$6 / 10.8)), 1)</f>
        <v>45</v>
      </c>
      <c r="AW13" s="12">
        <f>CEILING('Wind Elemental'!$Z$6/ IF('Wind Elemental'!$X$6&lt; 10.8, Table13[[#This Row],[STR]], Table13[[#This Row],[STR]] / ('Wind Elemental'!$X$6 / 10.8)), 1)</f>
        <v>35</v>
      </c>
      <c r="AX13" s="12">
        <f>CEILING('Water Elemental'!$Z$6/ IF('Water Elemental'!$X$6&lt; 10.8, Table13[[#This Row],[STR]], Table13[[#This Row],[STR]] / ('Water Elemental'!$X$6 / 10.8)), 1)</f>
        <v>48</v>
      </c>
      <c r="AY13" s="12">
        <f>CEILING('Fire Elemental'!$Z$4/ IF('Fire Elemental'!$X$4&lt; 10.8, Table13[[#This Row],[STR]], Table13[[#This Row],[STR]] / ('Fire Elemental'!$X$4 / 10.8)), 1)</f>
        <v>78</v>
      </c>
      <c r="AZ13" s="12">
        <f>CEILING(Wyvern!$Z$4/ IF(Wyvern!$X$4&lt; 10.8, Table13[[#This Row],[STR]], Table13[[#This Row],[STR]] / (Wyvern!$X$4 / 10.8)), 1)</f>
        <v>94</v>
      </c>
      <c r="BA13" s="12">
        <f>CEILING('Evolved Wyvern'!$Z$4/ IF('Evolved Wyvern'!$X$4&lt; 10.8, Table13[[#This Row],[STR]], Table13[[#This Row],[STR]] / ('Evolved Wyvern'!$X$4 / 10.8)), 1)</f>
        <v>120</v>
      </c>
      <c r="BB13" s="12">
        <f>CEILING(Dragon!$Z$4/ IF(Dragon!$X$4&lt; 10.8, Table13[[#This Row],[STR]], Table13[[#This Row],[STR]] / (Dragon!$X$4 / 10.8)), 1)</f>
        <v>202</v>
      </c>
    </row>
    <row r="14" spans="1:54" x14ac:dyDescent="0.3">
      <c r="A14" s="1">
        <v>12</v>
      </c>
      <c r="B14" s="1">
        <f>$B$3 + ((Table13[[#This Row],[Level]] / 10) + $B$3 / 8) * Table13[[#This Row],[Level]] + Equipment!$Z$10</f>
        <v>57.400000000000006</v>
      </c>
      <c r="C14" s="1">
        <f>2 * Table13[[#This Row],[INT]]</f>
        <v>46</v>
      </c>
      <c r="D14" s="1">
        <f>$D$3 + ($D$3 / 4) * Table13[[#This Row],[Level]] + Equipment!$AA$10</f>
        <v>36</v>
      </c>
      <c r="E14" s="1">
        <f>$E$3 + ($E$3 / 4) * Table13[[#This Row],[Level]] + Equipment!$AB$10</f>
        <v>27</v>
      </c>
      <c r="F14" s="1">
        <f>$F$3 + ($F$3 / 4) * Table13[[#This Row],[Level]] + Equipment!$AC$10</f>
        <v>32</v>
      </c>
      <c r="G14" s="1">
        <f>$G$3 + ($G$3 / 4) * Table13[[#This Row],[Level]] + Equipment!$AD$10</f>
        <v>23</v>
      </c>
      <c r="H14" s="1">
        <f>$H$3 + ($H$3 / 4) * Table13[[#This Row],[Level]] + Equipment!$AE$10</f>
        <v>27</v>
      </c>
      <c r="I14" s="1">
        <f xml:space="preserve"> (4 * (Table13[[#This Row],[Level]] ^ 3))/7 + $I$3</f>
        <v>1087.4285714285716</v>
      </c>
      <c r="K14" s="8">
        <f>CEILING('Blue Slime'!$B$5/ IF('Blue Slime'!$D$5&lt; 10.8, Table13[[#This Row],[STR]], Table13[[#This Row],[STR]] / ('Blue Slime'!$D$5 / 10.8)), 1)</f>
        <v>1</v>
      </c>
      <c r="L14" s="8">
        <f>CEILING('Green Slime'!$B$5/ IF('Green Slime'!$D$5&lt; 10.8, Table13[[#This Row],[STR]], Table13[[#This Row],[STR]] / ('Green Slime'!$D$5 / 10.8)), 1)</f>
        <v>1</v>
      </c>
      <c r="M14" s="8">
        <f>CEILING(Wolf!$B$6/ IF(Wolf!$D$6&lt; 10.8, Table13[[#This Row],[STR]], Table13[[#This Row],[STR]] / (Wolf!$D$6 / 10.8)), 1)</f>
        <v>3</v>
      </c>
      <c r="N14" s="8">
        <f>CEILING('Horned Wolf'!$B$5/ IF('Horned Wolf'!$D$5&lt; 10.8, Table13[[#This Row],[STR]], Table13[[#This Row],[STR]] / ('Horned Wolf'!$D$5 / 10.8)), 1)</f>
        <v>7</v>
      </c>
      <c r="O14" s="14">
        <f>CEILING(Spider!$B$7/ IF(Spider!$D$7&lt; 10.8, Table13[[#This Row],[STR]], Table13[[#This Row],[STR]] / (Spider!$D$7 / 10.8)), 1)</f>
        <v>6</v>
      </c>
      <c r="P14" s="14">
        <f>CEILING('Evolved Spider'!$B$8/ IF('Evolved Spider'!$D$8&lt; 10.8, Table13[[#This Row],[STR]], Table13[[#This Row],[STR]] / ('Evolved Spider'!$D$8 / 10.8)), 1)</f>
        <v>12</v>
      </c>
      <c r="Q14" s="14">
        <f>CEILING(Arachne!$B$4/ IF(Arachne!$D$4&lt; 10.8, Table13[[#This Row],[STR]], Table13[[#This Row],[STR]] / (Arachne!$D$4 / 10.8)), 1)</f>
        <v>16</v>
      </c>
      <c r="R14" s="12">
        <f>CEILING('Earth Elemental'!$B$6/ IF('Earth Elemental'!$D$6&lt; 10.8, Table13[[#This Row],[STR]], Table13[[#This Row],[STR]] / ('Earth Elemental'!$D$6 / 10.8)), 1)</f>
        <v>16</v>
      </c>
      <c r="S14" s="12">
        <f>CEILING('Wind Elemental'!$B$6/ IF('Wind Elemental'!$D$6&lt; 10.8, Table13[[#This Row],[STR]], Table13[[#This Row],[STR]] / ('Wind Elemental'!$D$6 / 10.8)), 1)</f>
        <v>14</v>
      </c>
      <c r="T14" s="12">
        <f>CEILING('Water Elemental'!$B$6/ IF('Water Elemental'!$D$6&lt; 10.8, Table13[[#This Row],[STR]], Table13[[#This Row],[STR]] / ('Water Elemental'!$D$6 / 10.8)), 1)</f>
        <v>22</v>
      </c>
      <c r="U14" s="12">
        <f>CEILING('Fire Elemental'!$B$4/ IF('Fire Elemental'!$D$4&lt; 10.8, Table13[[#This Row],[STR]], Table13[[#This Row],[STR]] / ('Fire Elemental'!$D$4 / 10.8)), 1)</f>
        <v>28</v>
      </c>
      <c r="V14" s="12">
        <f>CEILING(Wyvern!$B$4/ IF(Wyvern!$D$4&lt; 10.8, Table13[[#This Row],[STR]], Table13[[#This Row],[STR]] / (Wyvern!$D$4 / 10.8)), 1)</f>
        <v>37</v>
      </c>
      <c r="W14" s="12">
        <f>CEILING('Evolved Wyvern'!$B$4/ IF('Evolved Wyvern'!$D$4&lt; 10.8, Table13[[#This Row],[STR]], Table13[[#This Row],[STR]] / ('Evolved Wyvern'!$D$4 / 10.8)), 1)</f>
        <v>51</v>
      </c>
      <c r="X14" s="12">
        <f>CEILING(Dragon!$B$4/ IF(Dragon!$D$4&lt; 10.8, Table13[[#This Row],[STR]], Table13[[#This Row],[STR]] / (Dragon!$D$4 / 10.8)), 1)</f>
        <v>84</v>
      </c>
      <c r="Z14" s="8">
        <f>CEILING('Blue Slime'!$M$5/ IF('Blue Slime'!$O$5&lt; 10.8, Table13[[#This Row],[STR]], Table13[[#This Row],[STR]] / ('Blue Slime'!$O$5 / 10.8)), 1)</f>
        <v>1</v>
      </c>
      <c r="AA14" s="8">
        <f>CEILING('Green Slime'!$M$5/ IF('Green Slime'!$O$5&lt; 10.8, Table13[[#This Row],[STR]], Table13[[#This Row],[STR]] / ('Green Slime'!$O$5 / 10.8)), 1)</f>
        <v>2</v>
      </c>
      <c r="AB14" s="8">
        <f>CEILING(Wolf!$M$6/ IF(Wolf!$O$6&lt; 10.8, Table13[[#This Row],[STR]], Table13[[#This Row],[STR]] / (Wolf!$O$6 / 10.8)), 1)</f>
        <v>5</v>
      </c>
      <c r="AC14" s="8">
        <f>CEILING('Horned Wolf'!$M$5/ IF('Horned Wolf'!$O$5&lt; 10.8, Table13[[#This Row],[STR]], Table13[[#This Row],[STR]] / ('Horned Wolf'!$O$5 / 10.8)), 1)</f>
        <v>14</v>
      </c>
      <c r="AD14" s="14">
        <f>CEILING(Spider!$M$7/ IF(Spider!$O$7&lt; 10.8, Table13[[#This Row],[STR]], Table13[[#This Row],[STR]] / (Spider!$O$7 / 10.8)), 1)</f>
        <v>12</v>
      </c>
      <c r="AE14" s="14">
        <f>CEILING('Evolved Spider'!$M$8/ IF('Evolved Spider'!$O$8&lt; 10.8, Table13[[#This Row],[STR]], Table13[[#This Row],[STR]] / ('Evolved Spider'!$O$8 / 10.8)), 1)</f>
        <v>23</v>
      </c>
      <c r="AF14" s="14">
        <f>CEILING(Arachne!$M$4/ IF(Arachne!$O$4&lt; 10.8, Table13[[#This Row],[STR]], Table13[[#This Row],[STR]] / (Arachne!$O$4 / 10.8)), 1)</f>
        <v>31</v>
      </c>
      <c r="AG14" s="12">
        <f>CEILING('Earth Elemental'!$M$6/ IF('Earth Elemental'!$O$6&lt; 10.8, Table13[[#This Row],[STR]], Table13[[#This Row],[STR]] / ('Earth Elemental'!$O$6 / 10.8)), 1)</f>
        <v>28</v>
      </c>
      <c r="AH14" s="12">
        <f>CEILING('Wind Elemental'!$M$6/ IF('Wind Elemental'!$O$6&lt; 10.8, Table13[[#This Row],[STR]], Table13[[#This Row],[STR]] / ('Wind Elemental'!$O$6 / 10.8)), 1)</f>
        <v>23</v>
      </c>
      <c r="AI14" s="12">
        <f>CEILING('Water Elemental'!$M$6/ IF('Water Elemental'!$O$6&lt; 10.8, Table13[[#This Row],[STR]], Table13[[#This Row],[STR]] / ('Water Elemental'!$O$6 / 10.8)), 1)</f>
        <v>33</v>
      </c>
      <c r="AJ14" s="12">
        <f>CEILING('Fire Elemental'!$M$4/ IF('Fire Elemental'!$O$4&lt; 10.8, Table13[[#This Row],[STR]], Table13[[#This Row],[STR]] / ('Fire Elemental'!$O$4 / 10.8)), 1)</f>
        <v>48</v>
      </c>
      <c r="AK14" s="12">
        <f>CEILING(Wyvern!$M$4/ IF(Wyvern!$O$4&lt; 10.8, Table13[[#This Row],[STR]], Table13[[#This Row],[STR]] / (Wyvern!$O$4 / 10.8)), 1)</f>
        <v>61</v>
      </c>
      <c r="AL14" s="12">
        <f>CEILING('Evolved Wyvern'!$M$4/ IF('Evolved Wyvern'!$O$4&lt; 10.8, Table13[[#This Row],[STR]], Table13[[#This Row],[STR]] / ('Evolved Wyvern'!$O$4 / 10.8)), 1)</f>
        <v>81</v>
      </c>
      <c r="AM14" s="12">
        <f>CEILING(Dragon!$M$4/ IF(Dragon!$O$4&lt; 10.8, Table13[[#This Row],[STR]], Table13[[#This Row],[STR]] / (Dragon!$O$4 / 10.8)), 1)</f>
        <v>135</v>
      </c>
      <c r="AO14" s="8">
        <f>CEILING('Blue Slime'!$Z$5/ IF('Blue Slime'!$X$5&lt; 10.8, Table13[[#This Row],[STR]], Table13[[#This Row],[STR]] / ('Blue Slime'!$X$5 / 10.8)), 1)</f>
        <v>2</v>
      </c>
      <c r="AP14" s="8">
        <f>CEILING('Green Slime'!$Z$5/ IF('Green Slime'!$X$5&lt; 10.8, Table13[[#This Row],[STR]], Table13[[#This Row],[STR]] / ('Green Slime'!$X$5 / 10.8)), 1)</f>
        <v>3</v>
      </c>
      <c r="AQ14" s="8">
        <f>CEILING(Wolf!$Z$6/ IF(Wolf!$X$6&lt; 10.8, Table13[[#This Row],[STR]], Table13[[#This Row],[STR]] / (Wolf!$X$6 / 10.8)), 1)</f>
        <v>9</v>
      </c>
      <c r="AR14" s="8">
        <f>CEILING('Horned Wolf'!$Z$5/ IF('Horned Wolf'!$X$5&lt; 10.8, Table13[[#This Row],[STR]], Table13[[#This Row],[STR]] / ('Horned Wolf'!$X$5 / 10.8)), 1)</f>
        <v>24</v>
      </c>
      <c r="AS14" s="13">
        <f>CEILING(Spider!$Z$7/ IF(Spider!$X$7&lt; 10.8, Table13[[#This Row],[STR]], Table13[[#This Row],[STR]] / (Spider!$X$7 / 10.8)), 1)</f>
        <v>21</v>
      </c>
      <c r="AT14" s="13">
        <f>CEILING('Evolved Spider'!$Z$8/ IF('Evolved Spider'!$X$8&lt; 10.8, Table13[[#This Row],[STR]], Table13[[#This Row],[STR]] / ('Evolved Spider'!$X$8 / 10.8)), 1)</f>
        <v>37</v>
      </c>
      <c r="AU14" s="13">
        <f>CEILING(Arachne!$Z$4/ IF(Arachne!$X$4&lt; 10.8, Table13[[#This Row],[STR]], Table13[[#This Row],[STR]] / (Arachne!$X$4 / 10.8)), 1)</f>
        <v>50</v>
      </c>
      <c r="AV14" s="12">
        <f>CEILING('Earth Elemental'!$Z$6/ IF('Earth Elemental'!$X$6&lt; 10.8, Table13[[#This Row],[STR]], Table13[[#This Row],[STR]] / ('Earth Elemental'!$X$6 / 10.8)), 1)</f>
        <v>42</v>
      </c>
      <c r="AW14" s="12">
        <f>CEILING('Wind Elemental'!$Z$6/ IF('Wind Elemental'!$X$6&lt; 10.8, Table13[[#This Row],[STR]], Table13[[#This Row],[STR]] / ('Wind Elemental'!$X$6 / 10.8)), 1)</f>
        <v>33</v>
      </c>
      <c r="AX14" s="12">
        <f>CEILING('Water Elemental'!$Z$6/ IF('Water Elemental'!$X$6&lt; 10.8, Table13[[#This Row],[STR]], Table13[[#This Row],[STR]] / ('Water Elemental'!$X$6 / 10.8)), 1)</f>
        <v>45</v>
      </c>
      <c r="AY14" s="12">
        <f>CEILING('Fire Elemental'!$Z$4/ IF('Fire Elemental'!$X$4&lt; 10.8, Table13[[#This Row],[STR]], Table13[[#This Row],[STR]] / ('Fire Elemental'!$X$4 / 10.8)), 1)</f>
        <v>73</v>
      </c>
      <c r="AZ14" s="12">
        <f>CEILING(Wyvern!$Z$4/ IF(Wyvern!$X$4&lt; 10.8, Table13[[#This Row],[STR]], Table13[[#This Row],[STR]] / (Wyvern!$X$4 / 10.8)), 1)</f>
        <v>89</v>
      </c>
      <c r="BA14" s="12">
        <f>CEILING('Evolved Wyvern'!$Z$4/ IF('Evolved Wyvern'!$X$4&lt; 10.8, Table13[[#This Row],[STR]], Table13[[#This Row],[STR]] / ('Evolved Wyvern'!$X$4 / 10.8)), 1)</f>
        <v>113</v>
      </c>
      <c r="BB14" s="12">
        <f>CEILING(Dragon!$Z$4/ IF(Dragon!$X$4&lt; 10.8, Table13[[#This Row],[STR]], Table13[[#This Row],[STR]] / (Dragon!$X$4 / 10.8)), 1)</f>
        <v>191</v>
      </c>
    </row>
    <row r="15" spans="1:54" x14ac:dyDescent="0.3">
      <c r="A15" s="1">
        <v>13</v>
      </c>
      <c r="B15" s="1">
        <f>$B$3 + ((Table13[[#This Row],[Level]] / 10) + $B$3 / 8) * Table13[[#This Row],[Level]] + Equipment!$Z$10</f>
        <v>61.65</v>
      </c>
      <c r="C15" s="1">
        <f>2 * Table13[[#This Row],[INT]]</f>
        <v>48.5</v>
      </c>
      <c r="D15" s="1">
        <f>$D$3 + ($D$3 / 4) * Table13[[#This Row],[Level]] + Equipment!$AA$10</f>
        <v>38</v>
      </c>
      <c r="E15" s="1">
        <f>$E$3 + ($E$3 / 4) * Table13[[#This Row],[Level]] + Equipment!$AB$10</f>
        <v>28.5</v>
      </c>
      <c r="F15" s="1">
        <f>$F$3 + ($F$3 / 4) * Table13[[#This Row],[Level]] + Equipment!$AC$10</f>
        <v>33.75</v>
      </c>
      <c r="G15" s="1">
        <f>$G$3 + ($G$3 / 4) * Table13[[#This Row],[Level]] + Equipment!$AD$10</f>
        <v>24.25</v>
      </c>
      <c r="H15" s="1">
        <f>$H$3 + ($H$3 / 4) * Table13[[#This Row],[Level]] + Equipment!$AE$10</f>
        <v>28.5</v>
      </c>
      <c r="I15" s="1">
        <f xml:space="preserve"> (4 * (Table13[[#This Row],[Level]] ^ 3))/7 + $I$3</f>
        <v>1355.4285714285713</v>
      </c>
      <c r="K15" s="8">
        <f>CEILING('Blue Slime'!$B$5/ IF('Blue Slime'!$D$5&lt; 10.8, Table13[[#This Row],[STR]], Table13[[#This Row],[STR]] / ('Blue Slime'!$D$5 / 10.8)), 1)</f>
        <v>1</v>
      </c>
      <c r="L15" s="8">
        <f>CEILING('Green Slime'!$B$5/ IF('Green Slime'!$D$5&lt; 10.8, Table13[[#This Row],[STR]], Table13[[#This Row],[STR]] / ('Green Slime'!$D$5 / 10.8)), 1)</f>
        <v>1</v>
      </c>
      <c r="M15" s="8">
        <f>CEILING(Wolf!$B$6/ IF(Wolf!$D$6&lt; 10.8, Table13[[#This Row],[STR]], Table13[[#This Row],[STR]] / (Wolf!$D$6 / 10.8)), 1)</f>
        <v>3</v>
      </c>
      <c r="N15" s="8">
        <f>CEILING('Horned Wolf'!$B$5/ IF('Horned Wolf'!$D$5&lt; 10.8, Table13[[#This Row],[STR]], Table13[[#This Row],[STR]] / ('Horned Wolf'!$D$5 / 10.8)), 1)</f>
        <v>6</v>
      </c>
      <c r="O15" s="14">
        <f>CEILING(Spider!$B$7/ IF(Spider!$D$7&lt; 10.8, Table13[[#This Row],[STR]], Table13[[#This Row],[STR]] / (Spider!$D$7 / 10.8)), 1)</f>
        <v>6</v>
      </c>
      <c r="P15" s="14">
        <f>CEILING('Evolved Spider'!$B$8/ IF('Evolved Spider'!$D$8&lt; 10.8, Table13[[#This Row],[STR]], Table13[[#This Row],[STR]] / ('Evolved Spider'!$D$8 / 10.8)), 1)</f>
        <v>11</v>
      </c>
      <c r="Q15" s="14">
        <f>CEILING(Arachne!$B$4/ IF(Arachne!$D$4&lt; 10.8, Table13[[#This Row],[STR]], Table13[[#This Row],[STR]] / (Arachne!$D$4 / 10.8)), 1)</f>
        <v>15</v>
      </c>
      <c r="R15" s="12">
        <f>CEILING('Earth Elemental'!$B$6/ IF('Earth Elemental'!$D$6&lt; 10.8, Table13[[#This Row],[STR]], Table13[[#This Row],[STR]] / ('Earth Elemental'!$D$6 / 10.8)), 1)</f>
        <v>15</v>
      </c>
      <c r="S15" s="12">
        <f>CEILING('Wind Elemental'!$B$6/ IF('Wind Elemental'!$D$6&lt; 10.8, Table13[[#This Row],[STR]], Table13[[#This Row],[STR]] / ('Wind Elemental'!$D$6 / 10.8)), 1)</f>
        <v>14</v>
      </c>
      <c r="T15" s="12">
        <f>CEILING('Water Elemental'!$B$6/ IF('Water Elemental'!$D$6&lt; 10.8, Table13[[#This Row],[STR]], Table13[[#This Row],[STR]] / ('Water Elemental'!$D$6 / 10.8)), 1)</f>
        <v>21</v>
      </c>
      <c r="U15" s="12">
        <f>CEILING('Fire Elemental'!$B$4/ IF('Fire Elemental'!$D$4&lt; 10.8, Table13[[#This Row],[STR]], Table13[[#This Row],[STR]] / ('Fire Elemental'!$D$4 / 10.8)), 1)</f>
        <v>26</v>
      </c>
      <c r="V15" s="12">
        <f>CEILING(Wyvern!$B$4/ IF(Wyvern!$D$4&lt; 10.8, Table13[[#This Row],[STR]], Table13[[#This Row],[STR]] / (Wyvern!$D$4 / 10.8)), 1)</f>
        <v>35</v>
      </c>
      <c r="W15" s="12">
        <f>CEILING('Evolved Wyvern'!$B$4/ IF('Evolved Wyvern'!$D$4&lt; 10.8, Table13[[#This Row],[STR]], Table13[[#This Row],[STR]] / ('Evolved Wyvern'!$D$4 / 10.8)), 1)</f>
        <v>49</v>
      </c>
      <c r="X15" s="12">
        <f>CEILING(Dragon!$B$4/ IF(Dragon!$D$4&lt; 10.8, Table13[[#This Row],[STR]], Table13[[#This Row],[STR]] / (Dragon!$D$4 / 10.8)), 1)</f>
        <v>80</v>
      </c>
      <c r="Z15" s="8">
        <f>CEILING('Blue Slime'!$M$5/ IF('Blue Slime'!$O$5&lt; 10.8, Table13[[#This Row],[STR]], Table13[[#This Row],[STR]] / ('Blue Slime'!$O$5 / 10.8)), 1)</f>
        <v>1</v>
      </c>
      <c r="AA15" s="8">
        <f>CEILING('Green Slime'!$M$5/ IF('Green Slime'!$O$5&lt; 10.8, Table13[[#This Row],[STR]], Table13[[#This Row],[STR]] / ('Green Slime'!$O$5 / 10.8)), 1)</f>
        <v>2</v>
      </c>
      <c r="AB15" s="8">
        <f>CEILING(Wolf!$M$6/ IF(Wolf!$O$6&lt; 10.8, Table13[[#This Row],[STR]], Table13[[#This Row],[STR]] / (Wolf!$O$6 / 10.8)), 1)</f>
        <v>5</v>
      </c>
      <c r="AC15" s="8">
        <f>CEILING('Horned Wolf'!$M$5/ IF('Horned Wolf'!$O$5&lt; 10.8, Table13[[#This Row],[STR]], Table13[[#This Row],[STR]] / ('Horned Wolf'!$O$5 / 10.8)), 1)</f>
        <v>13</v>
      </c>
      <c r="AD15" s="14">
        <f>CEILING(Spider!$M$7/ IF(Spider!$O$7&lt; 10.8, Table13[[#This Row],[STR]], Table13[[#This Row],[STR]] / (Spider!$O$7 / 10.8)), 1)</f>
        <v>12</v>
      </c>
      <c r="AE15" s="14">
        <f>CEILING('Evolved Spider'!$M$8/ IF('Evolved Spider'!$O$8&lt; 10.8, Table13[[#This Row],[STR]], Table13[[#This Row],[STR]] / ('Evolved Spider'!$O$8 / 10.8)), 1)</f>
        <v>22</v>
      </c>
      <c r="AF15" s="14">
        <f>CEILING(Arachne!$M$4/ IF(Arachne!$O$4&lt; 10.8, Table13[[#This Row],[STR]], Table13[[#This Row],[STR]] / (Arachne!$O$4 / 10.8)), 1)</f>
        <v>29</v>
      </c>
      <c r="AG15" s="12">
        <f>CEILING('Earth Elemental'!$M$6/ IF('Earth Elemental'!$O$6&lt; 10.8, Table13[[#This Row],[STR]], Table13[[#This Row],[STR]] / ('Earth Elemental'!$O$6 / 10.8)), 1)</f>
        <v>26</v>
      </c>
      <c r="AH15" s="12">
        <f>CEILING('Wind Elemental'!$M$6/ IF('Wind Elemental'!$O$6&lt; 10.8, Table13[[#This Row],[STR]], Table13[[#This Row],[STR]] / ('Wind Elemental'!$O$6 / 10.8)), 1)</f>
        <v>22</v>
      </c>
      <c r="AI15" s="12">
        <f>CEILING('Water Elemental'!$M$6/ IF('Water Elemental'!$O$6&lt; 10.8, Table13[[#This Row],[STR]], Table13[[#This Row],[STR]] / ('Water Elemental'!$O$6 / 10.8)), 1)</f>
        <v>31</v>
      </c>
      <c r="AJ15" s="12">
        <f>CEILING('Fire Elemental'!$M$4/ IF('Fire Elemental'!$O$4&lt; 10.8, Table13[[#This Row],[STR]], Table13[[#This Row],[STR]] / ('Fire Elemental'!$O$4 / 10.8)), 1)</f>
        <v>46</v>
      </c>
      <c r="AK15" s="12">
        <f>CEILING(Wyvern!$M$4/ IF(Wyvern!$O$4&lt; 10.8, Table13[[#This Row],[STR]], Table13[[#This Row],[STR]] / (Wyvern!$O$4 / 10.8)), 1)</f>
        <v>58</v>
      </c>
      <c r="AL15" s="12">
        <f>CEILING('Evolved Wyvern'!$M$4/ IF('Evolved Wyvern'!$O$4&lt; 10.8, Table13[[#This Row],[STR]], Table13[[#This Row],[STR]] / ('Evolved Wyvern'!$O$4 / 10.8)), 1)</f>
        <v>77</v>
      </c>
      <c r="AM15" s="12">
        <f>CEILING(Dragon!$M$4/ IF(Dragon!$O$4&lt; 10.8, Table13[[#This Row],[STR]], Table13[[#This Row],[STR]] / (Dragon!$O$4 / 10.8)), 1)</f>
        <v>128</v>
      </c>
      <c r="AO15" s="8">
        <f>CEILING('Blue Slime'!$Z$5/ IF('Blue Slime'!$X$5&lt; 10.8, Table13[[#This Row],[STR]], Table13[[#This Row],[STR]] / ('Blue Slime'!$X$5 / 10.8)), 1)</f>
        <v>2</v>
      </c>
      <c r="AP15" s="8">
        <f>CEILING('Green Slime'!$Z$5/ IF('Green Slime'!$X$5&lt; 10.8, Table13[[#This Row],[STR]], Table13[[#This Row],[STR]] / ('Green Slime'!$X$5 / 10.8)), 1)</f>
        <v>3</v>
      </c>
      <c r="AQ15" s="8">
        <f>CEILING(Wolf!$Z$6/ IF(Wolf!$X$6&lt; 10.8, Table13[[#This Row],[STR]], Table13[[#This Row],[STR]] / (Wolf!$X$6 / 10.8)), 1)</f>
        <v>8</v>
      </c>
      <c r="AR15" s="8">
        <f>CEILING('Horned Wolf'!$Z$5/ IF('Horned Wolf'!$X$5&lt; 10.8, Table13[[#This Row],[STR]], Table13[[#This Row],[STR]] / ('Horned Wolf'!$X$5 / 10.8)), 1)</f>
        <v>22</v>
      </c>
      <c r="AS15" s="13">
        <f>CEILING(Spider!$Z$7/ IF(Spider!$X$7&lt; 10.8, Table13[[#This Row],[STR]], Table13[[#This Row],[STR]] / (Spider!$X$7 / 10.8)), 1)</f>
        <v>20</v>
      </c>
      <c r="AT15" s="13">
        <f>CEILING('Evolved Spider'!$Z$8/ IF('Evolved Spider'!$X$8&lt; 10.8, Table13[[#This Row],[STR]], Table13[[#This Row],[STR]] / ('Evolved Spider'!$X$8 / 10.8)), 1)</f>
        <v>35</v>
      </c>
      <c r="AU15" s="13">
        <f>CEILING(Arachne!$Z$4/ IF(Arachne!$X$4&lt; 10.8, Table13[[#This Row],[STR]], Table13[[#This Row],[STR]] / (Arachne!$X$4 / 10.8)), 1)</f>
        <v>48</v>
      </c>
      <c r="AV15" s="12">
        <f>CEILING('Earth Elemental'!$Z$6/ IF('Earth Elemental'!$X$6&lt; 10.8, Table13[[#This Row],[STR]], Table13[[#This Row],[STR]] / ('Earth Elemental'!$X$6 / 10.8)), 1)</f>
        <v>40</v>
      </c>
      <c r="AW15" s="12">
        <f>CEILING('Wind Elemental'!$Z$6/ IF('Wind Elemental'!$X$6&lt; 10.8, Table13[[#This Row],[STR]], Table13[[#This Row],[STR]] / ('Wind Elemental'!$X$6 / 10.8)), 1)</f>
        <v>31</v>
      </c>
      <c r="AX15" s="12">
        <f>CEILING('Water Elemental'!$Z$6/ IF('Water Elemental'!$X$6&lt; 10.8, Table13[[#This Row],[STR]], Table13[[#This Row],[STR]] / ('Water Elemental'!$X$6 / 10.8)), 1)</f>
        <v>43</v>
      </c>
      <c r="AY15" s="12">
        <f>CEILING('Fire Elemental'!$Z$4/ IF('Fire Elemental'!$X$4&lt; 10.8, Table13[[#This Row],[STR]], Table13[[#This Row],[STR]] / ('Fire Elemental'!$X$4 / 10.8)), 1)</f>
        <v>70</v>
      </c>
      <c r="AZ15" s="12">
        <f>CEILING(Wyvern!$Z$4/ IF(Wyvern!$X$4&lt; 10.8, Table13[[#This Row],[STR]], Table13[[#This Row],[STR]] / (Wyvern!$X$4 / 10.8)), 1)</f>
        <v>84</v>
      </c>
      <c r="BA15" s="12">
        <f>CEILING('Evolved Wyvern'!$Z$4/ IF('Evolved Wyvern'!$X$4&lt; 10.8, Table13[[#This Row],[STR]], Table13[[#This Row],[STR]] / ('Evolved Wyvern'!$X$4 / 10.8)), 1)</f>
        <v>108</v>
      </c>
      <c r="BB15" s="12">
        <f>CEILING(Dragon!$Z$4/ IF(Dragon!$X$4&lt; 10.8, Table13[[#This Row],[STR]], Table13[[#This Row],[STR]] / (Dragon!$X$4 / 10.8)), 1)</f>
        <v>181</v>
      </c>
    </row>
    <row r="16" spans="1:54" x14ac:dyDescent="0.3">
      <c r="A16" s="30">
        <v>14</v>
      </c>
      <c r="B16" s="30">
        <f>$B$3 + ((Table13[[#This Row],[Level]] / 10) + $B$3 / 8) * Table13[[#This Row],[Level]] + Equipment!$Z$10</f>
        <v>66.099999999999994</v>
      </c>
      <c r="C16" s="30">
        <f>2 * Table13[[#This Row],[INT]]</f>
        <v>51</v>
      </c>
      <c r="D16" s="30">
        <f>$D$3 + ($D$3 / 4) * Table13[[#This Row],[Level]] + Equipment!$AA$10</f>
        <v>40</v>
      </c>
      <c r="E16" s="30">
        <f>$E$3 + ($E$3 / 4) * Table13[[#This Row],[Level]] + Equipment!$AB$10</f>
        <v>30</v>
      </c>
      <c r="F16" s="30">
        <f>$F$3 + ($F$3 / 4) * Table13[[#This Row],[Level]] + Equipment!$AC$10</f>
        <v>35.5</v>
      </c>
      <c r="G16" s="30">
        <f>$G$3 + ($G$3 / 4) * Table13[[#This Row],[Level]] + Equipment!$AD$10</f>
        <v>25.5</v>
      </c>
      <c r="H16" s="30">
        <f>$H$3 + ($H$3 / 4) * Table13[[#This Row],[Level]] + Equipment!$AE$10</f>
        <v>30</v>
      </c>
      <c r="I16" s="30">
        <f xml:space="preserve"> (4 * (Table13[[#This Row],[Level]] ^ 3))/7 + $I$3</f>
        <v>1668</v>
      </c>
      <c r="K16" s="8">
        <f>CEILING('Blue Slime'!$B$5/ IF('Blue Slime'!$D$5&lt; 10.8, Table13[[#This Row],[STR]], Table13[[#This Row],[STR]] / ('Blue Slime'!$D$5 / 10.8)), 1)</f>
        <v>1</v>
      </c>
      <c r="L16" s="8">
        <f>CEILING('Green Slime'!$B$5/ IF('Green Slime'!$D$5&lt; 10.8, Table13[[#This Row],[STR]], Table13[[#This Row],[STR]] / ('Green Slime'!$D$5 / 10.8)), 1)</f>
        <v>1</v>
      </c>
      <c r="M16" s="8">
        <f>CEILING(Wolf!$B$6/ IF(Wolf!$D$6&lt; 10.8, Table13[[#This Row],[STR]], Table13[[#This Row],[STR]] / (Wolf!$D$6 / 10.8)), 1)</f>
        <v>2</v>
      </c>
      <c r="N16" s="8">
        <f>CEILING('Horned Wolf'!$B$5/ IF('Horned Wolf'!$D$5&lt; 10.8, Table13[[#This Row],[STR]], Table13[[#This Row],[STR]] / ('Horned Wolf'!$D$5 / 10.8)), 1)</f>
        <v>6</v>
      </c>
      <c r="O16" s="14">
        <f>CEILING(Spider!$B$7/ IF(Spider!$D$7&lt; 10.8, Table13[[#This Row],[STR]], Table13[[#This Row],[STR]] / (Spider!$D$7 / 10.8)), 1)</f>
        <v>6</v>
      </c>
      <c r="P16" s="14">
        <f>CEILING('Evolved Spider'!$B$8/ IF('Evolved Spider'!$D$8&lt; 10.8, Table13[[#This Row],[STR]], Table13[[#This Row],[STR]] / ('Evolved Spider'!$D$8 / 10.8)), 1)</f>
        <v>11</v>
      </c>
      <c r="Q16" s="14">
        <f>CEILING(Arachne!$B$4/ IF(Arachne!$D$4&lt; 10.8, Table13[[#This Row],[STR]], Table13[[#This Row],[STR]] / (Arachne!$D$4 / 10.8)), 1)</f>
        <v>14</v>
      </c>
      <c r="R16" s="12">
        <f>CEILING('Earth Elemental'!$B$6/ IF('Earth Elemental'!$D$6&lt; 10.8, Table13[[#This Row],[STR]], Table13[[#This Row],[STR]] / ('Earth Elemental'!$D$6 / 10.8)), 1)</f>
        <v>15</v>
      </c>
      <c r="S16" s="12">
        <f>CEILING('Wind Elemental'!$B$6/ IF('Wind Elemental'!$D$6&lt; 10.8, Table13[[#This Row],[STR]], Table13[[#This Row],[STR]] / ('Wind Elemental'!$D$6 / 10.8)), 1)</f>
        <v>13</v>
      </c>
      <c r="T16" s="12">
        <f>CEILING('Water Elemental'!$B$6/ IF('Water Elemental'!$D$6&lt; 10.8, Table13[[#This Row],[STR]], Table13[[#This Row],[STR]] / ('Water Elemental'!$D$6 / 10.8)), 1)</f>
        <v>20</v>
      </c>
      <c r="U16" s="12">
        <f>CEILING('Fire Elemental'!$B$4/ IF('Fire Elemental'!$D$4&lt; 10.8, Table13[[#This Row],[STR]], Table13[[#This Row],[STR]] / ('Fire Elemental'!$D$4 / 10.8)), 1)</f>
        <v>25</v>
      </c>
      <c r="V16" s="12">
        <f>CEILING(Wyvern!$B$4/ IF(Wyvern!$D$4&lt; 10.8, Table13[[#This Row],[STR]], Table13[[#This Row],[STR]] / (Wyvern!$D$4 / 10.8)), 1)</f>
        <v>33</v>
      </c>
      <c r="W16" s="12">
        <f>CEILING('Evolved Wyvern'!$B$4/ IF('Evolved Wyvern'!$D$4&lt; 10.8, Table13[[#This Row],[STR]], Table13[[#This Row],[STR]] / ('Evolved Wyvern'!$D$4 / 10.8)), 1)</f>
        <v>46</v>
      </c>
      <c r="X16" s="12">
        <f>CEILING(Dragon!$B$4/ IF(Dragon!$D$4&lt; 10.8, Table13[[#This Row],[STR]], Table13[[#This Row],[STR]] / (Dragon!$D$4 / 10.8)), 1)</f>
        <v>76</v>
      </c>
      <c r="Z16" s="8">
        <f>CEILING('Blue Slime'!$M$5/ IF('Blue Slime'!$O$5&lt; 10.8, Table13[[#This Row],[STR]], Table13[[#This Row],[STR]] / ('Blue Slime'!$O$5 / 10.8)), 1)</f>
        <v>1</v>
      </c>
      <c r="AA16" s="8">
        <f>CEILING('Green Slime'!$M$5/ IF('Green Slime'!$O$5&lt; 10.8, Table13[[#This Row],[STR]], Table13[[#This Row],[STR]] / ('Green Slime'!$O$5 / 10.8)), 1)</f>
        <v>2</v>
      </c>
      <c r="AB16" s="8">
        <f>CEILING(Wolf!$M$6/ IF(Wolf!$O$6&lt; 10.8, Table13[[#This Row],[STR]], Table13[[#This Row],[STR]] / (Wolf!$O$6 / 10.8)), 1)</f>
        <v>5</v>
      </c>
      <c r="AC16" s="8">
        <f>CEILING('Horned Wolf'!$M$5/ IF('Horned Wolf'!$O$5&lt; 10.8, Table13[[#This Row],[STR]], Table13[[#This Row],[STR]] / ('Horned Wolf'!$O$5 / 10.8)), 1)</f>
        <v>12</v>
      </c>
      <c r="AD16" s="14">
        <f>CEILING(Spider!$M$7/ IF(Spider!$O$7&lt; 10.8, Table13[[#This Row],[STR]], Table13[[#This Row],[STR]] / (Spider!$O$7 / 10.8)), 1)</f>
        <v>11</v>
      </c>
      <c r="AE16" s="14">
        <f>CEILING('Evolved Spider'!$M$8/ IF('Evolved Spider'!$O$8&lt; 10.8, Table13[[#This Row],[STR]], Table13[[#This Row],[STR]] / ('Evolved Spider'!$O$8 / 10.8)), 1)</f>
        <v>21</v>
      </c>
      <c r="AF16" s="14">
        <f>CEILING(Arachne!$M$4/ IF(Arachne!$O$4&lt; 10.8, Table13[[#This Row],[STR]], Table13[[#This Row],[STR]] / (Arachne!$O$4 / 10.8)), 1)</f>
        <v>28</v>
      </c>
      <c r="AG16" s="12">
        <f>CEILING('Earth Elemental'!$M$6/ IF('Earth Elemental'!$O$6&lt; 10.8, Table13[[#This Row],[STR]], Table13[[#This Row],[STR]] / ('Earth Elemental'!$O$6 / 10.8)), 1)</f>
        <v>25</v>
      </c>
      <c r="AH16" s="12">
        <f>CEILING('Wind Elemental'!$M$6/ IF('Wind Elemental'!$O$6&lt; 10.8, Table13[[#This Row],[STR]], Table13[[#This Row],[STR]] / ('Wind Elemental'!$O$6 / 10.8)), 1)</f>
        <v>21</v>
      </c>
      <c r="AI16" s="12">
        <f>CEILING('Water Elemental'!$M$6/ IF('Water Elemental'!$O$6&lt; 10.8, Table13[[#This Row],[STR]], Table13[[#This Row],[STR]] / ('Water Elemental'!$O$6 / 10.8)), 1)</f>
        <v>30</v>
      </c>
      <c r="AJ16" s="12">
        <f>CEILING('Fire Elemental'!$M$4/ IF('Fire Elemental'!$O$4&lt; 10.8, Table13[[#This Row],[STR]], Table13[[#This Row],[STR]] / ('Fire Elemental'!$O$4 / 10.8)), 1)</f>
        <v>43</v>
      </c>
      <c r="AK16" s="12">
        <f>CEILING(Wyvern!$M$4/ IF(Wyvern!$O$4&lt; 10.8, Table13[[#This Row],[STR]], Table13[[#This Row],[STR]] / (Wyvern!$O$4 / 10.8)), 1)</f>
        <v>55</v>
      </c>
      <c r="AL16" s="12">
        <f>CEILING('Evolved Wyvern'!$M$4/ IF('Evolved Wyvern'!$O$4&lt; 10.8, Table13[[#This Row],[STR]], Table13[[#This Row],[STR]] / ('Evolved Wyvern'!$O$4 / 10.8)), 1)</f>
        <v>73</v>
      </c>
      <c r="AM16" s="12">
        <f>CEILING(Dragon!$M$4/ IF(Dragon!$O$4&lt; 10.8, Table13[[#This Row],[STR]], Table13[[#This Row],[STR]] / (Dragon!$O$4 / 10.8)), 1)</f>
        <v>121</v>
      </c>
      <c r="AO16" s="8">
        <f>CEILING('Blue Slime'!$Z$5/ IF('Blue Slime'!$X$5&lt; 10.8, Table13[[#This Row],[STR]], Table13[[#This Row],[STR]] / ('Blue Slime'!$X$5 / 10.8)), 1)</f>
        <v>2</v>
      </c>
      <c r="AP16" s="8">
        <f>CEILING('Green Slime'!$Z$5/ IF('Green Slime'!$X$5&lt; 10.8, Table13[[#This Row],[STR]], Table13[[#This Row],[STR]] / ('Green Slime'!$X$5 / 10.8)), 1)</f>
        <v>3</v>
      </c>
      <c r="AQ16" s="8">
        <f>CEILING(Wolf!$Z$6/ IF(Wolf!$X$6&lt; 10.8, Table13[[#This Row],[STR]], Table13[[#This Row],[STR]] / (Wolf!$X$6 / 10.8)), 1)</f>
        <v>8</v>
      </c>
      <c r="AR16" s="8">
        <f>CEILING('Horned Wolf'!$Z$5/ IF('Horned Wolf'!$X$5&lt; 10.8, Table13[[#This Row],[STR]], Table13[[#This Row],[STR]] / ('Horned Wolf'!$X$5 / 10.8)), 1)</f>
        <v>21</v>
      </c>
      <c r="AS16" s="13">
        <f>CEILING(Spider!$Z$7/ IF(Spider!$X$7&lt; 10.8, Table13[[#This Row],[STR]], Table13[[#This Row],[STR]] / (Spider!$X$7 / 10.8)), 1)</f>
        <v>19</v>
      </c>
      <c r="AT16" s="13">
        <f>CEILING('Evolved Spider'!$Z$8/ IF('Evolved Spider'!$X$8&lt; 10.8, Table13[[#This Row],[STR]], Table13[[#This Row],[STR]] / ('Evolved Spider'!$X$8 / 10.8)), 1)</f>
        <v>33</v>
      </c>
      <c r="AU16" s="13">
        <f>CEILING(Arachne!$Z$4/ IF(Arachne!$X$4&lt; 10.8, Table13[[#This Row],[STR]], Table13[[#This Row],[STR]] / (Arachne!$X$4 / 10.8)), 1)</f>
        <v>46</v>
      </c>
      <c r="AV16" s="12">
        <f>CEILING('Earth Elemental'!$Z$6/ IF('Earth Elemental'!$X$6&lt; 10.8, Table13[[#This Row],[STR]], Table13[[#This Row],[STR]] / ('Earth Elemental'!$X$6 / 10.8)), 1)</f>
        <v>38</v>
      </c>
      <c r="AW16" s="12">
        <f>CEILING('Wind Elemental'!$Z$6/ IF('Wind Elemental'!$X$6&lt; 10.8, Table13[[#This Row],[STR]], Table13[[#This Row],[STR]] / ('Wind Elemental'!$X$6 / 10.8)), 1)</f>
        <v>30</v>
      </c>
      <c r="AX16" s="12">
        <f>CEILING('Water Elemental'!$Z$6/ IF('Water Elemental'!$X$6&lt; 10.8, Table13[[#This Row],[STR]], Table13[[#This Row],[STR]] / ('Water Elemental'!$X$6 / 10.8)), 1)</f>
        <v>41</v>
      </c>
      <c r="AY16" s="12">
        <f>CEILING('Fire Elemental'!$Z$4/ IF('Fire Elemental'!$X$4&lt; 10.8, Table13[[#This Row],[STR]], Table13[[#This Row],[STR]] / ('Fire Elemental'!$X$4 / 10.8)), 1)</f>
        <v>66</v>
      </c>
      <c r="AZ16" s="12">
        <f>CEILING(Wyvern!$Z$4/ IF(Wyvern!$X$4&lt; 10.8, Table13[[#This Row],[STR]], Table13[[#This Row],[STR]] / (Wyvern!$X$4 / 10.8)), 1)</f>
        <v>80</v>
      </c>
      <c r="BA16" s="12">
        <f>CEILING('Evolved Wyvern'!$Z$4/ IF('Evolved Wyvern'!$X$4&lt; 10.8, Table13[[#This Row],[STR]], Table13[[#This Row],[STR]] / ('Evolved Wyvern'!$X$4 / 10.8)), 1)</f>
        <v>102</v>
      </c>
      <c r="BB16" s="12">
        <f>CEILING(Dragon!$Z$4/ IF(Dragon!$X$4&lt; 10.8, Table13[[#This Row],[STR]], Table13[[#This Row],[STR]] / (Dragon!$X$4 / 10.8)), 1)</f>
        <v>172</v>
      </c>
    </row>
    <row r="17" spans="1:54" x14ac:dyDescent="0.3">
      <c r="A17" s="1">
        <v>15</v>
      </c>
      <c r="B17" s="1">
        <f>$B$3 + ((Table13[[#This Row],[Level]] / 10) + $B$3 / 8) * Table13[[#This Row],[Level]] + Equipment!$Z$18</f>
        <v>83.75</v>
      </c>
      <c r="C17" s="1">
        <f>2 * Table13[[#This Row],[INT]]</f>
        <v>65.5</v>
      </c>
      <c r="D17" s="1">
        <f>$D$3 + ($D$3 / 4) * Table13[[#This Row],[Level]] + Equipment!$AA$18</f>
        <v>52</v>
      </c>
      <c r="E17" s="1">
        <f>$E$3 + ($E$3 / 4) * Table13[[#This Row],[Level]] + Equipment!$AB$18</f>
        <v>39.5</v>
      </c>
      <c r="F17" s="1">
        <f>$F$3 + ($F$3 / 4) * Table13[[#This Row],[Level]] + Equipment!$AC$18</f>
        <v>45.25</v>
      </c>
      <c r="G17" s="1">
        <f>$G$3 + ($G$3 / 4) * Table13[[#This Row],[Level]] + Equipment!$AD$18</f>
        <v>32.75</v>
      </c>
      <c r="H17" s="1">
        <f>$H$3 + ($H$3 / 4) * Table13[[#This Row],[Level]] + Equipment!$AE$18</f>
        <v>39.5</v>
      </c>
      <c r="I17" s="1">
        <f xml:space="preserve"> (4 * (Table13[[#This Row],[Level]] ^ 3))/7 + $I$3</f>
        <v>2028.5714285714287</v>
      </c>
      <c r="K17" s="8">
        <f>CEILING('Blue Slime'!$B$5/ IF('Blue Slime'!$D$5&lt; 10.8, Table13[[#This Row],[STR]], Table13[[#This Row],[STR]] / ('Blue Slime'!$D$5 / 10.8)), 1)</f>
        <v>1</v>
      </c>
      <c r="L17" s="8">
        <f>CEILING('Green Slime'!$B$5/ IF('Green Slime'!$D$5&lt; 10.8, Table13[[#This Row],[STR]], Table13[[#This Row],[STR]] / ('Green Slime'!$D$5 / 10.8)), 1)</f>
        <v>1</v>
      </c>
      <c r="M17" s="8">
        <f>CEILING(Wolf!$B$6/ IF(Wolf!$D$6&lt; 10.8, Table13[[#This Row],[STR]], Table13[[#This Row],[STR]] / (Wolf!$D$6 / 10.8)), 1)</f>
        <v>2</v>
      </c>
      <c r="N17" s="8">
        <f>CEILING('Horned Wolf'!$B$5/ IF('Horned Wolf'!$D$5&lt; 10.8, Table13[[#This Row],[STR]], Table13[[#This Row],[STR]] / ('Horned Wolf'!$D$5 / 10.8)), 1)</f>
        <v>5</v>
      </c>
      <c r="O17" s="14">
        <f>CEILING(Spider!$B$7/ IF(Spider!$D$7&lt; 10.8, Table13[[#This Row],[STR]], Table13[[#This Row],[STR]] / (Spider!$D$7 / 10.8)), 1)</f>
        <v>5</v>
      </c>
      <c r="P17" s="14">
        <f>CEILING('Evolved Spider'!$B$8/ IF('Evolved Spider'!$D$8&lt; 10.8, Table13[[#This Row],[STR]], Table13[[#This Row],[STR]] / ('Evolved Spider'!$D$8 / 10.8)), 1)</f>
        <v>9</v>
      </c>
      <c r="Q17" s="14">
        <f>CEILING(Arachne!$B$4/ IF(Arachne!$D$4&lt; 10.8, Table13[[#This Row],[STR]], Table13[[#This Row],[STR]] / (Arachne!$D$4 / 10.8)), 1)</f>
        <v>11</v>
      </c>
      <c r="R17" s="12">
        <f>CEILING('Earth Elemental'!$B$6/ IF('Earth Elemental'!$D$6&lt; 10.8, Table13[[#This Row],[STR]], Table13[[#This Row],[STR]] / ('Earth Elemental'!$D$6 / 10.8)), 1)</f>
        <v>12</v>
      </c>
      <c r="S17" s="12">
        <f>CEILING('Wind Elemental'!$B$6/ IF('Wind Elemental'!$D$6&lt; 10.8, Table13[[#This Row],[STR]], Table13[[#This Row],[STR]] / ('Wind Elemental'!$D$6 / 10.8)), 1)</f>
        <v>10</v>
      </c>
      <c r="T17" s="12">
        <f>CEILING('Water Elemental'!$B$6/ IF('Water Elemental'!$D$6&lt; 10.8, Table13[[#This Row],[STR]], Table13[[#This Row],[STR]] / ('Water Elemental'!$D$6 / 10.8)), 1)</f>
        <v>15</v>
      </c>
      <c r="U17" s="12">
        <f>CEILING('Fire Elemental'!$B$4/ IF('Fire Elemental'!$D$4&lt; 10.8, Table13[[#This Row],[STR]], Table13[[#This Row],[STR]] / ('Fire Elemental'!$D$4 / 10.8)), 1)</f>
        <v>20</v>
      </c>
      <c r="V17" s="12">
        <f>CEILING(Wyvern!$B$4/ IF(Wyvern!$D$4&lt; 10.8, Table13[[#This Row],[STR]], Table13[[#This Row],[STR]] / (Wyvern!$D$4 / 10.8)), 1)</f>
        <v>26</v>
      </c>
      <c r="W17" s="12">
        <f>CEILING('Evolved Wyvern'!$B$4/ IF('Evolved Wyvern'!$D$4&lt; 10.8, Table13[[#This Row],[STR]], Table13[[#This Row],[STR]] / ('Evolved Wyvern'!$D$4 / 10.8)), 1)</f>
        <v>36</v>
      </c>
      <c r="X17" s="12">
        <f>CEILING(Dragon!$B$4/ IF(Dragon!$D$4&lt; 10.8, Table13[[#This Row],[STR]], Table13[[#This Row],[STR]] / (Dragon!$D$4 / 10.8)), 1)</f>
        <v>60</v>
      </c>
      <c r="Z17" s="8">
        <f>CEILING('Blue Slime'!$M$5/ IF('Blue Slime'!$O$5&lt; 10.8, Table13[[#This Row],[STR]], Table13[[#This Row],[STR]] / ('Blue Slime'!$O$5 / 10.8)), 1)</f>
        <v>1</v>
      </c>
      <c r="AA17" s="8">
        <f>CEILING('Green Slime'!$M$5/ IF('Green Slime'!$O$5&lt; 10.8, Table13[[#This Row],[STR]], Table13[[#This Row],[STR]] / ('Green Slime'!$O$5 / 10.8)), 1)</f>
        <v>2</v>
      </c>
      <c r="AB17" s="8">
        <f>CEILING(Wolf!$M$6/ IF(Wolf!$O$6&lt; 10.8, Table13[[#This Row],[STR]], Table13[[#This Row],[STR]] / (Wolf!$O$6 / 10.8)), 1)</f>
        <v>4</v>
      </c>
      <c r="AC17" s="8">
        <f>CEILING('Horned Wolf'!$M$5/ IF('Horned Wolf'!$O$5&lt; 10.8, Table13[[#This Row],[STR]], Table13[[#This Row],[STR]] / ('Horned Wolf'!$O$5 / 10.8)), 1)</f>
        <v>10</v>
      </c>
      <c r="AD17" s="14">
        <f>CEILING(Spider!$M$7/ IF(Spider!$O$7&lt; 10.8, Table13[[#This Row],[STR]], Table13[[#This Row],[STR]] / (Spider!$O$7 / 10.8)), 1)</f>
        <v>9</v>
      </c>
      <c r="AE17" s="14">
        <f>CEILING('Evolved Spider'!$M$8/ IF('Evolved Spider'!$O$8&lt; 10.8, Table13[[#This Row],[STR]], Table13[[#This Row],[STR]] / ('Evolved Spider'!$O$8 / 10.8)), 1)</f>
        <v>16</v>
      </c>
      <c r="AF17" s="14">
        <f>CEILING(Arachne!$M$4/ IF(Arachne!$O$4&lt; 10.8, Table13[[#This Row],[STR]], Table13[[#This Row],[STR]] / (Arachne!$O$4 / 10.8)), 1)</f>
        <v>22</v>
      </c>
      <c r="AG17" s="12">
        <f>CEILING('Earth Elemental'!$M$6/ IF('Earth Elemental'!$O$6&lt; 10.8, Table13[[#This Row],[STR]], Table13[[#This Row],[STR]] / ('Earth Elemental'!$O$6 / 10.8)), 1)</f>
        <v>20</v>
      </c>
      <c r="AH17" s="12">
        <f>CEILING('Wind Elemental'!$M$6/ IF('Wind Elemental'!$O$6&lt; 10.8, Table13[[#This Row],[STR]], Table13[[#This Row],[STR]] / ('Wind Elemental'!$O$6 / 10.8)), 1)</f>
        <v>16</v>
      </c>
      <c r="AI17" s="12">
        <f>CEILING('Water Elemental'!$M$6/ IF('Water Elemental'!$O$6&lt; 10.8, Table13[[#This Row],[STR]], Table13[[#This Row],[STR]] / ('Water Elemental'!$O$6 / 10.8)), 1)</f>
        <v>24</v>
      </c>
      <c r="AJ17" s="12">
        <f>CEILING('Fire Elemental'!$M$4/ IF('Fire Elemental'!$O$4&lt; 10.8, Table13[[#This Row],[STR]], Table13[[#This Row],[STR]] / ('Fire Elemental'!$O$4 / 10.8)), 1)</f>
        <v>34</v>
      </c>
      <c r="AK17" s="12">
        <f>CEILING(Wyvern!$M$4/ IF(Wyvern!$O$4&lt; 10.8, Table13[[#This Row],[STR]], Table13[[#This Row],[STR]] / (Wyvern!$O$4 / 10.8)), 1)</f>
        <v>43</v>
      </c>
      <c r="AL17" s="12">
        <f>CEILING('Evolved Wyvern'!$M$4/ IF('Evolved Wyvern'!$O$4&lt; 10.8, Table13[[#This Row],[STR]], Table13[[#This Row],[STR]] / ('Evolved Wyvern'!$O$4 / 10.8)), 1)</f>
        <v>57</v>
      </c>
      <c r="AM17" s="12">
        <f>CEILING(Dragon!$M$4/ IF(Dragon!$O$4&lt; 10.8, Table13[[#This Row],[STR]], Table13[[#This Row],[STR]] / (Dragon!$O$4 / 10.8)), 1)</f>
        <v>95</v>
      </c>
      <c r="AO17" s="8">
        <f>CEILING('Blue Slime'!$Z$5/ IF('Blue Slime'!$X$5&lt; 10.8, Table13[[#This Row],[STR]], Table13[[#This Row],[STR]] / ('Blue Slime'!$X$5 / 10.8)), 1)</f>
        <v>2</v>
      </c>
      <c r="AP17" s="8">
        <f>CEILING('Green Slime'!$Z$5/ IF('Green Slime'!$X$5&lt; 10.8, Table13[[#This Row],[STR]], Table13[[#This Row],[STR]] / ('Green Slime'!$X$5 / 10.8)), 1)</f>
        <v>3</v>
      </c>
      <c r="AQ17" s="8">
        <f>CEILING(Wolf!$Z$6/ IF(Wolf!$X$6&lt; 10.8, Table13[[#This Row],[STR]], Table13[[#This Row],[STR]] / (Wolf!$X$6 / 10.8)), 1)</f>
        <v>6</v>
      </c>
      <c r="AR17" s="8">
        <f>CEILING('Horned Wolf'!$Z$5/ IF('Horned Wolf'!$X$5&lt; 10.8, Table13[[#This Row],[STR]], Table13[[#This Row],[STR]] / ('Horned Wolf'!$X$5 / 10.8)), 1)</f>
        <v>17</v>
      </c>
      <c r="AS17" s="13">
        <f>CEILING(Spider!$Z$7/ IF(Spider!$X$7&lt; 10.8, Table13[[#This Row],[STR]], Table13[[#This Row],[STR]] / (Spider!$X$7 / 10.8)), 1)</f>
        <v>15</v>
      </c>
      <c r="AT17" s="13">
        <f>CEILING('Evolved Spider'!$Z$8/ IF('Evolved Spider'!$X$8&lt; 10.8, Table13[[#This Row],[STR]], Table13[[#This Row],[STR]] / ('Evolved Spider'!$X$8 / 10.8)), 1)</f>
        <v>26</v>
      </c>
      <c r="AU17" s="13">
        <f>CEILING(Arachne!$Z$4/ IF(Arachne!$X$4&lt; 10.8, Table13[[#This Row],[STR]], Table13[[#This Row],[STR]] / (Arachne!$X$4 / 10.8)), 1)</f>
        <v>36</v>
      </c>
      <c r="AV17" s="12">
        <f>CEILING('Earth Elemental'!$Z$6/ IF('Earth Elemental'!$X$6&lt; 10.8, Table13[[#This Row],[STR]], Table13[[#This Row],[STR]] / ('Earth Elemental'!$X$6 / 10.8)), 1)</f>
        <v>30</v>
      </c>
      <c r="AW17" s="12">
        <f>CEILING('Wind Elemental'!$Z$6/ IF('Wind Elemental'!$X$6&lt; 10.8, Table13[[#This Row],[STR]], Table13[[#This Row],[STR]] / ('Wind Elemental'!$X$6 / 10.8)), 1)</f>
        <v>23</v>
      </c>
      <c r="AX17" s="12">
        <f>CEILING('Water Elemental'!$Z$6/ IF('Water Elemental'!$X$6&lt; 10.8, Table13[[#This Row],[STR]], Table13[[#This Row],[STR]] / ('Water Elemental'!$X$6 / 10.8)), 1)</f>
        <v>32</v>
      </c>
      <c r="AY17" s="12">
        <f>CEILING('Fire Elemental'!$Z$4/ IF('Fire Elemental'!$X$4&lt; 10.8, Table13[[#This Row],[STR]], Table13[[#This Row],[STR]] / ('Fire Elemental'!$X$4 / 10.8)), 1)</f>
        <v>52</v>
      </c>
      <c r="AZ17" s="12">
        <f>CEILING(Wyvern!$Z$4/ IF(Wyvern!$X$4&lt; 10.8, Table13[[#This Row],[STR]], Table13[[#This Row],[STR]] / (Wyvern!$X$4 / 10.8)), 1)</f>
        <v>63</v>
      </c>
      <c r="BA17" s="12">
        <f>CEILING('Evolved Wyvern'!$Z$4/ IF('Evolved Wyvern'!$X$4&lt; 10.8, Table13[[#This Row],[STR]], Table13[[#This Row],[STR]] / ('Evolved Wyvern'!$X$4 / 10.8)), 1)</f>
        <v>80</v>
      </c>
      <c r="BB17" s="12">
        <f>CEILING(Dragon!$Z$4/ IF(Dragon!$X$4&lt; 10.8, Table13[[#This Row],[STR]], Table13[[#This Row],[STR]] / (Dragon!$X$4 / 10.8)), 1)</f>
        <v>135</v>
      </c>
    </row>
    <row r="18" spans="1:54" x14ac:dyDescent="0.3">
      <c r="A18" s="1">
        <v>16</v>
      </c>
      <c r="B18" s="1">
        <f>$B$3 + ((Table13[[#This Row],[Level]] / 10) + $B$3 / 8) * Table13[[#This Row],[Level]] + Equipment!$Z$18</f>
        <v>88.6</v>
      </c>
      <c r="C18" s="1">
        <f>2 * Table13[[#This Row],[INT]]</f>
        <v>68</v>
      </c>
      <c r="D18" s="1">
        <f>$D$3 + ($D$3 / 4) * Table13[[#This Row],[Level]] + Equipment!$AA$18</f>
        <v>54</v>
      </c>
      <c r="E18" s="1">
        <f>$E$3 + ($E$3 / 4) * Table13[[#This Row],[Level]] + Equipment!$AB$18</f>
        <v>41</v>
      </c>
      <c r="F18" s="1">
        <f>$F$3 + ($F$3 / 4) * Table13[[#This Row],[Level]] + Equipment!$AC$18</f>
        <v>47</v>
      </c>
      <c r="G18" s="1">
        <f>$G$3 + ($G$3 / 4) * Table13[[#This Row],[Level]] + Equipment!$AD$18</f>
        <v>34</v>
      </c>
      <c r="H18" s="1">
        <f>$H$3 + ($H$3 / 4) * Table13[[#This Row],[Level]] + Equipment!$AE$18</f>
        <v>41</v>
      </c>
      <c r="I18" s="1">
        <f xml:space="preserve"> (4 * (Table13[[#This Row],[Level]] ^ 3))/7 + $I$3</f>
        <v>2440.5714285714284</v>
      </c>
      <c r="K18" s="8">
        <f>CEILING('Blue Slime'!$B$5/ IF('Blue Slime'!$D$5&lt; 10.8, Table13[[#This Row],[STR]], Table13[[#This Row],[STR]] / ('Blue Slime'!$D$5 / 10.8)), 1)</f>
        <v>1</v>
      </c>
      <c r="L18" s="8">
        <f>CEILING('Green Slime'!$B$5/ IF('Green Slime'!$D$5&lt; 10.8, Table13[[#This Row],[STR]], Table13[[#This Row],[STR]] / ('Green Slime'!$D$5 / 10.8)), 1)</f>
        <v>1</v>
      </c>
      <c r="M18" s="8">
        <f>CEILING(Wolf!$B$6/ IF(Wolf!$D$6&lt; 10.8, Table13[[#This Row],[STR]], Table13[[#This Row],[STR]] / (Wolf!$D$6 / 10.8)), 1)</f>
        <v>2</v>
      </c>
      <c r="N18" s="8">
        <f>CEILING('Horned Wolf'!$B$5/ IF('Horned Wolf'!$D$5&lt; 10.8, Table13[[#This Row],[STR]], Table13[[#This Row],[STR]] / ('Horned Wolf'!$D$5 / 10.8)), 1)</f>
        <v>5</v>
      </c>
      <c r="O18" s="14">
        <f>CEILING(Spider!$B$7/ IF(Spider!$D$7&lt; 10.8, Table13[[#This Row],[STR]], Table13[[#This Row],[STR]] / (Spider!$D$7 / 10.8)), 1)</f>
        <v>4</v>
      </c>
      <c r="P18" s="14">
        <f>CEILING('Evolved Spider'!$B$8/ IF('Evolved Spider'!$D$8&lt; 10.8, Table13[[#This Row],[STR]], Table13[[#This Row],[STR]] / ('Evolved Spider'!$D$8 / 10.8)), 1)</f>
        <v>8</v>
      </c>
      <c r="Q18" s="14">
        <f>CEILING(Arachne!$B$4/ IF(Arachne!$D$4&lt; 10.8, Table13[[#This Row],[STR]], Table13[[#This Row],[STR]] / (Arachne!$D$4 / 10.8)), 1)</f>
        <v>11</v>
      </c>
      <c r="R18" s="12">
        <f>CEILING('Earth Elemental'!$B$6/ IF('Earth Elemental'!$D$6&lt; 10.8, Table13[[#This Row],[STR]], Table13[[#This Row],[STR]] / ('Earth Elemental'!$D$6 / 10.8)), 1)</f>
        <v>11</v>
      </c>
      <c r="S18" s="12">
        <f>CEILING('Wind Elemental'!$B$6/ IF('Wind Elemental'!$D$6&lt; 10.8, Table13[[#This Row],[STR]], Table13[[#This Row],[STR]] / ('Wind Elemental'!$D$6 / 10.8)), 1)</f>
        <v>10</v>
      </c>
      <c r="T18" s="12">
        <f>CEILING('Water Elemental'!$B$6/ IF('Water Elemental'!$D$6&lt; 10.8, Table13[[#This Row],[STR]], Table13[[#This Row],[STR]] / ('Water Elemental'!$D$6 / 10.8)), 1)</f>
        <v>15</v>
      </c>
      <c r="U18" s="12">
        <f>CEILING('Fire Elemental'!$B$4/ IF('Fire Elemental'!$D$4&lt; 10.8, Table13[[#This Row],[STR]], Table13[[#This Row],[STR]] / ('Fire Elemental'!$D$4 / 10.8)), 1)</f>
        <v>19</v>
      </c>
      <c r="V18" s="12">
        <f>CEILING(Wyvern!$B$4/ IF(Wyvern!$D$4&lt; 10.8, Table13[[#This Row],[STR]], Table13[[#This Row],[STR]] / (Wyvern!$D$4 / 10.8)), 1)</f>
        <v>25</v>
      </c>
      <c r="W18" s="12">
        <f>CEILING('Evolved Wyvern'!$B$4/ IF('Evolved Wyvern'!$D$4&lt; 10.8, Table13[[#This Row],[STR]], Table13[[#This Row],[STR]] / ('Evolved Wyvern'!$D$4 / 10.8)), 1)</f>
        <v>35</v>
      </c>
      <c r="X18" s="12">
        <f>CEILING(Dragon!$B$4/ IF(Dragon!$D$4&lt; 10.8, Table13[[#This Row],[STR]], Table13[[#This Row],[STR]] / (Dragon!$D$4 / 10.8)), 1)</f>
        <v>57</v>
      </c>
      <c r="Z18" s="8">
        <f>CEILING('Blue Slime'!$M$5/ IF('Blue Slime'!$O$5&lt; 10.8, Table13[[#This Row],[STR]], Table13[[#This Row],[STR]] / ('Blue Slime'!$O$5 / 10.8)), 1)</f>
        <v>1</v>
      </c>
      <c r="AA18" s="8">
        <f>CEILING('Green Slime'!$M$5/ IF('Green Slime'!$O$5&lt; 10.8, Table13[[#This Row],[STR]], Table13[[#This Row],[STR]] / ('Green Slime'!$O$5 / 10.8)), 1)</f>
        <v>2</v>
      </c>
      <c r="AB18" s="8">
        <f>CEILING(Wolf!$M$6/ IF(Wolf!$O$6&lt; 10.8, Table13[[#This Row],[STR]], Table13[[#This Row],[STR]] / (Wolf!$O$6 / 10.8)), 1)</f>
        <v>4</v>
      </c>
      <c r="AC18" s="8">
        <f>CEILING('Horned Wolf'!$M$5/ IF('Horned Wolf'!$O$5&lt; 10.8, Table13[[#This Row],[STR]], Table13[[#This Row],[STR]] / ('Horned Wolf'!$O$5 / 10.8)), 1)</f>
        <v>9</v>
      </c>
      <c r="AD18" s="14">
        <f>CEILING(Spider!$M$7/ IF(Spider!$O$7&lt; 10.8, Table13[[#This Row],[STR]], Table13[[#This Row],[STR]] / (Spider!$O$7 / 10.8)), 1)</f>
        <v>9</v>
      </c>
      <c r="AE18" s="14">
        <f>CEILING('Evolved Spider'!$M$8/ IF('Evolved Spider'!$O$8&lt; 10.8, Table13[[#This Row],[STR]], Table13[[#This Row],[STR]] / ('Evolved Spider'!$O$8 / 10.8)), 1)</f>
        <v>16</v>
      </c>
      <c r="AF18" s="14">
        <f>CEILING(Arachne!$M$4/ IF(Arachne!$O$4&lt; 10.8, Table13[[#This Row],[STR]], Table13[[#This Row],[STR]] / (Arachne!$O$4 / 10.8)), 1)</f>
        <v>21</v>
      </c>
      <c r="AG18" s="12">
        <f>CEILING('Earth Elemental'!$M$6/ IF('Earth Elemental'!$O$6&lt; 10.8, Table13[[#This Row],[STR]], Table13[[#This Row],[STR]] / ('Earth Elemental'!$O$6 / 10.8)), 1)</f>
        <v>19</v>
      </c>
      <c r="AH18" s="12">
        <f>CEILING('Wind Elemental'!$M$6/ IF('Wind Elemental'!$O$6&lt; 10.8, Table13[[#This Row],[STR]], Table13[[#This Row],[STR]] / ('Wind Elemental'!$O$6 / 10.8)), 1)</f>
        <v>16</v>
      </c>
      <c r="AI18" s="12">
        <f>CEILING('Water Elemental'!$M$6/ IF('Water Elemental'!$O$6&lt; 10.8, Table13[[#This Row],[STR]], Table13[[#This Row],[STR]] / ('Water Elemental'!$O$6 / 10.8)), 1)</f>
        <v>23</v>
      </c>
      <c r="AJ18" s="12">
        <f>CEILING('Fire Elemental'!$M$4/ IF('Fire Elemental'!$O$4&lt; 10.8, Table13[[#This Row],[STR]], Table13[[#This Row],[STR]] / ('Fire Elemental'!$O$4 / 10.8)), 1)</f>
        <v>33</v>
      </c>
      <c r="AK18" s="12">
        <f>CEILING(Wyvern!$M$4/ IF(Wyvern!$O$4&lt; 10.8, Table13[[#This Row],[STR]], Table13[[#This Row],[STR]] / (Wyvern!$O$4 / 10.8)), 1)</f>
        <v>42</v>
      </c>
      <c r="AL18" s="12">
        <f>CEILING('Evolved Wyvern'!$M$4/ IF('Evolved Wyvern'!$O$4&lt; 10.8, Table13[[#This Row],[STR]], Table13[[#This Row],[STR]] / ('Evolved Wyvern'!$O$4 / 10.8)), 1)</f>
        <v>55</v>
      </c>
      <c r="AM18" s="12">
        <f>CEILING(Dragon!$M$4/ IF(Dragon!$O$4&lt; 10.8, Table13[[#This Row],[STR]], Table13[[#This Row],[STR]] / (Dragon!$O$4 / 10.8)), 1)</f>
        <v>92</v>
      </c>
      <c r="AO18" s="8">
        <f>CEILING('Blue Slime'!$Z$5/ IF('Blue Slime'!$X$5&lt; 10.8, Table13[[#This Row],[STR]], Table13[[#This Row],[STR]] / ('Blue Slime'!$X$5 / 10.8)), 1)</f>
        <v>2</v>
      </c>
      <c r="AP18" s="8">
        <f>CEILING('Green Slime'!$Z$5/ IF('Green Slime'!$X$5&lt; 10.8, Table13[[#This Row],[STR]], Table13[[#This Row],[STR]] / ('Green Slime'!$X$5 / 10.8)), 1)</f>
        <v>2</v>
      </c>
      <c r="AQ18" s="8">
        <f>CEILING(Wolf!$Z$6/ IF(Wolf!$X$6&lt; 10.8, Table13[[#This Row],[STR]], Table13[[#This Row],[STR]] / (Wolf!$X$6 / 10.8)), 1)</f>
        <v>6</v>
      </c>
      <c r="AR18" s="8">
        <f>CEILING('Horned Wolf'!$Z$5/ IF('Horned Wolf'!$X$5&lt; 10.8, Table13[[#This Row],[STR]], Table13[[#This Row],[STR]] / ('Horned Wolf'!$X$5 / 10.8)), 1)</f>
        <v>16</v>
      </c>
      <c r="AS18" s="13">
        <f>CEILING(Spider!$Z$7/ IF(Spider!$X$7&lt; 10.8, Table13[[#This Row],[STR]], Table13[[#This Row],[STR]] / (Spider!$X$7 / 10.8)), 1)</f>
        <v>14</v>
      </c>
      <c r="AT18" s="13">
        <f>CEILING('Evolved Spider'!$Z$8/ IF('Evolved Spider'!$X$8&lt; 10.8, Table13[[#This Row],[STR]], Table13[[#This Row],[STR]] / ('Evolved Spider'!$X$8 / 10.8)), 1)</f>
        <v>25</v>
      </c>
      <c r="AU18" s="13">
        <f>CEILING(Arachne!$Z$4/ IF(Arachne!$X$4&lt; 10.8, Table13[[#This Row],[STR]], Table13[[#This Row],[STR]] / (Arachne!$X$4 / 10.8)), 1)</f>
        <v>35</v>
      </c>
      <c r="AV18" s="12">
        <f>CEILING('Earth Elemental'!$Z$6/ IF('Earth Elemental'!$X$6&lt; 10.8, Table13[[#This Row],[STR]], Table13[[#This Row],[STR]] / ('Earth Elemental'!$X$6 / 10.8)), 1)</f>
        <v>29</v>
      </c>
      <c r="AW18" s="12">
        <f>CEILING('Wind Elemental'!$Z$6/ IF('Wind Elemental'!$X$6&lt; 10.8, Table13[[#This Row],[STR]], Table13[[#This Row],[STR]] / ('Wind Elemental'!$X$6 / 10.8)), 1)</f>
        <v>23</v>
      </c>
      <c r="AX18" s="12">
        <f>CEILING('Water Elemental'!$Z$6/ IF('Water Elemental'!$X$6&lt; 10.8, Table13[[#This Row],[STR]], Table13[[#This Row],[STR]] / ('Water Elemental'!$X$6 / 10.8)), 1)</f>
        <v>31</v>
      </c>
      <c r="AY18" s="12">
        <f>CEILING('Fire Elemental'!$Z$4/ IF('Fire Elemental'!$X$4&lt; 10.8, Table13[[#This Row],[STR]], Table13[[#This Row],[STR]] / ('Fire Elemental'!$X$4 / 10.8)), 1)</f>
        <v>50</v>
      </c>
      <c r="AZ18" s="12">
        <f>CEILING(Wyvern!$Z$4/ IF(Wyvern!$X$4&lt; 10.8, Table13[[#This Row],[STR]], Table13[[#This Row],[STR]] / (Wyvern!$X$4 / 10.8)), 1)</f>
        <v>60</v>
      </c>
      <c r="BA18" s="12">
        <f>CEILING('Evolved Wyvern'!$Z$4/ IF('Evolved Wyvern'!$X$4&lt; 10.8, Table13[[#This Row],[STR]], Table13[[#This Row],[STR]] / ('Evolved Wyvern'!$X$4 / 10.8)), 1)</f>
        <v>77</v>
      </c>
      <c r="BB18" s="12">
        <f>CEILING(Dragon!$Z$4/ IF(Dragon!$X$4&lt; 10.8, Table13[[#This Row],[STR]], Table13[[#This Row],[STR]] / (Dragon!$X$4 / 10.8)), 1)</f>
        <v>130</v>
      </c>
    </row>
    <row r="19" spans="1:54" x14ac:dyDescent="0.3">
      <c r="A19" s="1">
        <v>17</v>
      </c>
      <c r="B19" s="1">
        <f>$B$3 + ((Table13[[#This Row],[Level]] / 10) + $B$3 / 8) * Table13[[#This Row],[Level]] + Equipment!$Z$18</f>
        <v>93.65</v>
      </c>
      <c r="C19" s="1">
        <f>2 * Table13[[#This Row],[INT]]</f>
        <v>70.5</v>
      </c>
      <c r="D19" s="1">
        <f>$D$3 + ($D$3 / 4) * Table13[[#This Row],[Level]] + Equipment!$AA$18</f>
        <v>56</v>
      </c>
      <c r="E19" s="1">
        <f>$E$3 + ($E$3 / 4) * Table13[[#This Row],[Level]] + Equipment!$AB$18</f>
        <v>42.5</v>
      </c>
      <c r="F19" s="1">
        <f>$F$3 + ($F$3 / 4) * Table13[[#This Row],[Level]] + Equipment!$AC$18</f>
        <v>48.75</v>
      </c>
      <c r="G19" s="1">
        <f>$G$3 + ($G$3 / 4) * Table13[[#This Row],[Level]] + Equipment!$AD$18</f>
        <v>35.25</v>
      </c>
      <c r="H19" s="1">
        <f>$H$3 + ($H$3 / 4) * Table13[[#This Row],[Level]] + Equipment!$AE$18</f>
        <v>42.5</v>
      </c>
      <c r="I19" s="1">
        <f xml:space="preserve"> (4 * (Table13[[#This Row],[Level]] ^ 3))/7 + $I$3</f>
        <v>2907.4285714285716</v>
      </c>
      <c r="K19" s="8">
        <f>CEILING('Blue Slime'!$B$5/ IF('Blue Slime'!$D$5&lt; 10.8, Table13[[#This Row],[STR]], Table13[[#This Row],[STR]] / ('Blue Slime'!$D$5 / 10.8)), 1)</f>
        <v>1</v>
      </c>
      <c r="L19" s="8">
        <f>CEILING('Green Slime'!$B$5/ IF('Green Slime'!$D$5&lt; 10.8, Table13[[#This Row],[STR]], Table13[[#This Row],[STR]] / ('Green Slime'!$D$5 / 10.8)), 1)</f>
        <v>1</v>
      </c>
      <c r="M19" s="8">
        <f>CEILING(Wolf!$B$6/ IF(Wolf!$D$6&lt; 10.8, Table13[[#This Row],[STR]], Table13[[#This Row],[STR]] / (Wolf!$D$6 / 10.8)), 1)</f>
        <v>2</v>
      </c>
      <c r="N19" s="8">
        <f>CEILING('Horned Wolf'!$B$5/ IF('Horned Wolf'!$D$5&lt; 10.8, Table13[[#This Row],[STR]], Table13[[#This Row],[STR]] / ('Horned Wolf'!$D$5 / 10.8)), 1)</f>
        <v>4</v>
      </c>
      <c r="O19" s="14">
        <f>CEILING(Spider!$B$7/ IF(Spider!$D$7&lt; 10.8, Table13[[#This Row],[STR]], Table13[[#This Row],[STR]] / (Spider!$D$7 / 10.8)), 1)</f>
        <v>4</v>
      </c>
      <c r="P19" s="14">
        <f>CEILING('Evolved Spider'!$B$8/ IF('Evolved Spider'!$D$8&lt; 10.8, Table13[[#This Row],[STR]], Table13[[#This Row],[STR]] / ('Evolved Spider'!$D$8 / 10.8)), 1)</f>
        <v>8</v>
      </c>
      <c r="Q19" s="14">
        <f>CEILING(Arachne!$B$4/ IF(Arachne!$D$4&lt; 10.8, Table13[[#This Row],[STR]], Table13[[#This Row],[STR]] / (Arachne!$D$4 / 10.8)), 1)</f>
        <v>11</v>
      </c>
      <c r="R19" s="12">
        <f>CEILING('Earth Elemental'!$B$6/ IF('Earth Elemental'!$D$6&lt; 10.8, Table13[[#This Row],[STR]], Table13[[#This Row],[STR]] / ('Earth Elemental'!$D$6 / 10.8)), 1)</f>
        <v>11</v>
      </c>
      <c r="S19" s="12">
        <f>CEILING('Wind Elemental'!$B$6/ IF('Wind Elemental'!$D$6&lt; 10.8, Table13[[#This Row],[STR]], Table13[[#This Row],[STR]] / ('Wind Elemental'!$D$6 / 10.8)), 1)</f>
        <v>10</v>
      </c>
      <c r="T19" s="12">
        <f>CEILING('Water Elemental'!$B$6/ IF('Water Elemental'!$D$6&lt; 10.8, Table13[[#This Row],[STR]], Table13[[#This Row],[STR]] / ('Water Elemental'!$D$6 / 10.8)), 1)</f>
        <v>14</v>
      </c>
      <c r="U19" s="12">
        <f>CEILING('Fire Elemental'!$B$4/ IF('Fire Elemental'!$D$4&lt; 10.8, Table13[[#This Row],[STR]], Table13[[#This Row],[STR]] / ('Fire Elemental'!$D$4 / 10.8)), 1)</f>
        <v>18</v>
      </c>
      <c r="V19" s="12">
        <f>CEILING(Wyvern!$B$4/ IF(Wyvern!$D$4&lt; 10.8, Table13[[#This Row],[STR]], Table13[[#This Row],[STR]] / (Wyvern!$D$4 / 10.8)), 1)</f>
        <v>25</v>
      </c>
      <c r="W19" s="12">
        <f>CEILING('Evolved Wyvern'!$B$4/ IF('Evolved Wyvern'!$D$4&lt; 10.8, Table13[[#This Row],[STR]], Table13[[#This Row],[STR]] / ('Evolved Wyvern'!$D$4 / 10.8)), 1)</f>
        <v>34</v>
      </c>
      <c r="X19" s="12">
        <f>CEILING(Dragon!$B$4/ IF(Dragon!$D$4&lt; 10.8, Table13[[#This Row],[STR]], Table13[[#This Row],[STR]] / (Dragon!$D$4 / 10.8)), 1)</f>
        <v>55</v>
      </c>
      <c r="Z19" s="8">
        <f>CEILING('Blue Slime'!$M$5/ IF('Blue Slime'!$O$5&lt; 10.8, Table13[[#This Row],[STR]], Table13[[#This Row],[STR]] / ('Blue Slime'!$O$5 / 10.8)), 1)</f>
        <v>1</v>
      </c>
      <c r="AA19" s="8">
        <f>CEILING('Green Slime'!$M$5/ IF('Green Slime'!$O$5&lt; 10.8, Table13[[#This Row],[STR]], Table13[[#This Row],[STR]] / ('Green Slime'!$O$5 / 10.8)), 1)</f>
        <v>2</v>
      </c>
      <c r="AB19" s="8">
        <f>CEILING(Wolf!$M$6/ IF(Wolf!$O$6&lt; 10.8, Table13[[#This Row],[STR]], Table13[[#This Row],[STR]] / (Wolf!$O$6 / 10.8)), 1)</f>
        <v>4</v>
      </c>
      <c r="AC19" s="8">
        <f>CEILING('Horned Wolf'!$M$5/ IF('Horned Wolf'!$O$5&lt; 10.8, Table13[[#This Row],[STR]], Table13[[#This Row],[STR]] / ('Horned Wolf'!$O$5 / 10.8)), 1)</f>
        <v>9</v>
      </c>
      <c r="AD19" s="14">
        <f>CEILING(Spider!$M$7/ IF(Spider!$O$7&lt; 10.8, Table13[[#This Row],[STR]], Table13[[#This Row],[STR]] / (Spider!$O$7 / 10.8)), 1)</f>
        <v>8</v>
      </c>
      <c r="AE19" s="14">
        <f>CEILING('Evolved Spider'!$M$8/ IF('Evolved Spider'!$O$8&lt; 10.8, Table13[[#This Row],[STR]], Table13[[#This Row],[STR]] / ('Evolved Spider'!$O$8 / 10.8)), 1)</f>
        <v>15</v>
      </c>
      <c r="AF19" s="14">
        <f>CEILING(Arachne!$M$4/ IF(Arachne!$O$4&lt; 10.8, Table13[[#This Row],[STR]], Table13[[#This Row],[STR]] / (Arachne!$O$4 / 10.8)), 1)</f>
        <v>20</v>
      </c>
      <c r="AG19" s="12">
        <f>CEILING('Earth Elemental'!$M$6/ IF('Earth Elemental'!$O$6&lt; 10.8, Table13[[#This Row],[STR]], Table13[[#This Row],[STR]] / ('Earth Elemental'!$O$6 / 10.8)), 1)</f>
        <v>18</v>
      </c>
      <c r="AH19" s="12">
        <f>CEILING('Wind Elemental'!$M$6/ IF('Wind Elemental'!$O$6&lt; 10.8, Table13[[#This Row],[STR]], Table13[[#This Row],[STR]] / ('Wind Elemental'!$O$6 / 10.8)), 1)</f>
        <v>15</v>
      </c>
      <c r="AI19" s="12">
        <f>CEILING('Water Elemental'!$M$6/ IF('Water Elemental'!$O$6&lt; 10.8, Table13[[#This Row],[STR]], Table13[[#This Row],[STR]] / ('Water Elemental'!$O$6 / 10.8)), 1)</f>
        <v>22</v>
      </c>
      <c r="AJ19" s="12">
        <f>CEILING('Fire Elemental'!$M$4/ IF('Fire Elemental'!$O$4&lt; 10.8, Table13[[#This Row],[STR]], Table13[[#This Row],[STR]] / ('Fire Elemental'!$O$4 / 10.8)), 1)</f>
        <v>32</v>
      </c>
      <c r="AK19" s="12">
        <f>CEILING(Wyvern!$M$4/ IF(Wyvern!$O$4&lt; 10.8, Table13[[#This Row],[STR]], Table13[[#This Row],[STR]] / (Wyvern!$O$4 / 10.8)), 1)</f>
        <v>40</v>
      </c>
      <c r="AL19" s="12">
        <f>CEILING('Evolved Wyvern'!$M$4/ IF('Evolved Wyvern'!$O$4&lt; 10.8, Table13[[#This Row],[STR]], Table13[[#This Row],[STR]] / ('Evolved Wyvern'!$O$4 / 10.8)), 1)</f>
        <v>53</v>
      </c>
      <c r="AM19" s="12">
        <f>CEILING(Dragon!$M$4/ IF(Dragon!$O$4&lt; 10.8, Table13[[#This Row],[STR]], Table13[[#This Row],[STR]] / (Dragon!$O$4 / 10.8)), 1)</f>
        <v>89</v>
      </c>
      <c r="AO19" s="8">
        <f>CEILING('Blue Slime'!$Z$5/ IF('Blue Slime'!$X$5&lt; 10.8, Table13[[#This Row],[STR]], Table13[[#This Row],[STR]] / ('Blue Slime'!$X$5 / 10.8)), 1)</f>
        <v>2</v>
      </c>
      <c r="AP19" s="8">
        <f>CEILING('Green Slime'!$Z$5/ IF('Green Slime'!$X$5&lt; 10.8, Table13[[#This Row],[STR]], Table13[[#This Row],[STR]] / ('Green Slime'!$X$5 / 10.8)), 1)</f>
        <v>2</v>
      </c>
      <c r="AQ19" s="8">
        <f>CEILING(Wolf!$Z$6/ IF(Wolf!$X$6&lt; 10.8, Table13[[#This Row],[STR]], Table13[[#This Row],[STR]] / (Wolf!$X$6 / 10.8)), 1)</f>
        <v>6</v>
      </c>
      <c r="AR19" s="8">
        <f>CEILING('Horned Wolf'!$Z$5/ IF('Horned Wolf'!$X$5&lt; 10.8, Table13[[#This Row],[STR]], Table13[[#This Row],[STR]] / ('Horned Wolf'!$X$5 / 10.8)), 1)</f>
        <v>16</v>
      </c>
      <c r="AS19" s="13">
        <f>CEILING(Spider!$Z$7/ IF(Spider!$X$7&lt; 10.8, Table13[[#This Row],[STR]], Table13[[#This Row],[STR]] / (Spider!$X$7 / 10.8)), 1)</f>
        <v>14</v>
      </c>
      <c r="AT19" s="13">
        <f>CEILING('Evolved Spider'!$Z$8/ IF('Evolved Spider'!$X$8&lt; 10.8, Table13[[#This Row],[STR]], Table13[[#This Row],[STR]] / ('Evolved Spider'!$X$8 / 10.8)), 1)</f>
        <v>25</v>
      </c>
      <c r="AU19" s="13">
        <f>CEILING(Arachne!$Z$4/ IF(Arachne!$X$4&lt; 10.8, Table13[[#This Row],[STR]], Table13[[#This Row],[STR]] / (Arachne!$X$4 / 10.8)), 1)</f>
        <v>33</v>
      </c>
      <c r="AV19" s="12">
        <f>CEILING('Earth Elemental'!$Z$6/ IF('Earth Elemental'!$X$6&lt; 10.8, Table13[[#This Row],[STR]], Table13[[#This Row],[STR]] / ('Earth Elemental'!$X$6 / 10.8)), 1)</f>
        <v>28</v>
      </c>
      <c r="AW19" s="12">
        <f>CEILING('Wind Elemental'!$Z$6/ IF('Wind Elemental'!$X$6&lt; 10.8, Table13[[#This Row],[STR]], Table13[[#This Row],[STR]] / ('Wind Elemental'!$X$6 / 10.8)), 1)</f>
        <v>22</v>
      </c>
      <c r="AX19" s="12">
        <f>CEILING('Water Elemental'!$Z$6/ IF('Water Elemental'!$X$6&lt; 10.8, Table13[[#This Row],[STR]], Table13[[#This Row],[STR]] / ('Water Elemental'!$X$6 / 10.8)), 1)</f>
        <v>30</v>
      </c>
      <c r="AY19" s="12">
        <f>CEILING('Fire Elemental'!$Z$4/ IF('Fire Elemental'!$X$4&lt; 10.8, Table13[[#This Row],[STR]], Table13[[#This Row],[STR]] / ('Fire Elemental'!$X$4 / 10.8)), 1)</f>
        <v>48</v>
      </c>
      <c r="AZ19" s="12">
        <f>CEILING(Wyvern!$Z$4/ IF(Wyvern!$X$4&lt; 10.8, Table13[[#This Row],[STR]], Table13[[#This Row],[STR]] / (Wyvern!$X$4 / 10.8)), 1)</f>
        <v>58</v>
      </c>
      <c r="BA19" s="12">
        <f>CEILING('Evolved Wyvern'!$Z$4/ IF('Evolved Wyvern'!$X$4&lt; 10.8, Table13[[#This Row],[STR]], Table13[[#This Row],[STR]] / ('Evolved Wyvern'!$X$4 / 10.8)), 1)</f>
        <v>75</v>
      </c>
      <c r="BB19" s="12">
        <f>CEILING(Dragon!$Z$4/ IF(Dragon!$X$4&lt; 10.8, Table13[[#This Row],[STR]], Table13[[#This Row],[STR]] / (Dragon!$X$4 / 10.8)), 1)</f>
        <v>126</v>
      </c>
    </row>
    <row r="20" spans="1:54" x14ac:dyDescent="0.3">
      <c r="A20" s="1">
        <v>18</v>
      </c>
      <c r="B20" s="1">
        <f>$B$3 + ((Table13[[#This Row],[Level]] / 10) + $B$3 / 8) * Table13[[#This Row],[Level]] + Equipment!$Z$18</f>
        <v>98.9</v>
      </c>
      <c r="C20" s="1">
        <f>2 * Table13[[#This Row],[INT]]</f>
        <v>73</v>
      </c>
      <c r="D20" s="1">
        <f>$D$3 + ($D$3 / 4) * Table13[[#This Row],[Level]] + Equipment!$AA$18</f>
        <v>58</v>
      </c>
      <c r="E20" s="1">
        <f>$E$3 + ($E$3 / 4) * Table13[[#This Row],[Level]] + Equipment!$AB$18</f>
        <v>44</v>
      </c>
      <c r="F20" s="1">
        <f>$F$3 + ($F$3 / 4) * Table13[[#This Row],[Level]] + Equipment!$AC$18</f>
        <v>50.5</v>
      </c>
      <c r="G20" s="1">
        <f>$G$3 + ($G$3 / 4) * Table13[[#This Row],[Level]] + Equipment!$AD$18</f>
        <v>36.5</v>
      </c>
      <c r="H20" s="1">
        <f>$H$3 + ($H$3 / 4) * Table13[[#This Row],[Level]] + Equipment!$AE$18</f>
        <v>44</v>
      </c>
      <c r="I20" s="1">
        <f xml:space="preserve"> (4 * (Table13[[#This Row],[Level]] ^ 3))/7 + $I$3</f>
        <v>3432.5714285714284</v>
      </c>
      <c r="K20" s="8">
        <f>CEILING('Blue Slime'!$B$5/ IF('Blue Slime'!$D$5&lt; 10.8, Table13[[#This Row],[STR]], Table13[[#This Row],[STR]] / ('Blue Slime'!$D$5 / 10.8)), 1)</f>
        <v>1</v>
      </c>
      <c r="L20" s="8">
        <f>CEILING('Green Slime'!$B$5/ IF('Green Slime'!$D$5&lt; 10.8, Table13[[#This Row],[STR]], Table13[[#This Row],[STR]] / ('Green Slime'!$D$5 / 10.8)), 1)</f>
        <v>1</v>
      </c>
      <c r="M20" s="8">
        <f>CEILING(Wolf!$B$6/ IF(Wolf!$D$6&lt; 10.8, Table13[[#This Row],[STR]], Table13[[#This Row],[STR]] / (Wolf!$D$6 / 10.8)), 1)</f>
        <v>2</v>
      </c>
      <c r="N20" s="8">
        <f>CEILING('Horned Wolf'!$B$5/ IF('Horned Wolf'!$D$5&lt; 10.8, Table13[[#This Row],[STR]], Table13[[#This Row],[STR]] / ('Horned Wolf'!$D$5 / 10.8)), 1)</f>
        <v>4</v>
      </c>
      <c r="O20" s="14">
        <f>CEILING(Spider!$B$7/ IF(Spider!$D$7&lt; 10.8, Table13[[#This Row],[STR]], Table13[[#This Row],[STR]] / (Spider!$D$7 / 10.8)), 1)</f>
        <v>4</v>
      </c>
      <c r="P20" s="14">
        <f>CEILING('Evolved Spider'!$B$8/ IF('Evolved Spider'!$D$8&lt; 10.8, Table13[[#This Row],[STR]], Table13[[#This Row],[STR]] / ('Evolved Spider'!$D$8 / 10.8)), 1)</f>
        <v>8</v>
      </c>
      <c r="Q20" s="14">
        <f>CEILING(Arachne!$B$4/ IF(Arachne!$D$4&lt; 10.8, Table13[[#This Row],[STR]], Table13[[#This Row],[STR]] / (Arachne!$D$4 / 10.8)), 1)</f>
        <v>10</v>
      </c>
      <c r="R20" s="12">
        <f>CEILING('Earth Elemental'!$B$6/ IF('Earth Elemental'!$D$6&lt; 10.8, Table13[[#This Row],[STR]], Table13[[#This Row],[STR]] / ('Earth Elemental'!$D$6 / 10.8)), 1)</f>
        <v>10</v>
      </c>
      <c r="S20" s="12">
        <f>CEILING('Wind Elemental'!$B$6/ IF('Wind Elemental'!$D$6&lt; 10.8, Table13[[#This Row],[STR]], Table13[[#This Row],[STR]] / ('Wind Elemental'!$D$6 / 10.8)), 1)</f>
        <v>9</v>
      </c>
      <c r="T20" s="12">
        <f>CEILING('Water Elemental'!$B$6/ IF('Water Elemental'!$D$6&lt; 10.8, Table13[[#This Row],[STR]], Table13[[#This Row],[STR]] / ('Water Elemental'!$D$6 / 10.8)), 1)</f>
        <v>14</v>
      </c>
      <c r="U20" s="12">
        <f>CEILING('Fire Elemental'!$B$4/ IF('Fire Elemental'!$D$4&lt; 10.8, Table13[[#This Row],[STR]], Table13[[#This Row],[STR]] / ('Fire Elemental'!$D$4 / 10.8)), 1)</f>
        <v>18</v>
      </c>
      <c r="V20" s="12">
        <f>CEILING(Wyvern!$B$4/ IF(Wyvern!$D$4&lt; 10.8, Table13[[#This Row],[STR]], Table13[[#This Row],[STR]] / (Wyvern!$D$4 / 10.8)), 1)</f>
        <v>24</v>
      </c>
      <c r="W20" s="12">
        <f>CEILING('Evolved Wyvern'!$B$4/ IF('Evolved Wyvern'!$D$4&lt; 10.8, Table13[[#This Row],[STR]], Table13[[#This Row],[STR]] / ('Evolved Wyvern'!$D$4 / 10.8)), 1)</f>
        <v>33</v>
      </c>
      <c r="X20" s="12">
        <f>CEILING(Dragon!$B$4/ IF(Dragon!$D$4&lt; 10.8, Table13[[#This Row],[STR]], Table13[[#This Row],[STR]] / (Dragon!$D$4 / 10.8)), 1)</f>
        <v>53</v>
      </c>
      <c r="Z20" s="8">
        <f>CEILING('Blue Slime'!$M$5/ IF('Blue Slime'!$O$5&lt; 10.8, Table13[[#This Row],[STR]], Table13[[#This Row],[STR]] / ('Blue Slime'!$O$5 / 10.8)), 1)</f>
        <v>1</v>
      </c>
      <c r="AA20" s="8">
        <f>CEILING('Green Slime'!$M$5/ IF('Green Slime'!$O$5&lt; 10.8, Table13[[#This Row],[STR]], Table13[[#This Row],[STR]] / ('Green Slime'!$O$5 / 10.8)), 1)</f>
        <v>2</v>
      </c>
      <c r="AB20" s="8">
        <f>CEILING(Wolf!$M$6/ IF(Wolf!$O$6&lt; 10.8, Table13[[#This Row],[STR]], Table13[[#This Row],[STR]] / (Wolf!$O$6 / 10.8)), 1)</f>
        <v>3</v>
      </c>
      <c r="AC20" s="8">
        <f>CEILING('Horned Wolf'!$M$5/ IF('Horned Wolf'!$O$5&lt; 10.8, Table13[[#This Row],[STR]], Table13[[#This Row],[STR]] / ('Horned Wolf'!$O$5 / 10.8)), 1)</f>
        <v>9</v>
      </c>
      <c r="AD20" s="14">
        <f>CEILING(Spider!$M$7/ IF(Spider!$O$7&lt; 10.8, Table13[[#This Row],[STR]], Table13[[#This Row],[STR]] / (Spider!$O$7 / 10.8)), 1)</f>
        <v>8</v>
      </c>
      <c r="AE20" s="14">
        <f>CEILING('Evolved Spider'!$M$8/ IF('Evolved Spider'!$O$8&lt; 10.8, Table13[[#This Row],[STR]], Table13[[#This Row],[STR]] / ('Evolved Spider'!$O$8 / 10.8)), 1)</f>
        <v>15</v>
      </c>
      <c r="AF20" s="14">
        <f>CEILING(Arachne!$M$4/ IF(Arachne!$O$4&lt; 10.8, Table13[[#This Row],[STR]], Table13[[#This Row],[STR]] / (Arachne!$O$4 / 10.8)), 1)</f>
        <v>20</v>
      </c>
      <c r="AG20" s="12">
        <f>CEILING('Earth Elemental'!$M$6/ IF('Earth Elemental'!$O$6&lt; 10.8, Table13[[#This Row],[STR]], Table13[[#This Row],[STR]] / ('Earth Elemental'!$O$6 / 10.8)), 1)</f>
        <v>18</v>
      </c>
      <c r="AH20" s="12">
        <f>CEILING('Wind Elemental'!$M$6/ IF('Wind Elemental'!$O$6&lt; 10.8, Table13[[#This Row],[STR]], Table13[[#This Row],[STR]] / ('Wind Elemental'!$O$6 / 10.8)), 1)</f>
        <v>15</v>
      </c>
      <c r="AI20" s="12">
        <f>CEILING('Water Elemental'!$M$6/ IF('Water Elemental'!$O$6&lt; 10.8, Table13[[#This Row],[STR]], Table13[[#This Row],[STR]] / ('Water Elemental'!$O$6 / 10.8)), 1)</f>
        <v>21</v>
      </c>
      <c r="AJ20" s="12">
        <f>CEILING('Fire Elemental'!$M$4/ IF('Fire Elemental'!$O$4&lt; 10.8, Table13[[#This Row],[STR]], Table13[[#This Row],[STR]] / ('Fire Elemental'!$O$4 / 10.8)), 1)</f>
        <v>31</v>
      </c>
      <c r="AK20" s="12">
        <f>CEILING(Wyvern!$M$4/ IF(Wyvern!$O$4&lt; 10.8, Table13[[#This Row],[STR]], Table13[[#This Row],[STR]] / (Wyvern!$O$4 / 10.8)), 1)</f>
        <v>39</v>
      </c>
      <c r="AL20" s="12">
        <f>CEILING('Evolved Wyvern'!$M$4/ IF('Evolved Wyvern'!$O$4&lt; 10.8, Table13[[#This Row],[STR]], Table13[[#This Row],[STR]] / ('Evolved Wyvern'!$O$4 / 10.8)), 1)</f>
        <v>51</v>
      </c>
      <c r="AM20" s="12">
        <f>CEILING(Dragon!$M$4/ IF(Dragon!$O$4&lt; 10.8, Table13[[#This Row],[STR]], Table13[[#This Row],[STR]] / (Dragon!$O$4 / 10.8)), 1)</f>
        <v>85</v>
      </c>
      <c r="AO20" s="8">
        <f>CEILING('Blue Slime'!$Z$5/ IF('Blue Slime'!$X$5&lt; 10.8, Table13[[#This Row],[STR]], Table13[[#This Row],[STR]] / ('Blue Slime'!$X$5 / 10.8)), 1)</f>
        <v>2</v>
      </c>
      <c r="AP20" s="8">
        <f>CEILING('Green Slime'!$Z$5/ IF('Green Slime'!$X$5&lt; 10.8, Table13[[#This Row],[STR]], Table13[[#This Row],[STR]] / ('Green Slime'!$X$5 / 10.8)), 1)</f>
        <v>2</v>
      </c>
      <c r="AQ20" s="8">
        <f>CEILING(Wolf!$Z$6/ IF(Wolf!$X$6&lt; 10.8, Table13[[#This Row],[STR]], Table13[[#This Row],[STR]] / (Wolf!$X$6 / 10.8)), 1)</f>
        <v>6</v>
      </c>
      <c r="AR20" s="8">
        <f>CEILING('Horned Wolf'!$Z$5/ IF('Horned Wolf'!$X$5&lt; 10.8, Table13[[#This Row],[STR]], Table13[[#This Row],[STR]] / ('Horned Wolf'!$X$5 / 10.8)), 1)</f>
        <v>15</v>
      </c>
      <c r="AS20" s="13">
        <f>CEILING(Spider!$Z$7/ IF(Spider!$X$7&lt; 10.8, Table13[[#This Row],[STR]], Table13[[#This Row],[STR]] / (Spider!$X$7 / 10.8)), 1)</f>
        <v>13</v>
      </c>
      <c r="AT20" s="13">
        <f>CEILING('Evolved Spider'!$Z$8/ IF('Evolved Spider'!$X$8&lt; 10.8, Table13[[#This Row],[STR]], Table13[[#This Row],[STR]] / ('Evolved Spider'!$X$8 / 10.8)), 1)</f>
        <v>24</v>
      </c>
      <c r="AU20" s="13">
        <f>CEILING(Arachne!$Z$4/ IF(Arachne!$X$4&lt; 10.8, Table13[[#This Row],[STR]], Table13[[#This Row],[STR]] / (Arachne!$X$4 / 10.8)), 1)</f>
        <v>32</v>
      </c>
      <c r="AV20" s="12">
        <f>CEILING('Earth Elemental'!$Z$6/ IF('Earth Elemental'!$X$6&lt; 10.8, Table13[[#This Row],[STR]], Table13[[#This Row],[STR]] / ('Earth Elemental'!$X$6 / 10.8)), 1)</f>
        <v>27</v>
      </c>
      <c r="AW20" s="12">
        <f>CEILING('Wind Elemental'!$Z$6/ IF('Wind Elemental'!$X$6&lt; 10.8, Table13[[#This Row],[STR]], Table13[[#This Row],[STR]] / ('Wind Elemental'!$X$6 / 10.8)), 1)</f>
        <v>21</v>
      </c>
      <c r="AX20" s="12">
        <f>CEILING('Water Elemental'!$Z$6/ IF('Water Elemental'!$X$6&lt; 10.8, Table13[[#This Row],[STR]], Table13[[#This Row],[STR]] / ('Water Elemental'!$X$6 / 10.8)), 1)</f>
        <v>29</v>
      </c>
      <c r="AY20" s="12">
        <f>CEILING('Fire Elemental'!$Z$4/ IF('Fire Elemental'!$X$4&lt; 10.8, Table13[[#This Row],[STR]], Table13[[#This Row],[STR]] / ('Fire Elemental'!$X$4 / 10.8)), 1)</f>
        <v>47</v>
      </c>
      <c r="AZ20" s="12">
        <f>CEILING(Wyvern!$Z$4/ IF(Wyvern!$X$4&lt; 10.8, Table13[[#This Row],[STR]], Table13[[#This Row],[STR]] / (Wyvern!$X$4 / 10.8)), 1)</f>
        <v>56</v>
      </c>
      <c r="BA20" s="12">
        <f>CEILING('Evolved Wyvern'!$Z$4/ IF('Evolved Wyvern'!$X$4&lt; 10.8, Table13[[#This Row],[STR]], Table13[[#This Row],[STR]] / ('Evolved Wyvern'!$X$4 / 10.8)), 1)</f>
        <v>72</v>
      </c>
      <c r="BB20" s="12">
        <f>CEILING(Dragon!$Z$4/ IF(Dragon!$X$4&lt; 10.8, Table13[[#This Row],[STR]], Table13[[#This Row],[STR]] / (Dragon!$X$4 / 10.8)), 1)</f>
        <v>121</v>
      </c>
    </row>
    <row r="21" spans="1:54" x14ac:dyDescent="0.3">
      <c r="A21" s="1">
        <v>19</v>
      </c>
      <c r="B21" s="1">
        <f>$B$3 + ((Table13[[#This Row],[Level]] / 10) + $B$3 / 8) * Table13[[#This Row],[Level]] + Equipment!$Z$18</f>
        <v>104.35</v>
      </c>
      <c r="C21" s="1">
        <f>2 * Table13[[#This Row],[INT]]</f>
        <v>75.5</v>
      </c>
      <c r="D21" s="1">
        <f>$D$3 + ($D$3 / 4) * Table13[[#This Row],[Level]] + Equipment!$AA$18</f>
        <v>60</v>
      </c>
      <c r="E21" s="1">
        <f>$E$3 + ($E$3 / 4) * Table13[[#This Row],[Level]] + Equipment!$AB$18</f>
        <v>45.5</v>
      </c>
      <c r="F21" s="1">
        <f>$F$3 + ($F$3 / 4) * Table13[[#This Row],[Level]] + Equipment!$AC$18</f>
        <v>52.25</v>
      </c>
      <c r="G21" s="1">
        <f>$G$3 + ($G$3 / 4) * Table13[[#This Row],[Level]] + Equipment!$AD$18</f>
        <v>37.75</v>
      </c>
      <c r="H21" s="1">
        <f>$H$3 + ($H$3 / 4) * Table13[[#This Row],[Level]] + Equipment!$AE$18</f>
        <v>45.5</v>
      </c>
      <c r="I21" s="1">
        <f xml:space="preserve"> (4 * (Table13[[#This Row],[Level]] ^ 3))/7 + $I$3</f>
        <v>4019.4285714285716</v>
      </c>
      <c r="K21" s="8">
        <f>CEILING('Blue Slime'!$B$5/ IF('Blue Slime'!$D$5&lt; 10.8, Table13[[#This Row],[STR]], Table13[[#This Row],[STR]] / ('Blue Slime'!$D$5 / 10.8)), 1)</f>
        <v>1</v>
      </c>
      <c r="L21" s="8">
        <f>CEILING('Green Slime'!$B$5/ IF('Green Slime'!$D$5&lt; 10.8, Table13[[#This Row],[STR]], Table13[[#This Row],[STR]] / ('Green Slime'!$D$5 / 10.8)), 1)</f>
        <v>1</v>
      </c>
      <c r="M21" s="8">
        <f>CEILING(Wolf!$B$6/ IF(Wolf!$D$6&lt; 10.8, Table13[[#This Row],[STR]], Table13[[#This Row],[STR]] / (Wolf!$D$6 / 10.8)), 1)</f>
        <v>2</v>
      </c>
      <c r="N21" s="8">
        <f>CEILING('Horned Wolf'!$B$5/ IF('Horned Wolf'!$D$5&lt; 10.8, Table13[[#This Row],[STR]], Table13[[#This Row],[STR]] / ('Horned Wolf'!$D$5 / 10.8)), 1)</f>
        <v>4</v>
      </c>
      <c r="O21" s="14">
        <f>CEILING(Spider!$B$7/ IF(Spider!$D$7&lt; 10.8, Table13[[#This Row],[STR]], Table13[[#This Row],[STR]] / (Spider!$D$7 / 10.8)), 1)</f>
        <v>4</v>
      </c>
      <c r="P21" s="14">
        <f>CEILING('Evolved Spider'!$B$8/ IF('Evolved Spider'!$D$8&lt; 10.8, Table13[[#This Row],[STR]], Table13[[#This Row],[STR]] / ('Evolved Spider'!$D$8 / 10.8)), 1)</f>
        <v>8</v>
      </c>
      <c r="Q21" s="14">
        <f>CEILING(Arachne!$B$4/ IF(Arachne!$D$4&lt; 10.8, Table13[[#This Row],[STR]], Table13[[#This Row],[STR]] / (Arachne!$D$4 / 10.8)), 1)</f>
        <v>10</v>
      </c>
      <c r="R21" s="12">
        <f>CEILING('Earth Elemental'!$B$6/ IF('Earth Elemental'!$D$6&lt; 10.8, Table13[[#This Row],[STR]], Table13[[#This Row],[STR]] / ('Earth Elemental'!$D$6 / 10.8)), 1)</f>
        <v>10</v>
      </c>
      <c r="S21" s="12">
        <f>CEILING('Wind Elemental'!$B$6/ IF('Wind Elemental'!$D$6&lt; 10.8, Table13[[#This Row],[STR]], Table13[[#This Row],[STR]] / ('Wind Elemental'!$D$6 / 10.8)), 1)</f>
        <v>9</v>
      </c>
      <c r="T21" s="12">
        <f>CEILING('Water Elemental'!$B$6/ IF('Water Elemental'!$D$6&lt; 10.8, Table13[[#This Row],[STR]], Table13[[#This Row],[STR]] / ('Water Elemental'!$D$6 / 10.8)), 1)</f>
        <v>13</v>
      </c>
      <c r="U21" s="12">
        <f>CEILING('Fire Elemental'!$B$4/ IF('Fire Elemental'!$D$4&lt; 10.8, Table13[[#This Row],[STR]], Table13[[#This Row],[STR]] / ('Fire Elemental'!$D$4 / 10.8)), 1)</f>
        <v>17</v>
      </c>
      <c r="V21" s="12">
        <f>CEILING(Wyvern!$B$4/ IF(Wyvern!$D$4&lt; 10.8, Table13[[#This Row],[STR]], Table13[[#This Row],[STR]] / (Wyvern!$D$4 / 10.8)), 1)</f>
        <v>23</v>
      </c>
      <c r="W21" s="12">
        <f>CEILING('Evolved Wyvern'!$B$4/ IF('Evolved Wyvern'!$D$4&lt; 10.8, Table13[[#This Row],[STR]], Table13[[#This Row],[STR]] / ('Evolved Wyvern'!$D$4 / 10.8)), 1)</f>
        <v>32</v>
      </c>
      <c r="X21" s="12">
        <f>CEILING(Dragon!$B$4/ IF(Dragon!$D$4&lt; 10.8, Table13[[#This Row],[STR]], Table13[[#This Row],[STR]] / (Dragon!$D$4 / 10.8)), 1)</f>
        <v>52</v>
      </c>
      <c r="Z21" s="8">
        <f>CEILING('Blue Slime'!$M$5/ IF('Blue Slime'!$O$5&lt; 10.8, Table13[[#This Row],[STR]], Table13[[#This Row],[STR]] / ('Blue Slime'!$O$5 / 10.8)), 1)</f>
        <v>1</v>
      </c>
      <c r="AA21" s="8">
        <f>CEILING('Green Slime'!$M$5/ IF('Green Slime'!$O$5&lt; 10.8, Table13[[#This Row],[STR]], Table13[[#This Row],[STR]] / ('Green Slime'!$O$5 / 10.8)), 1)</f>
        <v>1</v>
      </c>
      <c r="AB21" s="8">
        <f>CEILING(Wolf!$M$6/ IF(Wolf!$O$6&lt; 10.8, Table13[[#This Row],[STR]], Table13[[#This Row],[STR]] / (Wolf!$O$6 / 10.8)), 1)</f>
        <v>3</v>
      </c>
      <c r="AC21" s="8">
        <f>CEILING('Horned Wolf'!$M$5/ IF('Horned Wolf'!$O$5&lt; 10.8, Table13[[#This Row],[STR]], Table13[[#This Row],[STR]] / ('Horned Wolf'!$O$5 / 10.8)), 1)</f>
        <v>9</v>
      </c>
      <c r="AD21" s="14">
        <f>CEILING(Spider!$M$7/ IF(Spider!$O$7&lt; 10.8, Table13[[#This Row],[STR]], Table13[[#This Row],[STR]] / (Spider!$O$7 / 10.8)), 1)</f>
        <v>8</v>
      </c>
      <c r="AE21" s="14">
        <f>CEILING('Evolved Spider'!$M$8/ IF('Evolved Spider'!$O$8&lt; 10.8, Table13[[#This Row],[STR]], Table13[[#This Row],[STR]] / ('Evolved Spider'!$O$8 / 10.8)), 1)</f>
        <v>14</v>
      </c>
      <c r="AF21" s="14">
        <f>CEILING(Arachne!$M$4/ IF(Arachne!$O$4&lt; 10.8, Table13[[#This Row],[STR]], Table13[[#This Row],[STR]] / (Arachne!$O$4 / 10.8)), 1)</f>
        <v>19</v>
      </c>
      <c r="AG21" s="12">
        <f>CEILING('Earth Elemental'!$M$6/ IF('Earth Elemental'!$O$6&lt; 10.8, Table13[[#This Row],[STR]], Table13[[#This Row],[STR]] / ('Earth Elemental'!$O$6 / 10.8)), 1)</f>
        <v>17</v>
      </c>
      <c r="AH21" s="12">
        <f>CEILING('Wind Elemental'!$M$6/ IF('Wind Elemental'!$O$6&lt; 10.8, Table13[[#This Row],[STR]], Table13[[#This Row],[STR]] / ('Wind Elemental'!$O$6 / 10.8)), 1)</f>
        <v>14</v>
      </c>
      <c r="AI21" s="12">
        <f>CEILING('Water Elemental'!$M$6/ IF('Water Elemental'!$O$6&lt; 10.8, Table13[[#This Row],[STR]], Table13[[#This Row],[STR]] / ('Water Elemental'!$O$6 / 10.8)), 1)</f>
        <v>20</v>
      </c>
      <c r="AJ21" s="12">
        <f>CEILING('Fire Elemental'!$M$4/ IF('Fire Elemental'!$O$4&lt; 10.8, Table13[[#This Row],[STR]], Table13[[#This Row],[STR]] / ('Fire Elemental'!$O$4 / 10.8)), 1)</f>
        <v>30</v>
      </c>
      <c r="AK21" s="12">
        <f>CEILING(Wyvern!$M$4/ IF(Wyvern!$O$4&lt; 10.8, Table13[[#This Row],[STR]], Table13[[#This Row],[STR]] / (Wyvern!$O$4 / 10.8)), 1)</f>
        <v>38</v>
      </c>
      <c r="AL21" s="12">
        <f>CEILING('Evolved Wyvern'!$M$4/ IF('Evolved Wyvern'!$O$4&lt; 10.8, Table13[[#This Row],[STR]], Table13[[#This Row],[STR]] / ('Evolved Wyvern'!$O$4 / 10.8)), 1)</f>
        <v>50</v>
      </c>
      <c r="AM21" s="12">
        <f>CEILING(Dragon!$M$4/ IF(Dragon!$O$4&lt; 10.8, Table13[[#This Row],[STR]], Table13[[#This Row],[STR]] / (Dragon!$O$4 / 10.8)), 1)</f>
        <v>83</v>
      </c>
      <c r="AO21" s="8">
        <f>CEILING('Blue Slime'!$Z$5/ IF('Blue Slime'!$X$5&lt; 10.8, Table13[[#This Row],[STR]], Table13[[#This Row],[STR]] / ('Blue Slime'!$X$5 / 10.8)), 1)</f>
        <v>1</v>
      </c>
      <c r="AP21" s="8">
        <f>CEILING('Green Slime'!$Z$5/ IF('Green Slime'!$X$5&lt; 10.8, Table13[[#This Row],[STR]], Table13[[#This Row],[STR]] / ('Green Slime'!$X$5 / 10.8)), 1)</f>
        <v>2</v>
      </c>
      <c r="AQ21" s="8">
        <f>CEILING(Wolf!$Z$6/ IF(Wolf!$X$6&lt; 10.8, Table13[[#This Row],[STR]], Table13[[#This Row],[STR]] / (Wolf!$X$6 / 10.8)), 1)</f>
        <v>6</v>
      </c>
      <c r="AR21" s="8">
        <f>CEILING('Horned Wolf'!$Z$5/ IF('Horned Wolf'!$X$5&lt; 10.8, Table13[[#This Row],[STR]], Table13[[#This Row],[STR]] / ('Horned Wolf'!$X$5 / 10.8)), 1)</f>
        <v>15</v>
      </c>
      <c r="AS21" s="13">
        <f>CEILING(Spider!$Z$7/ IF(Spider!$X$7&lt; 10.8, Table13[[#This Row],[STR]], Table13[[#This Row],[STR]] / (Spider!$X$7 / 10.8)), 1)</f>
        <v>13</v>
      </c>
      <c r="AT21" s="13">
        <f>CEILING('Evolved Spider'!$Z$8/ IF('Evolved Spider'!$X$8&lt; 10.8, Table13[[#This Row],[STR]], Table13[[#This Row],[STR]] / ('Evolved Spider'!$X$8 / 10.8)), 1)</f>
        <v>23</v>
      </c>
      <c r="AU21" s="13">
        <f>CEILING(Arachne!$Z$4/ IF(Arachne!$X$4&lt; 10.8, Table13[[#This Row],[STR]], Table13[[#This Row],[STR]] / (Arachne!$X$4 / 10.8)), 1)</f>
        <v>31</v>
      </c>
      <c r="AV21" s="12">
        <f>CEILING('Earth Elemental'!$Z$6/ IF('Earth Elemental'!$X$6&lt; 10.8, Table13[[#This Row],[STR]], Table13[[#This Row],[STR]] / ('Earth Elemental'!$X$6 / 10.8)), 1)</f>
        <v>26</v>
      </c>
      <c r="AW21" s="12">
        <f>CEILING('Wind Elemental'!$Z$6/ IF('Wind Elemental'!$X$6&lt; 10.8, Table13[[#This Row],[STR]], Table13[[#This Row],[STR]] / ('Wind Elemental'!$X$6 / 10.8)), 1)</f>
        <v>20</v>
      </c>
      <c r="AX21" s="12">
        <f>CEILING('Water Elemental'!$Z$6/ IF('Water Elemental'!$X$6&lt; 10.8, Table13[[#This Row],[STR]], Table13[[#This Row],[STR]] / ('Water Elemental'!$X$6 / 10.8)), 1)</f>
        <v>28</v>
      </c>
      <c r="AY21" s="12">
        <f>CEILING('Fire Elemental'!$Z$4/ IF('Fire Elemental'!$X$4&lt; 10.8, Table13[[#This Row],[STR]], Table13[[#This Row],[STR]] / ('Fire Elemental'!$X$4 / 10.8)), 1)</f>
        <v>45</v>
      </c>
      <c r="AZ21" s="12">
        <f>CEILING(Wyvern!$Z$4/ IF(Wyvern!$X$4&lt; 10.8, Table13[[#This Row],[STR]], Table13[[#This Row],[STR]] / (Wyvern!$X$4 / 10.8)), 1)</f>
        <v>54</v>
      </c>
      <c r="BA21" s="12">
        <f>CEILING('Evolved Wyvern'!$Z$4/ IF('Evolved Wyvern'!$X$4&lt; 10.8, Table13[[#This Row],[STR]], Table13[[#This Row],[STR]] / ('Evolved Wyvern'!$X$4 / 10.8)), 1)</f>
        <v>70</v>
      </c>
      <c r="BB21" s="12">
        <f>CEILING(Dragon!$Z$4/ IF(Dragon!$X$4&lt; 10.8, Table13[[#This Row],[STR]], Table13[[#This Row],[STR]] / (Dragon!$X$4 / 10.8)), 1)</f>
        <v>117</v>
      </c>
    </row>
    <row r="22" spans="1:54" x14ac:dyDescent="0.3">
      <c r="A22" s="1">
        <v>20</v>
      </c>
      <c r="B22" s="1">
        <f>$B$3 + ((Table13[[#This Row],[Level]] / 10) + $B$3 / 8) * Table13[[#This Row],[Level]] + Equipment!$Z$18</f>
        <v>110</v>
      </c>
      <c r="C22" s="1">
        <f>2 * Table13[[#This Row],[INT]]</f>
        <v>78</v>
      </c>
      <c r="D22" s="1">
        <f>$D$3 + ($D$3 / 4) * Table13[[#This Row],[Level]] + Equipment!$AA$18</f>
        <v>62</v>
      </c>
      <c r="E22" s="1">
        <f>$E$3 + ($E$3 / 4) * Table13[[#This Row],[Level]] + Equipment!$AB$18</f>
        <v>47</v>
      </c>
      <c r="F22" s="1">
        <f>$F$3 + ($F$3 / 4) * Table13[[#This Row],[Level]] + Equipment!$AC$18</f>
        <v>54</v>
      </c>
      <c r="G22" s="1">
        <f>$G$3 + ($G$3 / 4) * Table13[[#This Row],[Level]] + Equipment!$AD$18</f>
        <v>39</v>
      </c>
      <c r="H22" s="1">
        <f>$H$3 + ($H$3 / 4) * Table13[[#This Row],[Level]] + Equipment!$AE$18</f>
        <v>47</v>
      </c>
      <c r="I22" s="1">
        <f xml:space="preserve"> (4 * (Table13[[#This Row],[Level]] ^ 3))/7 + $I$3</f>
        <v>4671.4285714285716</v>
      </c>
      <c r="K22" s="8">
        <f>CEILING('Blue Slime'!$B$5/ IF('Blue Slime'!$D$5&lt; 10.8, Table13[[#This Row],[STR]], Table13[[#This Row],[STR]] / ('Blue Slime'!$D$5 / 10.8)), 1)</f>
        <v>1</v>
      </c>
      <c r="L22" s="8">
        <f>CEILING('Green Slime'!$B$5/ IF('Green Slime'!$D$5&lt; 10.8, Table13[[#This Row],[STR]], Table13[[#This Row],[STR]] / ('Green Slime'!$D$5 / 10.8)), 1)</f>
        <v>1</v>
      </c>
      <c r="M22" s="8">
        <f>CEILING(Wolf!$B$6/ IF(Wolf!$D$6&lt; 10.8, Table13[[#This Row],[STR]], Table13[[#This Row],[STR]] / (Wolf!$D$6 / 10.8)), 1)</f>
        <v>2</v>
      </c>
      <c r="N22" s="8">
        <f>CEILING('Horned Wolf'!$B$5/ IF('Horned Wolf'!$D$5&lt; 10.8, Table13[[#This Row],[STR]], Table13[[#This Row],[STR]] / ('Horned Wolf'!$D$5 / 10.8)), 1)</f>
        <v>4</v>
      </c>
      <c r="O22" s="14">
        <f>CEILING(Spider!$B$7/ IF(Spider!$D$7&lt; 10.8, Table13[[#This Row],[STR]], Table13[[#This Row],[STR]] / (Spider!$D$7 / 10.8)), 1)</f>
        <v>4</v>
      </c>
      <c r="P22" s="14">
        <f>CEILING('Evolved Spider'!$B$8/ IF('Evolved Spider'!$D$8&lt; 10.8, Table13[[#This Row],[STR]], Table13[[#This Row],[STR]] / ('Evolved Spider'!$D$8 / 10.8)), 1)</f>
        <v>7</v>
      </c>
      <c r="Q22" s="14">
        <f>CEILING(Arachne!$B$4/ IF(Arachne!$D$4&lt; 10.8, Table13[[#This Row],[STR]], Table13[[#This Row],[STR]] / (Arachne!$D$4 / 10.8)), 1)</f>
        <v>10</v>
      </c>
      <c r="R22" s="12">
        <f>CEILING('Earth Elemental'!$B$6/ IF('Earth Elemental'!$D$6&lt; 10.8, Table13[[#This Row],[STR]], Table13[[#This Row],[STR]] / ('Earth Elemental'!$D$6 / 10.8)), 1)</f>
        <v>10</v>
      </c>
      <c r="S22" s="12">
        <f>CEILING('Wind Elemental'!$B$6/ IF('Wind Elemental'!$D$6&lt; 10.8, Table13[[#This Row],[STR]], Table13[[#This Row],[STR]] / ('Wind Elemental'!$D$6 / 10.8)), 1)</f>
        <v>9</v>
      </c>
      <c r="T22" s="12">
        <f>CEILING('Water Elemental'!$B$6/ IF('Water Elemental'!$D$6&lt; 10.8, Table13[[#This Row],[STR]], Table13[[#This Row],[STR]] / ('Water Elemental'!$D$6 / 10.8)), 1)</f>
        <v>13</v>
      </c>
      <c r="U22" s="12">
        <f>CEILING('Fire Elemental'!$B$4/ IF('Fire Elemental'!$D$4&lt; 10.8, Table13[[#This Row],[STR]], Table13[[#This Row],[STR]] / ('Fire Elemental'!$D$4 / 10.8)), 1)</f>
        <v>17</v>
      </c>
      <c r="V22" s="12">
        <f>CEILING(Wyvern!$B$4/ IF(Wyvern!$D$4&lt; 10.8, Table13[[#This Row],[STR]], Table13[[#This Row],[STR]] / (Wyvern!$D$4 / 10.8)), 1)</f>
        <v>22</v>
      </c>
      <c r="W22" s="12">
        <f>CEILING('Evolved Wyvern'!$B$4/ IF('Evolved Wyvern'!$D$4&lt; 10.8, Table13[[#This Row],[STR]], Table13[[#This Row],[STR]] / ('Evolved Wyvern'!$D$4 / 10.8)), 1)</f>
        <v>31</v>
      </c>
      <c r="X22" s="12">
        <f>CEILING(Dragon!$B$4/ IF(Dragon!$D$4&lt; 10.8, Table13[[#This Row],[STR]], Table13[[#This Row],[STR]] / (Dragon!$D$4 / 10.8)), 1)</f>
        <v>50</v>
      </c>
      <c r="Z22" s="8">
        <f>CEILING('Blue Slime'!$M$5/ IF('Blue Slime'!$O$5&lt; 10.8, Table13[[#This Row],[STR]], Table13[[#This Row],[STR]] / ('Blue Slime'!$O$5 / 10.8)), 1)</f>
        <v>1</v>
      </c>
      <c r="AA22" s="8">
        <f>CEILING('Green Slime'!$M$5/ IF('Green Slime'!$O$5&lt; 10.8, Table13[[#This Row],[STR]], Table13[[#This Row],[STR]] / ('Green Slime'!$O$5 / 10.8)), 1)</f>
        <v>1</v>
      </c>
      <c r="AB22" s="8">
        <f>CEILING(Wolf!$M$6/ IF(Wolf!$O$6&lt; 10.8, Table13[[#This Row],[STR]], Table13[[#This Row],[STR]] / (Wolf!$O$6 / 10.8)), 1)</f>
        <v>3</v>
      </c>
      <c r="AC22" s="8">
        <f>CEILING('Horned Wolf'!$M$5/ IF('Horned Wolf'!$O$5&lt; 10.8, Table13[[#This Row],[STR]], Table13[[#This Row],[STR]] / ('Horned Wolf'!$O$5 / 10.8)), 1)</f>
        <v>8</v>
      </c>
      <c r="AD22" s="14">
        <f>CEILING(Spider!$M$7/ IF(Spider!$O$7&lt; 10.8, Table13[[#This Row],[STR]], Table13[[#This Row],[STR]] / (Spider!$O$7 / 10.8)), 1)</f>
        <v>8</v>
      </c>
      <c r="AE22" s="14">
        <f>CEILING('Evolved Spider'!$M$8/ IF('Evolved Spider'!$O$8&lt; 10.8, Table13[[#This Row],[STR]], Table13[[#This Row],[STR]] / ('Evolved Spider'!$O$8 / 10.8)), 1)</f>
        <v>14</v>
      </c>
      <c r="AF22" s="14">
        <f>CEILING(Arachne!$M$4/ IF(Arachne!$O$4&lt; 10.8, Table13[[#This Row],[STR]], Table13[[#This Row],[STR]] / (Arachne!$O$4 / 10.8)), 1)</f>
        <v>18</v>
      </c>
      <c r="AG22" s="12">
        <f>CEILING('Earth Elemental'!$M$6/ IF('Earth Elemental'!$O$6&lt; 10.8, Table13[[#This Row],[STR]], Table13[[#This Row],[STR]] / ('Earth Elemental'!$O$6 / 10.8)), 1)</f>
        <v>17</v>
      </c>
      <c r="AH22" s="12">
        <f>CEILING('Wind Elemental'!$M$6/ IF('Wind Elemental'!$O$6&lt; 10.8, Table13[[#This Row],[STR]], Table13[[#This Row],[STR]] / ('Wind Elemental'!$O$6 / 10.8)), 1)</f>
        <v>14</v>
      </c>
      <c r="AI22" s="12">
        <f>CEILING('Water Elemental'!$M$6/ IF('Water Elemental'!$O$6&lt; 10.8, Table13[[#This Row],[STR]], Table13[[#This Row],[STR]] / ('Water Elemental'!$O$6 / 10.8)), 1)</f>
        <v>20</v>
      </c>
      <c r="AJ22" s="12">
        <f>CEILING('Fire Elemental'!$M$4/ IF('Fire Elemental'!$O$4&lt; 10.8, Table13[[#This Row],[STR]], Table13[[#This Row],[STR]] / ('Fire Elemental'!$O$4 / 10.8)), 1)</f>
        <v>29</v>
      </c>
      <c r="AK22" s="12">
        <f>CEILING(Wyvern!$M$4/ IF(Wyvern!$O$4&lt; 10.8, Table13[[#This Row],[STR]], Table13[[#This Row],[STR]] / (Wyvern!$O$4 / 10.8)), 1)</f>
        <v>36</v>
      </c>
      <c r="AL22" s="12">
        <f>CEILING('Evolved Wyvern'!$M$4/ IF('Evolved Wyvern'!$O$4&lt; 10.8, Table13[[#This Row],[STR]], Table13[[#This Row],[STR]] / ('Evolved Wyvern'!$O$4 / 10.8)), 1)</f>
        <v>48</v>
      </c>
      <c r="AM22" s="12">
        <f>CEILING(Dragon!$M$4/ IF(Dragon!$O$4&lt; 10.8, Table13[[#This Row],[STR]], Table13[[#This Row],[STR]] / (Dragon!$O$4 / 10.8)), 1)</f>
        <v>80</v>
      </c>
      <c r="AO22" s="8">
        <f>CEILING('Blue Slime'!$Z$5/ IF('Blue Slime'!$X$5&lt; 10.8, Table13[[#This Row],[STR]], Table13[[#This Row],[STR]] / ('Blue Slime'!$X$5 / 10.8)), 1)</f>
        <v>1</v>
      </c>
      <c r="AP22" s="8">
        <f>CEILING('Green Slime'!$Z$5/ IF('Green Slime'!$X$5&lt; 10.8, Table13[[#This Row],[STR]], Table13[[#This Row],[STR]] / ('Green Slime'!$X$5 / 10.8)), 1)</f>
        <v>2</v>
      </c>
      <c r="AQ22" s="8">
        <f>CEILING(Wolf!$Z$6/ IF(Wolf!$X$6&lt; 10.8, Table13[[#This Row],[STR]], Table13[[#This Row],[STR]] / (Wolf!$X$6 / 10.8)), 1)</f>
        <v>5</v>
      </c>
      <c r="AR22" s="8">
        <f>CEILING('Horned Wolf'!$Z$5/ IF('Horned Wolf'!$X$5&lt; 10.8, Table13[[#This Row],[STR]], Table13[[#This Row],[STR]] / ('Horned Wolf'!$X$5 / 10.8)), 1)</f>
        <v>14</v>
      </c>
      <c r="AS22" s="13">
        <f>CEILING(Spider!$Z$7/ IF(Spider!$X$7&lt; 10.8, Table13[[#This Row],[STR]], Table13[[#This Row],[STR]] / (Spider!$X$7 / 10.8)), 1)</f>
        <v>12</v>
      </c>
      <c r="AT22" s="13">
        <f>CEILING('Evolved Spider'!$Z$8/ IF('Evolved Spider'!$X$8&lt; 10.8, Table13[[#This Row],[STR]], Table13[[#This Row],[STR]] / ('Evolved Spider'!$X$8 / 10.8)), 1)</f>
        <v>22</v>
      </c>
      <c r="AU22" s="13">
        <f>CEILING(Arachne!$Z$4/ IF(Arachne!$X$4&lt; 10.8, Table13[[#This Row],[STR]], Table13[[#This Row],[STR]] / (Arachne!$X$4 / 10.8)), 1)</f>
        <v>30</v>
      </c>
      <c r="AV22" s="12">
        <f>CEILING('Earth Elemental'!$Z$6/ IF('Earth Elemental'!$X$6&lt; 10.8, Table13[[#This Row],[STR]], Table13[[#This Row],[STR]] / ('Earth Elemental'!$X$6 / 10.8)), 1)</f>
        <v>25</v>
      </c>
      <c r="AW22" s="12">
        <f>CEILING('Wind Elemental'!$Z$6/ IF('Wind Elemental'!$X$6&lt; 10.8, Table13[[#This Row],[STR]], Table13[[#This Row],[STR]] / ('Wind Elemental'!$X$6 / 10.8)), 1)</f>
        <v>20</v>
      </c>
      <c r="AX22" s="12">
        <f>CEILING('Water Elemental'!$Z$6/ IF('Water Elemental'!$X$6&lt; 10.8, Table13[[#This Row],[STR]], Table13[[#This Row],[STR]] / ('Water Elemental'!$X$6 / 10.8)), 1)</f>
        <v>27</v>
      </c>
      <c r="AY22" s="12">
        <f>CEILING('Fire Elemental'!$Z$4/ IF('Fire Elemental'!$X$4&lt; 10.8, Table13[[#This Row],[STR]], Table13[[#This Row],[STR]] / ('Fire Elemental'!$X$4 / 10.8)), 1)</f>
        <v>44</v>
      </c>
      <c r="AZ22" s="12">
        <f>CEILING(Wyvern!$Z$4/ IF(Wyvern!$X$4&lt; 10.8, Table13[[#This Row],[STR]], Table13[[#This Row],[STR]] / (Wyvern!$X$4 / 10.8)), 1)</f>
        <v>53</v>
      </c>
      <c r="BA22" s="12">
        <f>CEILING('Evolved Wyvern'!$Z$4/ IF('Evolved Wyvern'!$X$4&lt; 10.8, Table13[[#This Row],[STR]], Table13[[#This Row],[STR]] / ('Evolved Wyvern'!$X$4 / 10.8)), 1)</f>
        <v>67</v>
      </c>
      <c r="BB22" s="12">
        <f>CEILING(Dragon!$Z$4/ IF(Dragon!$X$4&lt; 10.8, Table13[[#This Row],[STR]], Table13[[#This Row],[STR]] / (Dragon!$X$4 / 10.8)), 1)</f>
        <v>113</v>
      </c>
    </row>
    <row r="23" spans="1:54" x14ac:dyDescent="0.3">
      <c r="A23" s="1">
        <v>21</v>
      </c>
      <c r="B23" s="1">
        <f>$B$3 + ((Table13[[#This Row],[Level]] / 10) + $B$3 / 8) * Table13[[#This Row],[Level]] + Equipment!$Z$18</f>
        <v>115.85000000000001</v>
      </c>
      <c r="C23" s="1">
        <f>2 * Table13[[#This Row],[INT]]</f>
        <v>80.5</v>
      </c>
      <c r="D23" s="1">
        <f>$D$3 + ($D$3 / 4) * Table13[[#This Row],[Level]] + Equipment!$AA$18</f>
        <v>64</v>
      </c>
      <c r="E23" s="1">
        <f>$E$3 + ($E$3 / 4) * Table13[[#This Row],[Level]] + Equipment!$AB$18</f>
        <v>48.5</v>
      </c>
      <c r="F23" s="1">
        <f>$F$3 + ($F$3 / 4) * Table13[[#This Row],[Level]] + Equipment!$AC$18</f>
        <v>55.75</v>
      </c>
      <c r="G23" s="1">
        <f>$G$3 + ($G$3 / 4) * Table13[[#This Row],[Level]] + Equipment!$AD$18</f>
        <v>40.25</v>
      </c>
      <c r="H23" s="1">
        <f>$H$3 + ($H$3 / 4) * Table13[[#This Row],[Level]] + Equipment!$AE$18</f>
        <v>48.5</v>
      </c>
      <c r="I23" s="1">
        <f xml:space="preserve"> (4 * (Table13[[#This Row],[Level]] ^ 3))/7 + $I$3</f>
        <v>5392</v>
      </c>
      <c r="K23" s="8">
        <f>CEILING('Blue Slime'!$B$5/ IF('Blue Slime'!$D$5&lt; 10.8, Table13[[#This Row],[STR]], Table13[[#This Row],[STR]] / ('Blue Slime'!$D$5 / 10.8)), 1)</f>
        <v>1</v>
      </c>
      <c r="L23" s="8">
        <f>CEILING('Green Slime'!$B$5/ IF('Green Slime'!$D$5&lt; 10.8, Table13[[#This Row],[STR]], Table13[[#This Row],[STR]] / ('Green Slime'!$D$5 / 10.8)), 1)</f>
        <v>1</v>
      </c>
      <c r="M23" s="8">
        <f>CEILING(Wolf!$B$6/ IF(Wolf!$D$6&lt; 10.8, Table13[[#This Row],[STR]], Table13[[#This Row],[STR]] / (Wolf!$D$6 / 10.8)), 1)</f>
        <v>2</v>
      </c>
      <c r="N23" s="8">
        <f>CEILING('Horned Wolf'!$B$5/ IF('Horned Wolf'!$D$5&lt; 10.8, Table13[[#This Row],[STR]], Table13[[#This Row],[STR]] / ('Horned Wolf'!$D$5 / 10.8)), 1)</f>
        <v>4</v>
      </c>
      <c r="O23" s="8">
        <f>CEILING(Spider!$B$7/ IF(Spider!$D$7&lt; 10.8, Table13[[#This Row],[STR]], Table13[[#This Row],[STR]] / (Spider!$D$7 / 10.8)), 1)</f>
        <v>4</v>
      </c>
      <c r="P23" s="8">
        <f>CEILING('Evolved Spider'!$B$8/ IF('Evolved Spider'!$D$8&lt; 10.8, Table13[[#This Row],[STR]], Table13[[#This Row],[STR]] / ('Evolved Spider'!$D$8 / 10.8)), 1)</f>
        <v>7</v>
      </c>
      <c r="Q23" s="8">
        <f>CEILING(Arachne!$B$4/ IF(Arachne!$D$4&lt; 10.8, Table13[[#This Row],[STR]], Table13[[#This Row],[STR]] / (Arachne!$D$4 / 10.8)), 1)</f>
        <v>9</v>
      </c>
      <c r="R23" s="15">
        <f>CEILING('Earth Elemental'!$B$6/ IF('Earth Elemental'!$D$6&lt; 10.8, Table13[[#This Row],[STR]], Table13[[#This Row],[STR]] / ('Earth Elemental'!$D$6 / 10.8)), 1)</f>
        <v>9</v>
      </c>
      <c r="S23" s="15">
        <f>CEILING('Wind Elemental'!$B$6/ IF('Wind Elemental'!$D$6&lt; 10.8, Table13[[#This Row],[STR]], Table13[[#This Row],[STR]] / ('Wind Elemental'!$D$6 / 10.8)), 1)</f>
        <v>9</v>
      </c>
      <c r="T23" s="15">
        <f>CEILING('Water Elemental'!$B$6/ IF('Water Elemental'!$D$6&lt; 10.8, Table13[[#This Row],[STR]], Table13[[#This Row],[STR]] / ('Water Elemental'!$D$6 / 10.8)), 1)</f>
        <v>13</v>
      </c>
      <c r="U23" s="15">
        <f>CEILING('Fire Elemental'!$B$4/ IF('Fire Elemental'!$D$4&lt; 10.8, Table13[[#This Row],[STR]], Table13[[#This Row],[STR]] / ('Fire Elemental'!$D$4 / 10.8)), 1)</f>
        <v>16</v>
      </c>
      <c r="V23" s="12">
        <f>CEILING(Wyvern!$B$4/ IF(Wyvern!$D$4&lt; 10.8, Table13[[#This Row],[STR]], Table13[[#This Row],[STR]] / (Wyvern!$D$4 / 10.8)), 1)</f>
        <v>22</v>
      </c>
      <c r="W23" s="12">
        <f>CEILING('Evolved Wyvern'!$B$4/ IF('Evolved Wyvern'!$D$4&lt; 10.8, Table13[[#This Row],[STR]], Table13[[#This Row],[STR]] / ('Evolved Wyvern'!$D$4 / 10.8)), 1)</f>
        <v>30</v>
      </c>
      <c r="X23" s="12">
        <f>CEILING(Dragon!$B$4/ IF(Dragon!$D$4&lt; 10.8, Table13[[#This Row],[STR]], Table13[[#This Row],[STR]] / (Dragon!$D$4 / 10.8)), 1)</f>
        <v>48</v>
      </c>
      <c r="Z23" s="8">
        <f>CEILING('Blue Slime'!$M$5/ IF('Blue Slime'!$O$5&lt; 10.8, Table13[[#This Row],[STR]], Table13[[#This Row],[STR]] / ('Blue Slime'!$O$5 / 10.8)), 1)</f>
        <v>1</v>
      </c>
      <c r="AA23" s="8">
        <f>CEILING('Green Slime'!$M$5/ IF('Green Slime'!$O$5&lt; 10.8, Table13[[#This Row],[STR]], Table13[[#This Row],[STR]] / ('Green Slime'!$O$5 / 10.8)), 1)</f>
        <v>1</v>
      </c>
      <c r="AB23" s="8">
        <f>CEILING(Wolf!$M$6/ IF(Wolf!$O$6&lt; 10.8, Table13[[#This Row],[STR]], Table13[[#This Row],[STR]] / (Wolf!$O$6 / 10.8)), 1)</f>
        <v>3</v>
      </c>
      <c r="AC23" s="8">
        <f>CEILING('Horned Wolf'!$M$5/ IF('Horned Wolf'!$O$5&lt; 10.8, Table13[[#This Row],[STR]], Table13[[#This Row],[STR]] / ('Horned Wolf'!$O$5 / 10.8)), 1)</f>
        <v>8</v>
      </c>
      <c r="AD23" s="8">
        <f>CEILING(Spider!$M$7/ IF(Spider!$O$7&lt; 10.8, Table13[[#This Row],[STR]], Table13[[#This Row],[STR]] / (Spider!$O$7 / 10.8)), 1)</f>
        <v>7</v>
      </c>
      <c r="AE23" s="8">
        <f>CEILING('Evolved Spider'!$M$8/ IF('Evolved Spider'!$O$8&lt; 10.8, Table13[[#This Row],[STR]], Table13[[#This Row],[STR]] / ('Evolved Spider'!$O$8 / 10.8)), 1)</f>
        <v>13</v>
      </c>
      <c r="AF23" s="8">
        <f>CEILING(Arachne!$M$4/ IF(Arachne!$O$4&lt; 10.8, Table13[[#This Row],[STR]], Table13[[#This Row],[STR]] / (Arachne!$O$4 / 10.8)), 1)</f>
        <v>18</v>
      </c>
      <c r="AG23" s="15">
        <f>CEILING('Earth Elemental'!$M$6/ IF('Earth Elemental'!$O$6&lt; 10.8, Table13[[#This Row],[STR]], Table13[[#This Row],[STR]] / ('Earth Elemental'!$O$6 / 10.8)), 1)</f>
        <v>16</v>
      </c>
      <c r="AH23" s="15">
        <f>CEILING('Wind Elemental'!$M$6/ IF('Wind Elemental'!$O$6&lt; 10.8, Table13[[#This Row],[STR]], Table13[[#This Row],[STR]] / ('Wind Elemental'!$O$6 / 10.8)), 1)</f>
        <v>13</v>
      </c>
      <c r="AI23" s="15">
        <f>CEILING('Water Elemental'!$M$6/ IF('Water Elemental'!$O$6&lt; 10.8, Table13[[#This Row],[STR]], Table13[[#This Row],[STR]] / ('Water Elemental'!$O$6 / 10.8)), 1)</f>
        <v>19</v>
      </c>
      <c r="AJ23" s="15">
        <f>CEILING('Fire Elemental'!$M$4/ IF('Fire Elemental'!$O$4&lt; 10.8, Table13[[#This Row],[STR]], Table13[[#This Row],[STR]] / ('Fire Elemental'!$O$4 / 10.8)), 1)</f>
        <v>28</v>
      </c>
      <c r="AK23" s="12">
        <f>CEILING(Wyvern!$M$4/ IF(Wyvern!$O$4&lt; 10.8, Table13[[#This Row],[STR]], Table13[[#This Row],[STR]] / (Wyvern!$O$4 / 10.8)), 1)</f>
        <v>35</v>
      </c>
      <c r="AL23" s="12">
        <f>CEILING('Evolved Wyvern'!$M$4/ IF('Evolved Wyvern'!$O$4&lt; 10.8, Table13[[#This Row],[STR]], Table13[[#This Row],[STR]] / ('Evolved Wyvern'!$O$4 / 10.8)), 1)</f>
        <v>47</v>
      </c>
      <c r="AM23" s="12">
        <f>CEILING(Dragon!$M$4/ IF(Dragon!$O$4&lt; 10.8, Table13[[#This Row],[STR]], Table13[[#This Row],[STR]] / (Dragon!$O$4 / 10.8)), 1)</f>
        <v>77</v>
      </c>
      <c r="AO23" s="8">
        <f>CEILING('Blue Slime'!$Z$5/ IF('Blue Slime'!$X$5&lt; 10.8, Table13[[#This Row],[STR]], Table13[[#This Row],[STR]] / ('Blue Slime'!$X$5 / 10.8)), 1)</f>
        <v>1</v>
      </c>
      <c r="AP23" s="8">
        <f>CEILING('Green Slime'!$Z$5/ IF('Green Slime'!$X$5&lt; 10.8, Table13[[#This Row],[STR]], Table13[[#This Row],[STR]] / ('Green Slime'!$X$5 / 10.8)), 1)</f>
        <v>2</v>
      </c>
      <c r="AQ23" s="8">
        <f>CEILING(Wolf!$Z$6/ IF(Wolf!$X$6&lt; 10.8, Table13[[#This Row],[STR]], Table13[[#This Row],[STR]] / (Wolf!$X$6 / 10.8)), 1)</f>
        <v>5</v>
      </c>
      <c r="AR23" s="8">
        <f>CEILING('Horned Wolf'!$Z$5/ IF('Horned Wolf'!$X$5&lt; 10.8, Table13[[#This Row],[STR]], Table13[[#This Row],[STR]] / ('Horned Wolf'!$X$5 / 10.8)), 1)</f>
        <v>14</v>
      </c>
      <c r="AS23" s="8">
        <f>CEILING(Spider!$Z$7/ IF(Spider!$X$7&lt; 10.8, Table13[[#This Row],[STR]], Table13[[#This Row],[STR]] / (Spider!$X$7 / 10.8)), 1)</f>
        <v>12</v>
      </c>
      <c r="AT23" s="8">
        <f>CEILING('Evolved Spider'!$Z$8/ IF('Evolved Spider'!$X$8&lt; 10.8, Table13[[#This Row],[STR]], Table13[[#This Row],[STR]] / ('Evolved Spider'!$X$8 / 10.8)), 1)</f>
        <v>21</v>
      </c>
      <c r="AU23" s="8">
        <f>CEILING(Arachne!$Z$4/ IF(Arachne!$X$4&lt; 10.8, Table13[[#This Row],[STR]], Table13[[#This Row],[STR]] / (Arachne!$X$4 / 10.8)), 1)</f>
        <v>29</v>
      </c>
      <c r="AV23" s="15">
        <f>CEILING('Earth Elemental'!$Z$6/ IF('Earth Elemental'!$X$6&lt; 10.8, Table13[[#This Row],[STR]], Table13[[#This Row],[STR]] / ('Earth Elemental'!$X$6 / 10.8)), 1)</f>
        <v>25</v>
      </c>
      <c r="AW23" s="15">
        <f>CEILING('Wind Elemental'!$Z$6/ IF('Wind Elemental'!$X$6&lt; 10.8, Table13[[#This Row],[STR]], Table13[[#This Row],[STR]] / ('Wind Elemental'!$X$6 / 10.8)), 1)</f>
        <v>19</v>
      </c>
      <c r="AX23" s="15">
        <f>CEILING('Water Elemental'!$Z$6/ IF('Water Elemental'!$X$6&lt; 10.8, Table13[[#This Row],[STR]], Table13[[#This Row],[STR]] / ('Water Elemental'!$X$6 / 10.8)), 1)</f>
        <v>26</v>
      </c>
      <c r="AY23" s="15">
        <f>CEILING('Fire Elemental'!$Z$4/ IF('Fire Elemental'!$X$4&lt; 10.8, Table13[[#This Row],[STR]], Table13[[#This Row],[STR]] / ('Fire Elemental'!$X$4 / 10.8)), 1)</f>
        <v>42</v>
      </c>
      <c r="AZ23" s="12">
        <f>CEILING(Wyvern!$Z$4/ IF(Wyvern!$X$4&lt; 10.8, Table13[[#This Row],[STR]], Table13[[#This Row],[STR]] / (Wyvern!$X$4 / 10.8)), 1)</f>
        <v>51</v>
      </c>
      <c r="BA23" s="12">
        <f>CEILING('Evolved Wyvern'!$Z$4/ IF('Evolved Wyvern'!$X$4&lt; 10.8, Table13[[#This Row],[STR]], Table13[[#This Row],[STR]] / ('Evolved Wyvern'!$X$4 / 10.8)), 1)</f>
        <v>65</v>
      </c>
      <c r="BB23" s="12">
        <f>CEILING(Dragon!$Z$4/ IF(Dragon!$X$4&lt; 10.8, Table13[[#This Row],[STR]], Table13[[#This Row],[STR]] / (Dragon!$X$4 / 10.8)), 1)</f>
        <v>110</v>
      </c>
    </row>
    <row r="24" spans="1:54" x14ac:dyDescent="0.3">
      <c r="A24" s="1">
        <v>22</v>
      </c>
      <c r="B24" s="1">
        <f>$B$3 + ((Table13[[#This Row],[Level]] / 10) + $B$3 / 8) * Table13[[#This Row],[Level]] + Equipment!$Z$18</f>
        <v>121.9</v>
      </c>
      <c r="C24" s="1">
        <f>2 * Table13[[#This Row],[INT]]</f>
        <v>83</v>
      </c>
      <c r="D24" s="1">
        <f>$D$3 + ($D$3 / 4) * Table13[[#This Row],[Level]] + Equipment!$AA$18</f>
        <v>66</v>
      </c>
      <c r="E24" s="1">
        <f>$E$3 + ($E$3 / 4) * Table13[[#This Row],[Level]] + Equipment!$AB$18</f>
        <v>50</v>
      </c>
      <c r="F24" s="1">
        <f>$F$3 + ($F$3 / 4) * Table13[[#This Row],[Level]] + Equipment!$AC$18</f>
        <v>57.5</v>
      </c>
      <c r="G24" s="1">
        <f>$G$3 + ($G$3 / 4) * Table13[[#This Row],[Level]] + Equipment!$AD$18</f>
        <v>41.5</v>
      </c>
      <c r="H24" s="1">
        <f>$H$3 + ($H$3 / 4) * Table13[[#This Row],[Level]] + Equipment!$AE$18</f>
        <v>50</v>
      </c>
      <c r="I24" s="1">
        <f xml:space="preserve"> (4 * (Table13[[#This Row],[Level]] ^ 3))/7 + $I$3</f>
        <v>6184.5714285714284</v>
      </c>
      <c r="K24" s="8">
        <f>CEILING('Blue Slime'!$B$5/ IF('Blue Slime'!$D$5&lt; 10.8, Table13[[#This Row],[STR]], Table13[[#This Row],[STR]] / ('Blue Slime'!$D$5 / 10.8)), 1)</f>
        <v>1</v>
      </c>
      <c r="L24" s="8">
        <f>CEILING('Green Slime'!$B$5/ IF('Green Slime'!$D$5&lt; 10.8, Table13[[#This Row],[STR]], Table13[[#This Row],[STR]] / ('Green Slime'!$D$5 / 10.8)), 1)</f>
        <v>1</v>
      </c>
      <c r="M24" s="8">
        <f>CEILING(Wolf!$B$6/ IF(Wolf!$D$6&lt; 10.8, Table13[[#This Row],[STR]], Table13[[#This Row],[STR]] / (Wolf!$D$6 / 10.8)), 1)</f>
        <v>2</v>
      </c>
      <c r="N24" s="8">
        <f>CEILING('Horned Wolf'!$B$5/ IF('Horned Wolf'!$D$5&lt; 10.8, Table13[[#This Row],[STR]], Table13[[#This Row],[STR]] / ('Horned Wolf'!$D$5 / 10.8)), 1)</f>
        <v>4</v>
      </c>
      <c r="O24" s="8">
        <f>CEILING(Spider!$B$7/ IF(Spider!$D$7&lt; 10.8, Table13[[#This Row],[STR]], Table13[[#This Row],[STR]] / (Spider!$D$7 / 10.8)), 1)</f>
        <v>4</v>
      </c>
      <c r="P24" s="8">
        <f>CEILING('Evolved Spider'!$B$8/ IF('Evolved Spider'!$D$8&lt; 10.8, Table13[[#This Row],[STR]], Table13[[#This Row],[STR]] / ('Evolved Spider'!$D$8 / 10.8)), 1)</f>
        <v>7</v>
      </c>
      <c r="Q24" s="8">
        <f>CEILING(Arachne!$B$4/ IF(Arachne!$D$4&lt; 10.8, Table13[[#This Row],[STR]], Table13[[#This Row],[STR]] / (Arachne!$D$4 / 10.8)), 1)</f>
        <v>9</v>
      </c>
      <c r="R24" s="15">
        <f>CEILING('Earth Elemental'!$B$6/ IF('Earth Elemental'!$D$6&lt; 10.8, Table13[[#This Row],[STR]], Table13[[#This Row],[STR]] / ('Earth Elemental'!$D$6 / 10.8)), 1)</f>
        <v>9</v>
      </c>
      <c r="S24" s="15">
        <f>CEILING('Wind Elemental'!$B$6/ IF('Wind Elemental'!$D$6&lt; 10.8, Table13[[#This Row],[STR]], Table13[[#This Row],[STR]] / ('Wind Elemental'!$D$6 / 10.8)), 1)</f>
        <v>8</v>
      </c>
      <c r="T24" s="15">
        <f>CEILING('Water Elemental'!$B$6/ IF('Water Elemental'!$D$6&lt; 10.8, Table13[[#This Row],[STR]], Table13[[#This Row],[STR]] / ('Water Elemental'!$D$6 / 10.8)), 1)</f>
        <v>12</v>
      </c>
      <c r="U24" s="15">
        <f>CEILING('Fire Elemental'!$B$4/ IF('Fire Elemental'!$D$4&lt; 10.8, Table13[[#This Row],[STR]], Table13[[#This Row],[STR]] / ('Fire Elemental'!$D$4 / 10.8)), 1)</f>
        <v>16</v>
      </c>
      <c r="V24" s="12">
        <f>CEILING(Wyvern!$B$4/ IF(Wyvern!$D$4&lt; 10.8, Table13[[#This Row],[STR]], Table13[[#This Row],[STR]] / (Wyvern!$D$4 / 10.8)), 1)</f>
        <v>21</v>
      </c>
      <c r="W24" s="12">
        <f>CEILING('Evolved Wyvern'!$B$4/ IF('Evolved Wyvern'!$D$4&lt; 10.8, Table13[[#This Row],[STR]], Table13[[#This Row],[STR]] / ('Evolved Wyvern'!$D$4 / 10.8)), 1)</f>
        <v>29</v>
      </c>
      <c r="X24" s="12">
        <f>CEILING(Dragon!$B$4/ IF(Dragon!$D$4&lt; 10.8, Table13[[#This Row],[STR]], Table13[[#This Row],[STR]] / (Dragon!$D$4 / 10.8)), 1)</f>
        <v>47</v>
      </c>
      <c r="Z24" s="8">
        <f>CEILING('Blue Slime'!$M$5/ IF('Blue Slime'!$O$5&lt; 10.8, Table13[[#This Row],[STR]], Table13[[#This Row],[STR]] / ('Blue Slime'!$O$5 / 10.8)), 1)</f>
        <v>1</v>
      </c>
      <c r="AA24" s="8">
        <f>CEILING('Green Slime'!$M$5/ IF('Green Slime'!$O$5&lt; 10.8, Table13[[#This Row],[STR]], Table13[[#This Row],[STR]] / ('Green Slime'!$O$5 / 10.8)), 1)</f>
        <v>1</v>
      </c>
      <c r="AB24" s="8">
        <f>CEILING(Wolf!$M$6/ IF(Wolf!$O$6&lt; 10.8, Table13[[#This Row],[STR]], Table13[[#This Row],[STR]] / (Wolf!$O$6 / 10.8)), 1)</f>
        <v>3</v>
      </c>
      <c r="AC24" s="8">
        <f>CEILING('Horned Wolf'!$M$5/ IF('Horned Wolf'!$O$5&lt; 10.8, Table13[[#This Row],[STR]], Table13[[#This Row],[STR]] / ('Horned Wolf'!$O$5 / 10.8)), 1)</f>
        <v>8</v>
      </c>
      <c r="AD24" s="8">
        <f>CEILING(Spider!$M$7/ IF(Spider!$O$7&lt; 10.8, Table13[[#This Row],[STR]], Table13[[#This Row],[STR]] / (Spider!$O$7 / 10.8)), 1)</f>
        <v>7</v>
      </c>
      <c r="AE24" s="8">
        <f>CEILING('Evolved Spider'!$M$8/ IF('Evolved Spider'!$O$8&lt; 10.8, Table13[[#This Row],[STR]], Table13[[#This Row],[STR]] / ('Evolved Spider'!$O$8 / 10.8)), 1)</f>
        <v>13</v>
      </c>
      <c r="AF24" s="8">
        <f>CEILING(Arachne!$M$4/ IF(Arachne!$O$4&lt; 10.8, Table13[[#This Row],[STR]], Table13[[#This Row],[STR]] / (Arachne!$O$4 / 10.8)), 1)</f>
        <v>17</v>
      </c>
      <c r="AG24" s="15">
        <f>CEILING('Earth Elemental'!$M$6/ IF('Earth Elemental'!$O$6&lt; 10.8, Table13[[#This Row],[STR]], Table13[[#This Row],[STR]] / ('Earth Elemental'!$O$6 / 10.8)), 1)</f>
        <v>16</v>
      </c>
      <c r="AH24" s="15">
        <f>CEILING('Wind Elemental'!$M$6/ IF('Wind Elemental'!$O$6&lt; 10.8, Table13[[#This Row],[STR]], Table13[[#This Row],[STR]] / ('Wind Elemental'!$O$6 / 10.8)), 1)</f>
        <v>13</v>
      </c>
      <c r="AI24" s="15">
        <f>CEILING('Water Elemental'!$M$6/ IF('Water Elemental'!$O$6&lt; 10.8, Table13[[#This Row],[STR]], Table13[[#This Row],[STR]] / ('Water Elemental'!$O$6 / 10.8)), 1)</f>
        <v>19</v>
      </c>
      <c r="AJ24" s="15">
        <f>CEILING('Fire Elemental'!$M$4/ IF('Fire Elemental'!$O$4&lt; 10.8, Table13[[#This Row],[STR]], Table13[[#This Row],[STR]] / ('Fire Elemental'!$O$4 / 10.8)), 1)</f>
        <v>27</v>
      </c>
      <c r="AK24" s="12">
        <f>CEILING(Wyvern!$M$4/ IF(Wyvern!$O$4&lt; 10.8, Table13[[#This Row],[STR]], Table13[[#This Row],[STR]] / (Wyvern!$O$4 / 10.8)), 1)</f>
        <v>34</v>
      </c>
      <c r="AL24" s="12">
        <f>CEILING('Evolved Wyvern'!$M$4/ IF('Evolved Wyvern'!$O$4&lt; 10.8, Table13[[#This Row],[STR]], Table13[[#This Row],[STR]] / ('Evolved Wyvern'!$O$4 / 10.8)), 1)</f>
        <v>45</v>
      </c>
      <c r="AM24" s="12">
        <f>CEILING(Dragon!$M$4/ IF(Dragon!$O$4&lt; 10.8, Table13[[#This Row],[STR]], Table13[[#This Row],[STR]] / (Dragon!$O$4 / 10.8)), 1)</f>
        <v>75</v>
      </c>
      <c r="AO24" s="8">
        <f>CEILING('Blue Slime'!$Z$5/ IF('Blue Slime'!$X$5&lt; 10.8, Table13[[#This Row],[STR]], Table13[[#This Row],[STR]] / ('Blue Slime'!$X$5 / 10.8)), 1)</f>
        <v>1</v>
      </c>
      <c r="AP24" s="8">
        <f>CEILING('Green Slime'!$Z$5/ IF('Green Slime'!$X$5&lt; 10.8, Table13[[#This Row],[STR]], Table13[[#This Row],[STR]] / ('Green Slime'!$X$5 / 10.8)), 1)</f>
        <v>2</v>
      </c>
      <c r="AQ24" s="8">
        <f>CEILING(Wolf!$Z$6/ IF(Wolf!$X$6&lt; 10.8, Table13[[#This Row],[STR]], Table13[[#This Row],[STR]] / (Wolf!$X$6 / 10.8)), 1)</f>
        <v>5</v>
      </c>
      <c r="AR24" s="8">
        <f>CEILING('Horned Wolf'!$Z$5/ IF('Horned Wolf'!$X$5&lt; 10.8, Table13[[#This Row],[STR]], Table13[[#This Row],[STR]] / ('Horned Wolf'!$X$5 / 10.8)), 1)</f>
        <v>13</v>
      </c>
      <c r="AS24" s="8">
        <f>CEILING(Spider!$Z$7/ IF(Spider!$X$7&lt; 10.8, Table13[[#This Row],[STR]], Table13[[#This Row],[STR]] / (Spider!$X$7 / 10.8)), 1)</f>
        <v>12</v>
      </c>
      <c r="AT24" s="8">
        <f>CEILING('Evolved Spider'!$Z$8/ IF('Evolved Spider'!$X$8&lt; 10.8, Table13[[#This Row],[STR]], Table13[[#This Row],[STR]] / ('Evolved Spider'!$X$8 / 10.8)), 1)</f>
        <v>21</v>
      </c>
      <c r="AU24" s="8">
        <f>CEILING(Arachne!$Z$4/ IF(Arachne!$X$4&lt; 10.8, Table13[[#This Row],[STR]], Table13[[#This Row],[STR]] / (Arachne!$X$4 / 10.8)), 1)</f>
        <v>28</v>
      </c>
      <c r="AV24" s="15">
        <f>CEILING('Earth Elemental'!$Z$6/ IF('Earth Elemental'!$X$6&lt; 10.8, Table13[[#This Row],[STR]], Table13[[#This Row],[STR]] / ('Earth Elemental'!$X$6 / 10.8)), 1)</f>
        <v>24</v>
      </c>
      <c r="AW24" s="15">
        <f>CEILING('Wind Elemental'!$Z$6/ IF('Wind Elemental'!$X$6&lt; 10.8, Table13[[#This Row],[STR]], Table13[[#This Row],[STR]] / ('Wind Elemental'!$X$6 / 10.8)), 1)</f>
        <v>18</v>
      </c>
      <c r="AX24" s="15">
        <f>CEILING('Water Elemental'!$Z$6/ IF('Water Elemental'!$X$6&lt; 10.8, Table13[[#This Row],[STR]], Table13[[#This Row],[STR]] / ('Water Elemental'!$X$6 / 10.8)), 1)</f>
        <v>25</v>
      </c>
      <c r="AY24" s="15">
        <f>CEILING('Fire Elemental'!$Z$4/ IF('Fire Elemental'!$X$4&lt; 10.8, Table13[[#This Row],[STR]], Table13[[#This Row],[STR]] / ('Fire Elemental'!$X$4 / 10.8)), 1)</f>
        <v>41</v>
      </c>
      <c r="AZ24" s="12">
        <f>CEILING(Wyvern!$Z$4/ IF(Wyvern!$X$4&lt; 10.8, Table13[[#This Row],[STR]], Table13[[#This Row],[STR]] / (Wyvern!$X$4 / 10.8)), 1)</f>
        <v>49</v>
      </c>
      <c r="BA24" s="12">
        <f>CEILING('Evolved Wyvern'!$Z$4/ IF('Evolved Wyvern'!$X$4&lt; 10.8, Table13[[#This Row],[STR]], Table13[[#This Row],[STR]] / ('Evolved Wyvern'!$X$4 / 10.8)), 1)</f>
        <v>63</v>
      </c>
      <c r="BB24" s="12">
        <f>CEILING(Dragon!$Z$4/ IF(Dragon!$X$4&lt; 10.8, Table13[[#This Row],[STR]], Table13[[#This Row],[STR]] / (Dragon!$X$4 / 10.8)), 1)</f>
        <v>107</v>
      </c>
    </row>
    <row r="25" spans="1:54" x14ac:dyDescent="0.3">
      <c r="A25" s="1">
        <v>23</v>
      </c>
      <c r="B25" s="1">
        <f>$B$3 + ((Table13[[#This Row],[Level]] / 10) + $B$3 / 8) * Table13[[#This Row],[Level]] + Equipment!$Z$18</f>
        <v>128.14999999999998</v>
      </c>
      <c r="C25" s="1">
        <f>2 * Table13[[#This Row],[INT]]</f>
        <v>85.5</v>
      </c>
      <c r="D25" s="1">
        <f>$D$3 + ($D$3 / 4) * Table13[[#This Row],[Level]] + Equipment!$AA$18</f>
        <v>68</v>
      </c>
      <c r="E25" s="1">
        <f>$E$3 + ($E$3 / 4) * Table13[[#This Row],[Level]] + Equipment!$AB$18</f>
        <v>51.5</v>
      </c>
      <c r="F25" s="1">
        <f>$F$3 + ($F$3 / 4) * Table13[[#This Row],[Level]] + Equipment!$AC$18</f>
        <v>59.25</v>
      </c>
      <c r="G25" s="1">
        <f>$G$3 + ($G$3 / 4) * Table13[[#This Row],[Level]] + Equipment!$AD$18</f>
        <v>42.75</v>
      </c>
      <c r="H25" s="1">
        <f>$H$3 + ($H$3 / 4) * Table13[[#This Row],[Level]] + Equipment!$AE$18</f>
        <v>51.5</v>
      </c>
      <c r="I25" s="1">
        <f xml:space="preserve"> (4 * (Table13[[#This Row],[Level]] ^ 3))/7 + $I$3</f>
        <v>7052.5714285714284</v>
      </c>
      <c r="K25" s="8">
        <f>CEILING('Blue Slime'!$B$5/ IF('Blue Slime'!$D$5&lt; 10.8, Table13[[#This Row],[STR]], Table13[[#This Row],[STR]] / ('Blue Slime'!$D$5 / 10.8)), 1)</f>
        <v>1</v>
      </c>
      <c r="L25" s="8">
        <f>CEILING('Green Slime'!$B$5/ IF('Green Slime'!$D$5&lt; 10.8, Table13[[#This Row],[STR]], Table13[[#This Row],[STR]] / ('Green Slime'!$D$5 / 10.8)), 1)</f>
        <v>1</v>
      </c>
      <c r="M25" s="8">
        <f>CEILING(Wolf!$B$6/ IF(Wolf!$D$6&lt; 10.8, Table13[[#This Row],[STR]], Table13[[#This Row],[STR]] / (Wolf!$D$6 / 10.8)), 1)</f>
        <v>2</v>
      </c>
      <c r="N25" s="8">
        <f>CEILING('Horned Wolf'!$B$5/ IF('Horned Wolf'!$D$5&lt; 10.8, Table13[[#This Row],[STR]], Table13[[#This Row],[STR]] / ('Horned Wolf'!$D$5 / 10.8)), 1)</f>
        <v>4</v>
      </c>
      <c r="O25" s="8">
        <f>CEILING(Spider!$B$7/ IF(Spider!$D$7&lt; 10.8, Table13[[#This Row],[STR]], Table13[[#This Row],[STR]] / (Spider!$D$7 / 10.8)), 1)</f>
        <v>4</v>
      </c>
      <c r="P25" s="8">
        <f>CEILING('Evolved Spider'!$B$8/ IF('Evolved Spider'!$D$8&lt; 10.8, Table13[[#This Row],[STR]], Table13[[#This Row],[STR]] / ('Evolved Spider'!$D$8 / 10.8)), 1)</f>
        <v>7</v>
      </c>
      <c r="Q25" s="8">
        <f>CEILING(Arachne!$B$4/ IF(Arachne!$D$4&lt; 10.8, Table13[[#This Row],[STR]], Table13[[#This Row],[STR]] / (Arachne!$D$4 / 10.8)), 1)</f>
        <v>9</v>
      </c>
      <c r="R25" s="15">
        <f>CEILING('Earth Elemental'!$B$6/ IF('Earth Elemental'!$D$6&lt; 10.8, Table13[[#This Row],[STR]], Table13[[#This Row],[STR]] / ('Earth Elemental'!$D$6 / 10.8)), 1)</f>
        <v>9</v>
      </c>
      <c r="S25" s="15">
        <f>CEILING('Wind Elemental'!$B$6/ IF('Wind Elemental'!$D$6&lt; 10.8, Table13[[#This Row],[STR]], Table13[[#This Row],[STR]] / ('Wind Elemental'!$D$6 / 10.8)), 1)</f>
        <v>8</v>
      </c>
      <c r="T25" s="15">
        <f>CEILING('Water Elemental'!$B$6/ IF('Water Elemental'!$D$6&lt; 10.8, Table13[[#This Row],[STR]], Table13[[#This Row],[STR]] / ('Water Elemental'!$D$6 / 10.8)), 1)</f>
        <v>12</v>
      </c>
      <c r="U25" s="15">
        <f>CEILING('Fire Elemental'!$B$4/ IF('Fire Elemental'!$D$4&lt; 10.8, Table13[[#This Row],[STR]], Table13[[#This Row],[STR]] / ('Fire Elemental'!$D$4 / 10.8)), 1)</f>
        <v>15</v>
      </c>
      <c r="V25" s="12">
        <f>CEILING(Wyvern!$B$4/ IF(Wyvern!$D$4&lt; 10.8, Table13[[#This Row],[STR]], Table13[[#This Row],[STR]] / (Wyvern!$D$4 / 10.8)), 1)</f>
        <v>20</v>
      </c>
      <c r="W25" s="12">
        <f>CEILING('Evolved Wyvern'!$B$4/ IF('Evolved Wyvern'!$D$4&lt; 10.8, Table13[[#This Row],[STR]], Table13[[#This Row],[STR]] / ('Evolved Wyvern'!$D$4 / 10.8)), 1)</f>
        <v>28</v>
      </c>
      <c r="X25" s="12">
        <f>CEILING(Dragon!$B$4/ IF(Dragon!$D$4&lt; 10.8, Table13[[#This Row],[STR]], Table13[[#This Row],[STR]] / (Dragon!$D$4 / 10.8)), 1)</f>
        <v>46</v>
      </c>
      <c r="Z25" s="8">
        <f>CEILING('Blue Slime'!$M$5/ IF('Blue Slime'!$O$5&lt; 10.8, Table13[[#This Row],[STR]], Table13[[#This Row],[STR]] / ('Blue Slime'!$O$5 / 10.8)), 1)</f>
        <v>1</v>
      </c>
      <c r="AA25" s="8">
        <f>CEILING('Green Slime'!$M$5/ IF('Green Slime'!$O$5&lt; 10.8, Table13[[#This Row],[STR]], Table13[[#This Row],[STR]] / ('Green Slime'!$O$5 / 10.8)), 1)</f>
        <v>1</v>
      </c>
      <c r="AB25" s="8">
        <f>CEILING(Wolf!$M$6/ IF(Wolf!$O$6&lt; 10.8, Table13[[#This Row],[STR]], Table13[[#This Row],[STR]] / (Wolf!$O$6 / 10.8)), 1)</f>
        <v>3</v>
      </c>
      <c r="AC25" s="8">
        <f>CEILING('Horned Wolf'!$M$5/ IF('Horned Wolf'!$O$5&lt; 10.8, Table13[[#This Row],[STR]], Table13[[#This Row],[STR]] / ('Horned Wolf'!$O$5 / 10.8)), 1)</f>
        <v>8</v>
      </c>
      <c r="AD25" s="8">
        <f>CEILING(Spider!$M$7/ IF(Spider!$O$7&lt; 10.8, Table13[[#This Row],[STR]], Table13[[#This Row],[STR]] / (Spider!$O$7 / 10.8)), 1)</f>
        <v>7</v>
      </c>
      <c r="AE25" s="8">
        <f>CEILING('Evolved Spider'!$M$8/ IF('Evolved Spider'!$O$8&lt; 10.8, Table13[[#This Row],[STR]], Table13[[#This Row],[STR]] / ('Evolved Spider'!$O$8 / 10.8)), 1)</f>
        <v>13</v>
      </c>
      <c r="AF25" s="8">
        <f>CEILING(Arachne!$M$4/ IF(Arachne!$O$4&lt; 10.8, Table13[[#This Row],[STR]], Table13[[#This Row],[STR]] / (Arachne!$O$4 / 10.8)), 1)</f>
        <v>17</v>
      </c>
      <c r="AG25" s="15">
        <f>CEILING('Earth Elemental'!$M$6/ IF('Earth Elemental'!$O$6&lt; 10.8, Table13[[#This Row],[STR]], Table13[[#This Row],[STR]] / ('Earth Elemental'!$O$6 / 10.8)), 1)</f>
        <v>15</v>
      </c>
      <c r="AH25" s="15">
        <f>CEILING('Wind Elemental'!$M$6/ IF('Wind Elemental'!$O$6&lt; 10.8, Table13[[#This Row],[STR]], Table13[[#This Row],[STR]] / ('Wind Elemental'!$O$6 / 10.8)), 1)</f>
        <v>13</v>
      </c>
      <c r="AI25" s="15">
        <f>CEILING('Water Elemental'!$M$6/ IF('Water Elemental'!$O$6&lt; 10.8, Table13[[#This Row],[STR]], Table13[[#This Row],[STR]] / ('Water Elemental'!$O$6 / 10.8)), 1)</f>
        <v>18</v>
      </c>
      <c r="AJ25" s="15">
        <f>CEILING('Fire Elemental'!$M$4/ IF('Fire Elemental'!$O$4&lt; 10.8, Table13[[#This Row],[STR]], Table13[[#This Row],[STR]] / ('Fire Elemental'!$O$4 / 10.8)), 1)</f>
        <v>26</v>
      </c>
      <c r="AK25" s="12">
        <f>CEILING(Wyvern!$M$4/ IF(Wyvern!$O$4&lt; 10.8, Table13[[#This Row],[STR]], Table13[[#This Row],[STR]] / (Wyvern!$O$4 / 10.8)), 1)</f>
        <v>33</v>
      </c>
      <c r="AL25" s="12">
        <f>CEILING('Evolved Wyvern'!$M$4/ IF('Evolved Wyvern'!$O$4&lt; 10.8, Table13[[#This Row],[STR]], Table13[[#This Row],[STR]] / ('Evolved Wyvern'!$O$4 / 10.8)), 1)</f>
        <v>44</v>
      </c>
      <c r="AM25" s="12">
        <f>CEILING(Dragon!$M$4/ IF(Dragon!$O$4&lt; 10.8, Table13[[#This Row],[STR]], Table13[[#This Row],[STR]] / (Dragon!$O$4 / 10.8)), 1)</f>
        <v>73</v>
      </c>
      <c r="AO25" s="8">
        <f>CEILING('Blue Slime'!$Z$5/ IF('Blue Slime'!$X$5&lt; 10.8, Table13[[#This Row],[STR]], Table13[[#This Row],[STR]] / ('Blue Slime'!$X$5 / 10.8)), 1)</f>
        <v>1</v>
      </c>
      <c r="AP25" s="8">
        <f>CEILING('Green Slime'!$Z$5/ IF('Green Slime'!$X$5&lt; 10.8, Table13[[#This Row],[STR]], Table13[[#This Row],[STR]] / ('Green Slime'!$X$5 / 10.8)), 1)</f>
        <v>2</v>
      </c>
      <c r="AQ25" s="8">
        <f>CEILING(Wolf!$Z$6/ IF(Wolf!$X$6&lt; 10.8, Table13[[#This Row],[STR]], Table13[[#This Row],[STR]] / (Wolf!$X$6 / 10.8)), 1)</f>
        <v>5</v>
      </c>
      <c r="AR25" s="8">
        <f>CEILING('Horned Wolf'!$Z$5/ IF('Horned Wolf'!$X$5&lt; 10.8, Table13[[#This Row],[STR]], Table13[[#This Row],[STR]] / ('Horned Wolf'!$X$5 / 10.8)), 1)</f>
        <v>13</v>
      </c>
      <c r="AS25" s="8">
        <f>CEILING(Spider!$Z$7/ IF(Spider!$X$7&lt; 10.8, Table13[[#This Row],[STR]], Table13[[#This Row],[STR]] / (Spider!$X$7 / 10.8)), 1)</f>
        <v>11</v>
      </c>
      <c r="AT25" s="8">
        <f>CEILING('Evolved Spider'!$Z$8/ IF('Evolved Spider'!$X$8&lt; 10.8, Table13[[#This Row],[STR]], Table13[[#This Row],[STR]] / ('Evolved Spider'!$X$8 / 10.8)), 1)</f>
        <v>20</v>
      </c>
      <c r="AU25" s="8">
        <f>CEILING(Arachne!$Z$4/ IF(Arachne!$X$4&lt; 10.8, Table13[[#This Row],[STR]], Table13[[#This Row],[STR]] / (Arachne!$X$4 / 10.8)), 1)</f>
        <v>28</v>
      </c>
      <c r="AV25" s="15">
        <f>CEILING('Earth Elemental'!$Z$6/ IF('Earth Elemental'!$X$6&lt; 10.8, Table13[[#This Row],[STR]], Table13[[#This Row],[STR]] / ('Earth Elemental'!$X$6 / 10.8)), 1)</f>
        <v>23</v>
      </c>
      <c r="AW25" s="15">
        <f>CEILING('Wind Elemental'!$Z$6/ IF('Wind Elemental'!$X$6&lt; 10.8, Table13[[#This Row],[STR]], Table13[[#This Row],[STR]] / ('Wind Elemental'!$X$6 / 10.8)), 1)</f>
        <v>18</v>
      </c>
      <c r="AX25" s="15">
        <f>CEILING('Water Elemental'!$Z$6/ IF('Water Elemental'!$X$6&lt; 10.8, Table13[[#This Row],[STR]], Table13[[#This Row],[STR]] / ('Water Elemental'!$X$6 / 10.8)), 1)</f>
        <v>25</v>
      </c>
      <c r="AY25" s="15">
        <f>CEILING('Fire Elemental'!$Z$4/ IF('Fire Elemental'!$X$4&lt; 10.8, Table13[[#This Row],[STR]], Table13[[#This Row],[STR]] / ('Fire Elemental'!$X$4 / 10.8)), 1)</f>
        <v>40</v>
      </c>
      <c r="AZ25" s="12">
        <f>CEILING(Wyvern!$Z$4/ IF(Wyvern!$X$4&lt; 10.8, Table13[[#This Row],[STR]], Table13[[#This Row],[STR]] / (Wyvern!$X$4 / 10.8)), 1)</f>
        <v>48</v>
      </c>
      <c r="BA25" s="12">
        <f>CEILING('Evolved Wyvern'!$Z$4/ IF('Evolved Wyvern'!$X$4&lt; 10.8, Table13[[#This Row],[STR]], Table13[[#This Row],[STR]] / ('Evolved Wyvern'!$X$4 / 10.8)), 1)</f>
        <v>61</v>
      </c>
      <c r="BB25" s="12">
        <f>CEILING(Dragon!$Z$4/ IF(Dragon!$X$4&lt; 10.8, Table13[[#This Row],[STR]], Table13[[#This Row],[STR]] / (Dragon!$X$4 / 10.8)), 1)</f>
        <v>103</v>
      </c>
    </row>
    <row r="26" spans="1:54" x14ac:dyDescent="0.3">
      <c r="A26" s="30">
        <v>24</v>
      </c>
      <c r="B26" s="30">
        <f>$B$3 + ((Table13[[#This Row],[Level]] / 10) + $B$3 / 8) * Table13[[#This Row],[Level]] + Equipment!$Z$18</f>
        <v>134.60000000000002</v>
      </c>
      <c r="C26" s="30">
        <f>2 * Table13[[#This Row],[INT]]</f>
        <v>88</v>
      </c>
      <c r="D26" s="30">
        <f>$D$3 + ($D$3 / 4) * Table13[[#This Row],[Level]] + Equipment!$AA$18</f>
        <v>70</v>
      </c>
      <c r="E26" s="30">
        <f>$E$3 + ($E$3 / 4) * Table13[[#This Row],[Level]] + Equipment!$AB$18</f>
        <v>53</v>
      </c>
      <c r="F26" s="30">
        <f>$F$3 + ($F$3 / 4) * Table13[[#This Row],[Level]] + Equipment!$AC$18</f>
        <v>61</v>
      </c>
      <c r="G26" s="30">
        <f>$G$3 + ($G$3 / 4) * Table13[[#This Row],[Level]] + Equipment!$AD$18</f>
        <v>44</v>
      </c>
      <c r="H26" s="30">
        <f>$H$3 + ($H$3 / 4) * Table13[[#This Row],[Level]] + Equipment!$AE$18</f>
        <v>53</v>
      </c>
      <c r="I26" s="30">
        <f xml:space="preserve"> (4 * (Table13[[#This Row],[Level]] ^ 3))/7 + $I$3</f>
        <v>7999.4285714285716</v>
      </c>
      <c r="K26" s="8">
        <f>CEILING('Blue Slime'!$B$5/ IF('Blue Slime'!$D$5&lt; 10.8, Table13[[#This Row],[STR]], Table13[[#This Row],[STR]] / ('Blue Slime'!$D$5 / 10.8)), 1)</f>
        <v>1</v>
      </c>
      <c r="L26" s="8">
        <f>CEILING('Green Slime'!$B$5/ IF('Green Slime'!$D$5&lt; 10.8, Table13[[#This Row],[STR]], Table13[[#This Row],[STR]] / ('Green Slime'!$D$5 / 10.8)), 1)</f>
        <v>1</v>
      </c>
      <c r="M26" s="8">
        <f>CEILING(Wolf!$B$6/ IF(Wolf!$D$6&lt; 10.8, Table13[[#This Row],[STR]], Table13[[#This Row],[STR]] / (Wolf!$D$6 / 10.8)), 1)</f>
        <v>2</v>
      </c>
      <c r="N26" s="8">
        <f>CEILING('Horned Wolf'!$B$5/ IF('Horned Wolf'!$D$5&lt; 10.8, Table13[[#This Row],[STR]], Table13[[#This Row],[STR]] / ('Horned Wolf'!$D$5 / 10.8)), 1)</f>
        <v>4</v>
      </c>
      <c r="O26" s="8">
        <f>CEILING(Spider!$B$7/ IF(Spider!$D$7&lt; 10.8, Table13[[#This Row],[STR]], Table13[[#This Row],[STR]] / (Spider!$D$7 / 10.8)), 1)</f>
        <v>4</v>
      </c>
      <c r="P26" s="8">
        <f>CEILING('Evolved Spider'!$B$8/ IF('Evolved Spider'!$D$8&lt; 10.8, Table13[[#This Row],[STR]], Table13[[#This Row],[STR]] / ('Evolved Spider'!$D$8 / 10.8)), 1)</f>
        <v>7</v>
      </c>
      <c r="Q26" s="8">
        <f>CEILING(Arachne!$B$4/ IF(Arachne!$D$4&lt; 10.8, Table13[[#This Row],[STR]], Table13[[#This Row],[STR]] / (Arachne!$D$4 / 10.8)), 1)</f>
        <v>9</v>
      </c>
      <c r="R26" s="15">
        <f>CEILING('Earth Elemental'!$B$6/ IF('Earth Elemental'!$D$6&lt; 10.8, Table13[[#This Row],[STR]], Table13[[#This Row],[STR]] / ('Earth Elemental'!$D$6 / 10.8)), 1)</f>
        <v>9</v>
      </c>
      <c r="S26" s="15">
        <f>CEILING('Wind Elemental'!$B$6/ IF('Wind Elemental'!$D$6&lt; 10.8, Table13[[#This Row],[STR]], Table13[[#This Row],[STR]] / ('Wind Elemental'!$D$6 / 10.8)), 1)</f>
        <v>8</v>
      </c>
      <c r="T26" s="15">
        <f>CEILING('Water Elemental'!$B$6/ IF('Water Elemental'!$D$6&lt; 10.8, Table13[[#This Row],[STR]], Table13[[#This Row],[STR]] / ('Water Elemental'!$D$6 / 10.8)), 1)</f>
        <v>12</v>
      </c>
      <c r="U26" s="15">
        <f>CEILING('Fire Elemental'!$B$4/ IF('Fire Elemental'!$D$4&lt; 10.8, Table13[[#This Row],[STR]], Table13[[#This Row],[STR]] / ('Fire Elemental'!$D$4 / 10.8)), 1)</f>
        <v>15</v>
      </c>
      <c r="V26" s="12">
        <f>CEILING(Wyvern!$B$4/ IF(Wyvern!$D$4&lt; 10.8, Table13[[#This Row],[STR]], Table13[[#This Row],[STR]] / (Wyvern!$D$4 / 10.8)), 1)</f>
        <v>20</v>
      </c>
      <c r="W26" s="12">
        <f>CEILING('Evolved Wyvern'!$B$4/ IF('Evolved Wyvern'!$D$4&lt; 10.8, Table13[[#This Row],[STR]], Table13[[#This Row],[STR]] / ('Evolved Wyvern'!$D$4 / 10.8)), 1)</f>
        <v>27</v>
      </c>
      <c r="X26" s="12">
        <f>CEILING(Dragon!$B$4/ IF(Dragon!$D$4&lt; 10.8, Table13[[#This Row],[STR]], Table13[[#This Row],[STR]] / (Dragon!$D$4 / 10.8)), 1)</f>
        <v>44</v>
      </c>
      <c r="Z26" s="8">
        <f>CEILING('Blue Slime'!$M$5/ IF('Blue Slime'!$O$5&lt; 10.8, Table13[[#This Row],[STR]], Table13[[#This Row],[STR]] / ('Blue Slime'!$O$5 / 10.8)), 1)</f>
        <v>1</v>
      </c>
      <c r="AA26" s="8">
        <f>CEILING('Green Slime'!$M$5/ IF('Green Slime'!$O$5&lt; 10.8, Table13[[#This Row],[STR]], Table13[[#This Row],[STR]] / ('Green Slime'!$O$5 / 10.8)), 1)</f>
        <v>1</v>
      </c>
      <c r="AB26" s="8">
        <f>CEILING(Wolf!$M$6/ IF(Wolf!$O$6&lt; 10.8, Table13[[#This Row],[STR]], Table13[[#This Row],[STR]] / (Wolf!$O$6 / 10.8)), 1)</f>
        <v>3</v>
      </c>
      <c r="AC26" s="8">
        <f>CEILING('Horned Wolf'!$M$5/ IF('Horned Wolf'!$O$5&lt; 10.8, Table13[[#This Row],[STR]], Table13[[#This Row],[STR]] / ('Horned Wolf'!$O$5 / 10.8)), 1)</f>
        <v>7</v>
      </c>
      <c r="AD26" s="8">
        <f>CEILING(Spider!$M$7/ IF(Spider!$O$7&lt; 10.8, Table13[[#This Row],[STR]], Table13[[#This Row],[STR]] / (Spider!$O$7 / 10.8)), 1)</f>
        <v>7</v>
      </c>
      <c r="AE26" s="8">
        <f>CEILING('Evolved Spider'!$M$8/ IF('Evolved Spider'!$O$8&lt; 10.8, Table13[[#This Row],[STR]], Table13[[#This Row],[STR]] / ('Evolved Spider'!$O$8 / 10.8)), 1)</f>
        <v>12</v>
      </c>
      <c r="AF26" s="8">
        <f>CEILING(Arachne!$M$4/ IF(Arachne!$O$4&lt; 10.8, Table13[[#This Row],[STR]], Table13[[#This Row],[STR]] / (Arachne!$O$4 / 10.8)), 1)</f>
        <v>16</v>
      </c>
      <c r="AG26" s="15">
        <f>CEILING('Earth Elemental'!$M$6/ IF('Earth Elemental'!$O$6&lt; 10.8, Table13[[#This Row],[STR]], Table13[[#This Row],[STR]] / ('Earth Elemental'!$O$6 / 10.8)), 1)</f>
        <v>15</v>
      </c>
      <c r="AH26" s="15">
        <f>CEILING('Wind Elemental'!$M$6/ IF('Wind Elemental'!$O$6&lt; 10.8, Table13[[#This Row],[STR]], Table13[[#This Row],[STR]] / ('Wind Elemental'!$O$6 / 10.8)), 1)</f>
        <v>12</v>
      </c>
      <c r="AI26" s="15">
        <f>CEILING('Water Elemental'!$M$6/ IF('Water Elemental'!$O$6&lt; 10.8, Table13[[#This Row],[STR]], Table13[[#This Row],[STR]] / ('Water Elemental'!$O$6 / 10.8)), 1)</f>
        <v>18</v>
      </c>
      <c r="AJ26" s="15">
        <f>CEILING('Fire Elemental'!$M$4/ IF('Fire Elemental'!$O$4&lt; 10.8, Table13[[#This Row],[STR]], Table13[[#This Row],[STR]] / ('Fire Elemental'!$O$4 / 10.8)), 1)</f>
        <v>25</v>
      </c>
      <c r="AK26" s="12">
        <f>CEILING(Wyvern!$M$4/ IF(Wyvern!$O$4&lt; 10.8, Table13[[#This Row],[STR]], Table13[[#This Row],[STR]] / (Wyvern!$O$4 / 10.8)), 1)</f>
        <v>32</v>
      </c>
      <c r="AL26" s="12">
        <f>CEILING('Evolved Wyvern'!$M$4/ IF('Evolved Wyvern'!$O$4&lt; 10.8, Table13[[#This Row],[STR]], Table13[[#This Row],[STR]] / ('Evolved Wyvern'!$O$4 / 10.8)), 1)</f>
        <v>43</v>
      </c>
      <c r="AM26" s="12">
        <f>CEILING(Dragon!$M$4/ IF(Dragon!$O$4&lt; 10.8, Table13[[#This Row],[STR]], Table13[[#This Row],[STR]] / (Dragon!$O$4 / 10.8)), 1)</f>
        <v>71</v>
      </c>
      <c r="AO26" s="8">
        <f>CEILING('Blue Slime'!$Z$5/ IF('Blue Slime'!$X$5&lt; 10.8, Table13[[#This Row],[STR]], Table13[[#This Row],[STR]] / ('Blue Slime'!$X$5 / 10.8)), 1)</f>
        <v>1</v>
      </c>
      <c r="AP26" s="8">
        <f>CEILING('Green Slime'!$Z$5/ IF('Green Slime'!$X$5&lt; 10.8, Table13[[#This Row],[STR]], Table13[[#This Row],[STR]] / ('Green Slime'!$X$5 / 10.8)), 1)</f>
        <v>2</v>
      </c>
      <c r="AQ26" s="8">
        <f>CEILING(Wolf!$Z$6/ IF(Wolf!$X$6&lt; 10.8, Table13[[#This Row],[STR]], Table13[[#This Row],[STR]] / (Wolf!$X$6 / 10.8)), 1)</f>
        <v>5</v>
      </c>
      <c r="AR26" s="8">
        <f>CEILING('Horned Wolf'!$Z$5/ IF('Horned Wolf'!$X$5&lt; 10.8, Table13[[#This Row],[STR]], Table13[[#This Row],[STR]] / ('Horned Wolf'!$X$5 / 10.8)), 1)</f>
        <v>13</v>
      </c>
      <c r="AS26" s="8">
        <f>CEILING(Spider!$Z$7/ IF(Spider!$X$7&lt; 10.8, Table13[[#This Row],[STR]], Table13[[#This Row],[STR]] / (Spider!$X$7 / 10.8)), 1)</f>
        <v>11</v>
      </c>
      <c r="AT26" s="8">
        <f>CEILING('Evolved Spider'!$Z$8/ IF('Evolved Spider'!$X$8&lt; 10.8, Table13[[#This Row],[STR]], Table13[[#This Row],[STR]] / ('Evolved Spider'!$X$8 / 10.8)), 1)</f>
        <v>20</v>
      </c>
      <c r="AU26" s="8">
        <f>CEILING(Arachne!$Z$4/ IF(Arachne!$X$4&lt; 10.8, Table13[[#This Row],[STR]], Table13[[#This Row],[STR]] / (Arachne!$X$4 / 10.8)), 1)</f>
        <v>27</v>
      </c>
      <c r="AV26" s="15">
        <f>CEILING('Earth Elemental'!$Z$6/ IF('Earth Elemental'!$X$6&lt; 10.8, Table13[[#This Row],[STR]], Table13[[#This Row],[STR]] / ('Earth Elemental'!$X$6 / 10.8)), 1)</f>
        <v>22</v>
      </c>
      <c r="AW26" s="15">
        <f>CEILING('Wind Elemental'!$Z$6/ IF('Wind Elemental'!$X$6&lt; 10.8, Table13[[#This Row],[STR]], Table13[[#This Row],[STR]] / ('Wind Elemental'!$X$6 / 10.8)), 1)</f>
        <v>17</v>
      </c>
      <c r="AX26" s="15">
        <f>CEILING('Water Elemental'!$Z$6/ IF('Water Elemental'!$X$6&lt; 10.8, Table13[[#This Row],[STR]], Table13[[#This Row],[STR]] / ('Water Elemental'!$X$6 / 10.8)), 1)</f>
        <v>24</v>
      </c>
      <c r="AY26" s="15">
        <f>CEILING('Fire Elemental'!$Z$4/ IF('Fire Elemental'!$X$4&lt; 10.8, Table13[[#This Row],[STR]], Table13[[#This Row],[STR]] / ('Fire Elemental'!$X$4 / 10.8)), 1)</f>
        <v>39</v>
      </c>
      <c r="AZ26" s="12">
        <f>CEILING(Wyvern!$Z$4/ IF(Wyvern!$X$4&lt; 10.8, Table13[[#This Row],[STR]], Table13[[#This Row],[STR]] / (Wyvern!$X$4 / 10.8)), 1)</f>
        <v>47</v>
      </c>
      <c r="BA26" s="12">
        <f>CEILING('Evolved Wyvern'!$Z$4/ IF('Evolved Wyvern'!$X$4&lt; 10.8, Table13[[#This Row],[STR]], Table13[[#This Row],[STR]] / ('Evolved Wyvern'!$X$4 / 10.8)), 1)</f>
        <v>60</v>
      </c>
      <c r="BB26" s="12">
        <f>CEILING(Dragon!$Z$4/ IF(Dragon!$X$4&lt; 10.8, Table13[[#This Row],[STR]], Table13[[#This Row],[STR]] / (Dragon!$X$4 / 10.8)), 1)</f>
        <v>100</v>
      </c>
    </row>
    <row r="27" spans="1:54" x14ac:dyDescent="0.3">
      <c r="A27" s="1">
        <v>25</v>
      </c>
      <c r="B27" s="1">
        <f>$B$3 + ((Table13[[#This Row],[Level]] / 10) + $B$3 / 8) * Table13[[#This Row],[Level]] + Equipment!$Z$26</f>
        <v>165.25</v>
      </c>
      <c r="C27" s="1">
        <f>2 * Table13[[#This Row],[INT]]</f>
        <v>98.5</v>
      </c>
      <c r="D27" s="1">
        <f>$D$3 + ($D$3 / 4) * Table13[[#This Row],[Level]] + Equipment!$AA$26</f>
        <v>82</v>
      </c>
      <c r="E27" s="1">
        <f>$E$3 + ($E$3 / 4) * Table13[[#This Row],[Level]] + Equipment!$AB$26</f>
        <v>61.5</v>
      </c>
      <c r="F27" s="1">
        <f>$F$3 + ($F$3 / 4) * Table13[[#This Row],[Level]] + Equipment!$AC$26</f>
        <v>71.75</v>
      </c>
      <c r="G27" s="1">
        <f>$G$3 + ($G$3 / 4) * Table13[[#This Row],[Level]] + Equipment!$AD$26</f>
        <v>49.25</v>
      </c>
      <c r="H27" s="1">
        <f>$H$3 + ($H$3 / 4) * Table13[[#This Row],[Level]] + Equipment!$AE$26</f>
        <v>61.5</v>
      </c>
      <c r="I27" s="1">
        <f xml:space="preserve"> (4 * (Table13[[#This Row],[Level]] ^ 3))/7 + $I$3</f>
        <v>9028.5714285714294</v>
      </c>
      <c r="K27" s="8">
        <f>CEILING('Blue Slime'!$B$5/ IF('Blue Slime'!$D$5&lt; 10.8, Table13[[#This Row],[STR]], Table13[[#This Row],[STR]] / ('Blue Slime'!$D$5 / 10.8)), 1)</f>
        <v>1</v>
      </c>
      <c r="L27" s="8">
        <f>CEILING('Green Slime'!$B$5/ IF('Green Slime'!$D$5&lt; 10.8, Table13[[#This Row],[STR]], Table13[[#This Row],[STR]] / ('Green Slime'!$D$5 / 10.8)), 1)</f>
        <v>1</v>
      </c>
      <c r="M27" s="8">
        <f>CEILING(Wolf!$B$6/ IF(Wolf!$D$6&lt; 10.8, Table13[[#This Row],[STR]], Table13[[#This Row],[STR]] / (Wolf!$D$6 / 10.8)), 1)</f>
        <v>1</v>
      </c>
      <c r="N27" s="8">
        <f>CEILING('Horned Wolf'!$B$5/ IF('Horned Wolf'!$D$5&lt; 10.8, Table13[[#This Row],[STR]], Table13[[#This Row],[STR]] / ('Horned Wolf'!$D$5 / 10.8)), 1)</f>
        <v>3</v>
      </c>
      <c r="O27" s="8">
        <f>CEILING(Spider!$B$7/ IF(Spider!$D$7&lt; 10.8, Table13[[#This Row],[STR]], Table13[[#This Row],[STR]] / (Spider!$D$7 / 10.8)), 1)</f>
        <v>3</v>
      </c>
      <c r="P27" s="8">
        <f>CEILING('Evolved Spider'!$B$8/ IF('Evolved Spider'!$D$8&lt; 10.8, Table13[[#This Row],[STR]], Table13[[#This Row],[STR]] / ('Evolved Spider'!$D$8 / 10.8)), 1)</f>
        <v>6</v>
      </c>
      <c r="Q27" s="8">
        <f>CEILING(Arachne!$B$4/ IF(Arachne!$D$4&lt; 10.8, Table13[[#This Row],[STR]], Table13[[#This Row],[STR]] / (Arachne!$D$4 / 10.8)), 1)</f>
        <v>7</v>
      </c>
      <c r="R27" s="15">
        <f>CEILING('Earth Elemental'!$B$6/ IF('Earth Elemental'!$D$6&lt; 10.8, Table13[[#This Row],[STR]], Table13[[#This Row],[STR]] / ('Earth Elemental'!$D$6 / 10.8)), 1)</f>
        <v>7</v>
      </c>
      <c r="S27" s="15">
        <f>CEILING('Wind Elemental'!$B$6/ IF('Wind Elemental'!$D$6&lt; 10.8, Table13[[#This Row],[STR]], Table13[[#This Row],[STR]] / ('Wind Elemental'!$D$6 / 10.8)), 1)</f>
        <v>7</v>
      </c>
      <c r="T27" s="15">
        <f>CEILING('Water Elemental'!$B$6/ IF('Water Elemental'!$D$6&lt; 10.8, Table13[[#This Row],[STR]], Table13[[#This Row],[STR]] / ('Water Elemental'!$D$6 / 10.8)), 1)</f>
        <v>10</v>
      </c>
      <c r="U27" s="15">
        <f>CEILING('Fire Elemental'!$B$4/ IF('Fire Elemental'!$D$4&lt; 10.8, Table13[[#This Row],[STR]], Table13[[#This Row],[STR]] / ('Fire Elemental'!$D$4 / 10.8)), 1)</f>
        <v>13</v>
      </c>
      <c r="V27" s="12">
        <f>CEILING(Wyvern!$B$4/ IF(Wyvern!$D$4&lt; 10.8, Table13[[#This Row],[STR]], Table13[[#This Row],[STR]] / (Wyvern!$D$4 / 10.8)), 1)</f>
        <v>17</v>
      </c>
      <c r="W27" s="12">
        <f>CEILING('Evolved Wyvern'!$B$4/ IF('Evolved Wyvern'!$D$4&lt; 10.8, Table13[[#This Row],[STR]], Table13[[#This Row],[STR]] / ('Evolved Wyvern'!$D$4 / 10.8)), 1)</f>
        <v>23</v>
      </c>
      <c r="X27" s="12">
        <f>CEILING(Dragon!$B$4/ IF(Dragon!$D$4&lt; 10.8, Table13[[#This Row],[STR]], Table13[[#This Row],[STR]] / (Dragon!$D$4 / 10.8)), 1)</f>
        <v>38</v>
      </c>
      <c r="Z27" s="8">
        <f>CEILING('Blue Slime'!$M$5/ IF('Blue Slime'!$O$5&lt; 10.8, Table13[[#This Row],[STR]], Table13[[#This Row],[STR]] / ('Blue Slime'!$O$5 / 10.8)), 1)</f>
        <v>1</v>
      </c>
      <c r="AA27" s="8">
        <f>CEILING('Green Slime'!$M$5/ IF('Green Slime'!$O$5&lt; 10.8, Table13[[#This Row],[STR]], Table13[[#This Row],[STR]] / ('Green Slime'!$O$5 / 10.8)), 1)</f>
        <v>1</v>
      </c>
      <c r="AB27" s="8">
        <f>CEILING(Wolf!$M$6/ IF(Wolf!$O$6&lt; 10.8, Table13[[#This Row],[STR]], Table13[[#This Row],[STR]] / (Wolf!$O$6 / 10.8)), 1)</f>
        <v>3</v>
      </c>
      <c r="AC27" s="8">
        <f>CEILING('Horned Wolf'!$M$5/ IF('Horned Wolf'!$O$5&lt; 10.8, Table13[[#This Row],[STR]], Table13[[#This Row],[STR]] / ('Horned Wolf'!$O$5 / 10.8)), 1)</f>
        <v>6</v>
      </c>
      <c r="AD27" s="8">
        <f>CEILING(Spider!$M$7/ IF(Spider!$O$7&lt; 10.8, Table13[[#This Row],[STR]], Table13[[#This Row],[STR]] / (Spider!$O$7 / 10.8)), 1)</f>
        <v>6</v>
      </c>
      <c r="AE27" s="8">
        <f>CEILING('Evolved Spider'!$M$8/ IF('Evolved Spider'!$O$8&lt; 10.8, Table13[[#This Row],[STR]], Table13[[#This Row],[STR]] / ('Evolved Spider'!$O$8 / 10.8)), 1)</f>
        <v>10</v>
      </c>
      <c r="AF27" s="8">
        <f>CEILING(Arachne!$M$4/ IF(Arachne!$O$4&lt; 10.8, Table13[[#This Row],[STR]], Table13[[#This Row],[STR]] / (Arachne!$O$4 / 10.8)), 1)</f>
        <v>14</v>
      </c>
      <c r="AG27" s="15">
        <f>CEILING('Earth Elemental'!$M$6/ IF('Earth Elemental'!$O$6&lt; 10.8, Table13[[#This Row],[STR]], Table13[[#This Row],[STR]] / ('Earth Elemental'!$O$6 / 10.8)), 1)</f>
        <v>13</v>
      </c>
      <c r="AH27" s="15">
        <f>CEILING('Wind Elemental'!$M$6/ IF('Wind Elemental'!$O$6&lt; 10.8, Table13[[#This Row],[STR]], Table13[[#This Row],[STR]] / ('Wind Elemental'!$O$6 / 10.8)), 1)</f>
        <v>11</v>
      </c>
      <c r="AI27" s="15">
        <f>CEILING('Water Elemental'!$M$6/ IF('Water Elemental'!$O$6&lt; 10.8, Table13[[#This Row],[STR]], Table13[[#This Row],[STR]] / ('Water Elemental'!$O$6 / 10.8)), 1)</f>
        <v>15</v>
      </c>
      <c r="AJ27" s="15">
        <f>CEILING('Fire Elemental'!$M$4/ IF('Fire Elemental'!$O$4&lt; 10.8, Table13[[#This Row],[STR]], Table13[[#This Row],[STR]] / ('Fire Elemental'!$O$4 / 10.8)), 1)</f>
        <v>22</v>
      </c>
      <c r="AK27" s="12">
        <f>CEILING(Wyvern!$M$4/ IF(Wyvern!$O$4&lt; 10.8, Table13[[#This Row],[STR]], Table13[[#This Row],[STR]] / (Wyvern!$O$4 / 10.8)), 1)</f>
        <v>27</v>
      </c>
      <c r="AL27" s="12">
        <f>CEILING('Evolved Wyvern'!$M$4/ IF('Evolved Wyvern'!$O$4&lt; 10.8, Table13[[#This Row],[STR]], Table13[[#This Row],[STR]] / ('Evolved Wyvern'!$O$4 / 10.8)), 1)</f>
        <v>36</v>
      </c>
      <c r="AM27" s="12">
        <f>CEILING(Dragon!$M$4/ IF(Dragon!$O$4&lt; 10.8, Table13[[#This Row],[STR]], Table13[[#This Row],[STR]] / (Dragon!$O$4 / 10.8)), 1)</f>
        <v>60</v>
      </c>
      <c r="AO27" s="8">
        <f>CEILING('Blue Slime'!$Z$5/ IF('Blue Slime'!$X$5&lt; 10.8, Table13[[#This Row],[STR]], Table13[[#This Row],[STR]] / ('Blue Slime'!$X$5 / 10.8)), 1)</f>
        <v>1</v>
      </c>
      <c r="AP27" s="8">
        <f>CEILING('Green Slime'!$Z$5/ IF('Green Slime'!$X$5&lt; 10.8, Table13[[#This Row],[STR]], Table13[[#This Row],[STR]] / ('Green Slime'!$X$5 / 10.8)), 1)</f>
        <v>2</v>
      </c>
      <c r="AQ27" s="8">
        <f>CEILING(Wolf!$Z$6/ IF(Wolf!$X$6&lt; 10.8, Table13[[#This Row],[STR]], Table13[[#This Row],[STR]] / (Wolf!$X$6 / 10.8)), 1)</f>
        <v>4</v>
      </c>
      <c r="AR27" s="8">
        <f>CEILING('Horned Wolf'!$Z$5/ IF('Horned Wolf'!$X$5&lt; 10.8, Table13[[#This Row],[STR]], Table13[[#This Row],[STR]] / ('Horned Wolf'!$X$5 / 10.8)), 1)</f>
        <v>11</v>
      </c>
      <c r="AS27" s="8">
        <f>CEILING(Spider!$Z$7/ IF(Spider!$X$7&lt; 10.8, Table13[[#This Row],[STR]], Table13[[#This Row],[STR]] / (Spider!$X$7 / 10.8)), 1)</f>
        <v>10</v>
      </c>
      <c r="AT27" s="8">
        <f>CEILING('Evolved Spider'!$Z$8/ IF('Evolved Spider'!$X$8&lt; 10.8, Table13[[#This Row],[STR]], Table13[[#This Row],[STR]] / ('Evolved Spider'!$X$8 / 10.8)), 1)</f>
        <v>17</v>
      </c>
      <c r="AU27" s="8">
        <f>CEILING(Arachne!$Z$4/ IF(Arachne!$X$4&lt; 10.8, Table13[[#This Row],[STR]], Table13[[#This Row],[STR]] / (Arachne!$X$4 / 10.8)), 1)</f>
        <v>23</v>
      </c>
      <c r="AV27" s="15">
        <f>CEILING('Earth Elemental'!$Z$6/ IF('Earth Elemental'!$X$6&lt; 10.8, Table13[[#This Row],[STR]], Table13[[#This Row],[STR]] / ('Earth Elemental'!$X$6 / 10.8)), 1)</f>
        <v>19</v>
      </c>
      <c r="AW27" s="15">
        <f>CEILING('Wind Elemental'!$Z$6/ IF('Wind Elemental'!$X$6&lt; 10.8, Table13[[#This Row],[STR]], Table13[[#This Row],[STR]] / ('Wind Elemental'!$X$6 / 10.8)), 1)</f>
        <v>15</v>
      </c>
      <c r="AX27" s="15">
        <f>CEILING('Water Elemental'!$Z$6/ IF('Water Elemental'!$X$6&lt; 10.8, Table13[[#This Row],[STR]], Table13[[#This Row],[STR]] / ('Water Elemental'!$X$6 / 10.8)), 1)</f>
        <v>20</v>
      </c>
      <c r="AY27" s="15">
        <f>CEILING('Fire Elemental'!$Z$4/ IF('Fire Elemental'!$X$4&lt; 10.8, Table13[[#This Row],[STR]], Table13[[#This Row],[STR]] / ('Fire Elemental'!$X$4 / 10.8)), 1)</f>
        <v>33</v>
      </c>
      <c r="AZ27" s="12">
        <f>CEILING(Wyvern!$Z$4/ IF(Wyvern!$X$4&lt; 10.8, Table13[[#This Row],[STR]], Table13[[#This Row],[STR]] / (Wyvern!$X$4 / 10.8)), 1)</f>
        <v>40</v>
      </c>
      <c r="BA27" s="12">
        <f>CEILING('Evolved Wyvern'!$Z$4/ IF('Evolved Wyvern'!$X$4&lt; 10.8, Table13[[#This Row],[STR]], Table13[[#This Row],[STR]] / ('Evolved Wyvern'!$X$4 / 10.8)), 1)</f>
        <v>51</v>
      </c>
      <c r="BB27" s="12">
        <f>CEILING(Dragon!$Z$4/ IF(Dragon!$X$4&lt; 10.8, Table13[[#This Row],[STR]], Table13[[#This Row],[STR]] / (Dragon!$X$4 / 10.8)), 1)</f>
        <v>85</v>
      </c>
    </row>
    <row r="28" spans="1:54" x14ac:dyDescent="0.3">
      <c r="A28" s="1">
        <v>26</v>
      </c>
      <c r="B28" s="1">
        <f>$B$3 + ((Table13[[#This Row],[Level]] / 10) + $B$3 / 8) * Table13[[#This Row],[Level]] + Equipment!$Z$26</f>
        <v>172.1</v>
      </c>
      <c r="C28" s="1">
        <f>2 * Table13[[#This Row],[INT]]</f>
        <v>101</v>
      </c>
      <c r="D28" s="1">
        <f>$D$3 + ($D$3 / 4) * Table13[[#This Row],[Level]] + Equipment!$AA$26</f>
        <v>84</v>
      </c>
      <c r="E28" s="1">
        <f>$E$3 + ($E$3 / 4) * Table13[[#This Row],[Level]] + Equipment!$AB$26</f>
        <v>63</v>
      </c>
      <c r="F28" s="1">
        <f>$F$3 + ($F$3 / 4) * Table13[[#This Row],[Level]] + Equipment!$AC$26</f>
        <v>73.5</v>
      </c>
      <c r="G28" s="1">
        <f>$G$3 + ($G$3 / 4) * Table13[[#This Row],[Level]] + Equipment!$AD$26</f>
        <v>50.5</v>
      </c>
      <c r="H28" s="1">
        <f>$H$3 + ($H$3 / 4) * Table13[[#This Row],[Level]] + Equipment!$AE$26</f>
        <v>63</v>
      </c>
      <c r="I28" s="1">
        <f xml:space="preserve"> (4 * (Table13[[#This Row],[Level]] ^ 3))/7 + $I$3</f>
        <v>10143.428571428571</v>
      </c>
      <c r="K28" s="8">
        <f>CEILING('Blue Slime'!$B$5/ IF('Blue Slime'!$D$5&lt; 10.8, Table13[[#This Row],[STR]], Table13[[#This Row],[STR]] / ('Blue Slime'!$D$5 / 10.8)), 1)</f>
        <v>1</v>
      </c>
      <c r="L28" s="8">
        <f>CEILING('Green Slime'!$B$5/ IF('Green Slime'!$D$5&lt; 10.8, Table13[[#This Row],[STR]], Table13[[#This Row],[STR]] / ('Green Slime'!$D$5 / 10.8)), 1)</f>
        <v>1</v>
      </c>
      <c r="M28" s="8">
        <f>CEILING(Wolf!$B$6/ IF(Wolf!$D$6&lt; 10.8, Table13[[#This Row],[STR]], Table13[[#This Row],[STR]] / (Wolf!$D$6 / 10.8)), 1)</f>
        <v>1</v>
      </c>
      <c r="N28" s="8">
        <f>CEILING('Horned Wolf'!$B$5/ IF('Horned Wolf'!$D$5&lt; 10.8, Table13[[#This Row],[STR]], Table13[[#This Row],[STR]] / ('Horned Wolf'!$D$5 / 10.8)), 1)</f>
        <v>3</v>
      </c>
      <c r="O28" s="8">
        <f>CEILING(Spider!$B$7/ IF(Spider!$D$7&lt; 10.8, Table13[[#This Row],[STR]], Table13[[#This Row],[STR]] / (Spider!$D$7 / 10.8)), 1)</f>
        <v>3</v>
      </c>
      <c r="P28" s="8">
        <f>CEILING('Evolved Spider'!$B$8/ IF('Evolved Spider'!$D$8&lt; 10.8, Table13[[#This Row],[STR]], Table13[[#This Row],[STR]] / ('Evolved Spider'!$D$8 / 10.8)), 1)</f>
        <v>6</v>
      </c>
      <c r="Q28" s="8">
        <f>CEILING(Arachne!$B$4/ IF(Arachne!$D$4&lt; 10.8, Table13[[#This Row],[STR]], Table13[[#This Row],[STR]] / (Arachne!$D$4 / 10.8)), 1)</f>
        <v>7</v>
      </c>
      <c r="R28" s="15">
        <f>CEILING('Earth Elemental'!$B$6/ IF('Earth Elemental'!$D$6&lt; 10.8, Table13[[#This Row],[STR]], Table13[[#This Row],[STR]] / ('Earth Elemental'!$D$6 / 10.8)), 1)</f>
        <v>7</v>
      </c>
      <c r="S28" s="15">
        <f>CEILING('Wind Elemental'!$B$6/ IF('Wind Elemental'!$D$6&lt; 10.8, Table13[[#This Row],[STR]], Table13[[#This Row],[STR]] / ('Wind Elemental'!$D$6 / 10.8)), 1)</f>
        <v>7</v>
      </c>
      <c r="T28" s="15">
        <f>CEILING('Water Elemental'!$B$6/ IF('Water Elemental'!$D$6&lt; 10.8, Table13[[#This Row],[STR]], Table13[[#This Row],[STR]] / ('Water Elemental'!$D$6 / 10.8)), 1)</f>
        <v>10</v>
      </c>
      <c r="U28" s="15">
        <f>CEILING('Fire Elemental'!$B$4/ IF('Fire Elemental'!$D$4&lt; 10.8, Table13[[#This Row],[STR]], Table13[[#This Row],[STR]] / ('Fire Elemental'!$D$4 / 10.8)), 1)</f>
        <v>12</v>
      </c>
      <c r="V28" s="12">
        <f>CEILING(Wyvern!$B$4/ IF(Wyvern!$D$4&lt; 10.8, Table13[[#This Row],[STR]], Table13[[#This Row],[STR]] / (Wyvern!$D$4 / 10.8)), 1)</f>
        <v>16</v>
      </c>
      <c r="W28" s="12">
        <f>CEILING('Evolved Wyvern'!$B$4/ IF('Evolved Wyvern'!$D$4&lt; 10.8, Table13[[#This Row],[STR]], Table13[[#This Row],[STR]] / ('Evolved Wyvern'!$D$4 / 10.8)), 1)</f>
        <v>23</v>
      </c>
      <c r="X28" s="12">
        <f>CEILING(Dragon!$B$4/ IF(Dragon!$D$4&lt; 10.8, Table13[[#This Row],[STR]], Table13[[#This Row],[STR]] / (Dragon!$D$4 / 10.8)), 1)</f>
        <v>37</v>
      </c>
      <c r="Z28" s="8">
        <f>CEILING('Blue Slime'!$M$5/ IF('Blue Slime'!$O$5&lt; 10.8, Table13[[#This Row],[STR]], Table13[[#This Row],[STR]] / ('Blue Slime'!$O$5 / 10.8)), 1)</f>
        <v>1</v>
      </c>
      <c r="AA28" s="8">
        <f>CEILING('Green Slime'!$M$5/ IF('Green Slime'!$O$5&lt; 10.8, Table13[[#This Row],[STR]], Table13[[#This Row],[STR]] / ('Green Slime'!$O$5 / 10.8)), 1)</f>
        <v>1</v>
      </c>
      <c r="AB28" s="8">
        <f>CEILING(Wolf!$M$6/ IF(Wolf!$O$6&lt; 10.8, Table13[[#This Row],[STR]], Table13[[#This Row],[STR]] / (Wolf!$O$6 / 10.8)), 1)</f>
        <v>3</v>
      </c>
      <c r="AC28" s="8">
        <f>CEILING('Horned Wolf'!$M$5/ IF('Horned Wolf'!$O$5&lt; 10.8, Table13[[#This Row],[STR]], Table13[[#This Row],[STR]] / ('Horned Wolf'!$O$5 / 10.8)), 1)</f>
        <v>6</v>
      </c>
      <c r="AD28" s="8">
        <f>CEILING(Spider!$M$7/ IF(Spider!$O$7&lt; 10.8, Table13[[#This Row],[STR]], Table13[[#This Row],[STR]] / (Spider!$O$7 / 10.8)), 1)</f>
        <v>6</v>
      </c>
      <c r="AE28" s="8">
        <f>CEILING('Evolved Spider'!$M$8/ IF('Evolved Spider'!$O$8&lt; 10.8, Table13[[#This Row],[STR]], Table13[[#This Row],[STR]] / ('Evolved Spider'!$O$8 / 10.8)), 1)</f>
        <v>10</v>
      </c>
      <c r="AF28" s="8">
        <f>CEILING(Arachne!$M$4/ IF(Arachne!$O$4&lt; 10.8, Table13[[#This Row],[STR]], Table13[[#This Row],[STR]] / (Arachne!$O$4 / 10.8)), 1)</f>
        <v>14</v>
      </c>
      <c r="AG28" s="15">
        <f>CEILING('Earth Elemental'!$M$6/ IF('Earth Elemental'!$O$6&lt; 10.8, Table13[[#This Row],[STR]], Table13[[#This Row],[STR]] / ('Earth Elemental'!$O$6 / 10.8)), 1)</f>
        <v>12</v>
      </c>
      <c r="AH28" s="15">
        <f>CEILING('Wind Elemental'!$M$6/ IF('Wind Elemental'!$O$6&lt; 10.8, Table13[[#This Row],[STR]], Table13[[#This Row],[STR]] / ('Wind Elemental'!$O$6 / 10.8)), 1)</f>
        <v>10</v>
      </c>
      <c r="AI28" s="15">
        <f>CEILING('Water Elemental'!$M$6/ IF('Water Elemental'!$O$6&lt; 10.8, Table13[[#This Row],[STR]], Table13[[#This Row],[STR]] / ('Water Elemental'!$O$6 / 10.8)), 1)</f>
        <v>15</v>
      </c>
      <c r="AJ28" s="15">
        <f>CEILING('Fire Elemental'!$M$4/ IF('Fire Elemental'!$O$4&lt; 10.8, Table13[[#This Row],[STR]], Table13[[#This Row],[STR]] / ('Fire Elemental'!$O$4 / 10.8)), 1)</f>
        <v>21</v>
      </c>
      <c r="AK28" s="12">
        <f>CEILING(Wyvern!$M$4/ IF(Wyvern!$O$4&lt; 10.8, Table13[[#This Row],[STR]], Table13[[#This Row],[STR]] / (Wyvern!$O$4 / 10.8)), 1)</f>
        <v>27</v>
      </c>
      <c r="AL28" s="12">
        <f>CEILING('Evolved Wyvern'!$M$4/ IF('Evolved Wyvern'!$O$4&lt; 10.8, Table13[[#This Row],[STR]], Table13[[#This Row],[STR]] / ('Evolved Wyvern'!$O$4 / 10.8)), 1)</f>
        <v>35</v>
      </c>
      <c r="AM28" s="12">
        <f>CEILING(Dragon!$M$4/ IF(Dragon!$O$4&lt; 10.8, Table13[[#This Row],[STR]], Table13[[#This Row],[STR]] / (Dragon!$O$4 / 10.8)), 1)</f>
        <v>59</v>
      </c>
      <c r="AO28" s="8">
        <f>CEILING('Blue Slime'!$Z$5/ IF('Blue Slime'!$X$5&lt; 10.8, Table13[[#This Row],[STR]], Table13[[#This Row],[STR]] / ('Blue Slime'!$X$5 / 10.8)), 1)</f>
        <v>1</v>
      </c>
      <c r="AP28" s="8">
        <f>CEILING('Green Slime'!$Z$5/ IF('Green Slime'!$X$5&lt; 10.8, Table13[[#This Row],[STR]], Table13[[#This Row],[STR]] / ('Green Slime'!$X$5 / 10.8)), 1)</f>
        <v>2</v>
      </c>
      <c r="AQ28" s="8">
        <f>CEILING(Wolf!$Z$6/ IF(Wolf!$X$6&lt; 10.8, Table13[[#This Row],[STR]], Table13[[#This Row],[STR]] / (Wolf!$X$6 / 10.8)), 1)</f>
        <v>4</v>
      </c>
      <c r="AR28" s="8">
        <f>CEILING('Horned Wolf'!$Z$5/ IF('Horned Wolf'!$X$5&lt; 10.8, Table13[[#This Row],[STR]], Table13[[#This Row],[STR]] / ('Horned Wolf'!$X$5 / 10.8)), 1)</f>
        <v>11</v>
      </c>
      <c r="AS28" s="8">
        <f>CEILING(Spider!$Z$7/ IF(Spider!$X$7&lt; 10.8, Table13[[#This Row],[STR]], Table13[[#This Row],[STR]] / (Spider!$X$7 / 10.8)), 1)</f>
        <v>9</v>
      </c>
      <c r="AT28" s="8">
        <f>CEILING('Evolved Spider'!$Z$8/ IF('Evolved Spider'!$X$8&lt; 10.8, Table13[[#This Row],[STR]], Table13[[#This Row],[STR]] / ('Evolved Spider'!$X$8 / 10.8)), 1)</f>
        <v>16</v>
      </c>
      <c r="AU28" s="8">
        <f>CEILING(Arachne!$Z$4/ IF(Arachne!$X$4&lt; 10.8, Table13[[#This Row],[STR]], Table13[[#This Row],[STR]] / (Arachne!$X$4 / 10.8)), 1)</f>
        <v>22</v>
      </c>
      <c r="AV28" s="15">
        <f>CEILING('Earth Elemental'!$Z$6/ IF('Earth Elemental'!$X$6&lt; 10.8, Table13[[#This Row],[STR]], Table13[[#This Row],[STR]] / ('Earth Elemental'!$X$6 / 10.8)), 1)</f>
        <v>19</v>
      </c>
      <c r="AW28" s="15">
        <f>CEILING('Wind Elemental'!$Z$6/ IF('Wind Elemental'!$X$6&lt; 10.8, Table13[[#This Row],[STR]], Table13[[#This Row],[STR]] / ('Wind Elemental'!$X$6 / 10.8)), 1)</f>
        <v>15</v>
      </c>
      <c r="AX28" s="15">
        <f>CEILING('Water Elemental'!$Z$6/ IF('Water Elemental'!$X$6&lt; 10.8, Table13[[#This Row],[STR]], Table13[[#This Row],[STR]] / ('Water Elemental'!$X$6 / 10.8)), 1)</f>
        <v>20</v>
      </c>
      <c r="AY28" s="15">
        <f>CEILING('Fire Elemental'!$Z$4/ IF('Fire Elemental'!$X$4&lt; 10.8, Table13[[#This Row],[STR]], Table13[[#This Row],[STR]] / ('Fire Elemental'!$X$4 / 10.8)), 1)</f>
        <v>32</v>
      </c>
      <c r="AZ28" s="12">
        <f>CEILING(Wyvern!$Z$4/ IF(Wyvern!$X$4&lt; 10.8, Table13[[#This Row],[STR]], Table13[[#This Row],[STR]] / (Wyvern!$X$4 / 10.8)), 1)</f>
        <v>39</v>
      </c>
      <c r="BA28" s="12">
        <f>CEILING('Evolved Wyvern'!$Z$4/ IF('Evolved Wyvern'!$X$4&lt; 10.8, Table13[[#This Row],[STR]], Table13[[#This Row],[STR]] / ('Evolved Wyvern'!$X$4 / 10.8)), 1)</f>
        <v>50</v>
      </c>
      <c r="BB28" s="12">
        <f>CEILING(Dragon!$Z$4/ IF(Dragon!$X$4&lt; 10.8, Table13[[#This Row],[STR]], Table13[[#This Row],[STR]] / (Dragon!$X$4 / 10.8)), 1)</f>
        <v>83</v>
      </c>
    </row>
    <row r="29" spans="1:54" x14ac:dyDescent="0.3">
      <c r="A29" s="1">
        <v>27</v>
      </c>
      <c r="B29" s="1">
        <f>$B$3 + ((Table13[[#This Row],[Level]] / 10) + $B$3 / 8) * Table13[[#This Row],[Level]] + Equipment!$Z$26</f>
        <v>179.15</v>
      </c>
      <c r="C29" s="1">
        <f>2 * Table13[[#This Row],[INT]]</f>
        <v>103.5</v>
      </c>
      <c r="D29" s="1">
        <f>$D$3 + ($D$3 / 4) * Table13[[#This Row],[Level]] + Equipment!$AA$26</f>
        <v>86</v>
      </c>
      <c r="E29" s="1">
        <f>$E$3 + ($E$3 / 4) * Table13[[#This Row],[Level]] + Equipment!$AB$26</f>
        <v>64.5</v>
      </c>
      <c r="F29" s="1">
        <f>$F$3 + ($F$3 / 4) * Table13[[#This Row],[Level]] + Equipment!$AC$26</f>
        <v>75.25</v>
      </c>
      <c r="G29" s="1">
        <f>$G$3 + ($G$3 / 4) * Table13[[#This Row],[Level]] + Equipment!$AD$26</f>
        <v>51.75</v>
      </c>
      <c r="H29" s="1">
        <f>$H$3 + ($H$3 / 4) * Table13[[#This Row],[Level]] + Equipment!$AE$26</f>
        <v>64.5</v>
      </c>
      <c r="I29" s="1">
        <f xml:space="preserve"> (4 * (Table13[[#This Row],[Level]] ^ 3))/7 + $I$3</f>
        <v>11347.428571428571</v>
      </c>
      <c r="K29" s="8">
        <f>CEILING('Blue Slime'!$B$5/ IF('Blue Slime'!$D$5&lt; 10.8, Table13[[#This Row],[STR]], Table13[[#This Row],[STR]] / ('Blue Slime'!$D$5 / 10.8)), 1)</f>
        <v>1</v>
      </c>
      <c r="L29" s="8">
        <f>CEILING('Green Slime'!$B$5/ IF('Green Slime'!$D$5&lt; 10.8, Table13[[#This Row],[STR]], Table13[[#This Row],[STR]] / ('Green Slime'!$D$5 / 10.8)), 1)</f>
        <v>1</v>
      </c>
      <c r="M29" s="8">
        <f>CEILING(Wolf!$B$6/ IF(Wolf!$D$6&lt; 10.8, Table13[[#This Row],[STR]], Table13[[#This Row],[STR]] / (Wolf!$D$6 / 10.8)), 1)</f>
        <v>1</v>
      </c>
      <c r="N29" s="8">
        <f>CEILING('Horned Wolf'!$B$5/ IF('Horned Wolf'!$D$5&lt; 10.8, Table13[[#This Row],[STR]], Table13[[#This Row],[STR]] / ('Horned Wolf'!$D$5 / 10.8)), 1)</f>
        <v>3</v>
      </c>
      <c r="O29" s="8">
        <f>CEILING(Spider!$B$7/ IF(Spider!$D$7&lt; 10.8, Table13[[#This Row],[STR]], Table13[[#This Row],[STR]] / (Spider!$D$7 / 10.8)), 1)</f>
        <v>3</v>
      </c>
      <c r="P29" s="8">
        <f>CEILING('Evolved Spider'!$B$8/ IF('Evolved Spider'!$D$8&lt; 10.8, Table13[[#This Row],[STR]], Table13[[#This Row],[STR]] / ('Evolved Spider'!$D$8 / 10.8)), 1)</f>
        <v>5</v>
      </c>
      <c r="Q29" s="8">
        <f>CEILING(Arachne!$B$4/ IF(Arachne!$D$4&lt; 10.8, Table13[[#This Row],[STR]], Table13[[#This Row],[STR]] / (Arachne!$D$4 / 10.8)), 1)</f>
        <v>7</v>
      </c>
      <c r="R29" s="15">
        <f>CEILING('Earth Elemental'!$B$6/ IF('Earth Elemental'!$D$6&lt; 10.8, Table13[[#This Row],[STR]], Table13[[#This Row],[STR]] / ('Earth Elemental'!$D$6 / 10.8)), 1)</f>
        <v>7</v>
      </c>
      <c r="S29" s="15">
        <f>CEILING('Wind Elemental'!$B$6/ IF('Wind Elemental'!$D$6&lt; 10.8, Table13[[#This Row],[STR]], Table13[[#This Row],[STR]] / ('Wind Elemental'!$D$6 / 10.8)), 1)</f>
        <v>6</v>
      </c>
      <c r="T29" s="15">
        <f>CEILING('Water Elemental'!$B$6/ IF('Water Elemental'!$D$6&lt; 10.8, Table13[[#This Row],[STR]], Table13[[#This Row],[STR]] / ('Water Elemental'!$D$6 / 10.8)), 1)</f>
        <v>10</v>
      </c>
      <c r="U29" s="15">
        <f>CEILING('Fire Elemental'!$B$4/ IF('Fire Elemental'!$D$4&lt; 10.8, Table13[[#This Row],[STR]], Table13[[#This Row],[STR]] / ('Fire Elemental'!$D$4 / 10.8)), 1)</f>
        <v>12</v>
      </c>
      <c r="V29" s="12">
        <f>CEILING(Wyvern!$B$4/ IF(Wyvern!$D$4&lt; 10.8, Table13[[#This Row],[STR]], Table13[[#This Row],[STR]] / (Wyvern!$D$4 / 10.8)), 1)</f>
        <v>16</v>
      </c>
      <c r="W29" s="12">
        <f>CEILING('Evolved Wyvern'!$B$4/ IF('Evolved Wyvern'!$D$4&lt; 10.8, Table13[[#This Row],[STR]], Table13[[#This Row],[STR]] / ('Evolved Wyvern'!$D$4 / 10.8)), 1)</f>
        <v>22</v>
      </c>
      <c r="X29" s="12">
        <f>CEILING(Dragon!$B$4/ IF(Dragon!$D$4&lt; 10.8, Table13[[#This Row],[STR]], Table13[[#This Row],[STR]] / (Dragon!$D$4 / 10.8)), 1)</f>
        <v>36</v>
      </c>
      <c r="Z29" s="8">
        <f>CEILING('Blue Slime'!$M$5/ IF('Blue Slime'!$O$5&lt; 10.8, Table13[[#This Row],[STR]], Table13[[#This Row],[STR]] / ('Blue Slime'!$O$5 / 10.8)), 1)</f>
        <v>1</v>
      </c>
      <c r="AA29" s="8">
        <f>CEILING('Green Slime'!$M$5/ IF('Green Slime'!$O$5&lt; 10.8, Table13[[#This Row],[STR]], Table13[[#This Row],[STR]] / ('Green Slime'!$O$5 / 10.8)), 1)</f>
        <v>1</v>
      </c>
      <c r="AB29" s="8">
        <f>CEILING(Wolf!$M$6/ IF(Wolf!$O$6&lt; 10.8, Table13[[#This Row],[STR]], Table13[[#This Row],[STR]] / (Wolf!$O$6 / 10.8)), 1)</f>
        <v>3</v>
      </c>
      <c r="AC29" s="8">
        <f>CEILING('Horned Wolf'!$M$5/ IF('Horned Wolf'!$O$5&lt; 10.8, Table13[[#This Row],[STR]], Table13[[#This Row],[STR]] / ('Horned Wolf'!$O$5 / 10.8)), 1)</f>
        <v>6</v>
      </c>
      <c r="AD29" s="8">
        <f>CEILING(Spider!$M$7/ IF(Spider!$O$7&lt; 10.8, Table13[[#This Row],[STR]], Table13[[#This Row],[STR]] / (Spider!$O$7 / 10.8)), 1)</f>
        <v>6</v>
      </c>
      <c r="AE29" s="8">
        <f>CEILING('Evolved Spider'!$M$8/ IF('Evolved Spider'!$O$8&lt; 10.8, Table13[[#This Row],[STR]], Table13[[#This Row],[STR]] / ('Evolved Spider'!$O$8 / 10.8)), 1)</f>
        <v>10</v>
      </c>
      <c r="AF29" s="8">
        <f>CEILING(Arachne!$M$4/ IF(Arachne!$O$4&lt; 10.8, Table13[[#This Row],[STR]], Table13[[#This Row],[STR]] / (Arachne!$O$4 / 10.8)), 1)</f>
        <v>13</v>
      </c>
      <c r="AG29" s="15">
        <f>CEILING('Earth Elemental'!$M$6/ IF('Earth Elemental'!$O$6&lt; 10.8, Table13[[#This Row],[STR]], Table13[[#This Row],[STR]] / ('Earth Elemental'!$O$6 / 10.8)), 1)</f>
        <v>12</v>
      </c>
      <c r="AH29" s="15">
        <f>CEILING('Wind Elemental'!$M$6/ IF('Wind Elemental'!$O$6&lt; 10.8, Table13[[#This Row],[STR]], Table13[[#This Row],[STR]] / ('Wind Elemental'!$O$6 / 10.8)), 1)</f>
        <v>10</v>
      </c>
      <c r="AI29" s="15">
        <f>CEILING('Water Elemental'!$M$6/ IF('Water Elemental'!$O$6&lt; 10.8, Table13[[#This Row],[STR]], Table13[[#This Row],[STR]] / ('Water Elemental'!$O$6 / 10.8)), 1)</f>
        <v>14</v>
      </c>
      <c r="AJ29" s="15">
        <f>CEILING('Fire Elemental'!$M$4/ IF('Fire Elemental'!$O$4&lt; 10.8, Table13[[#This Row],[STR]], Table13[[#This Row],[STR]] / ('Fire Elemental'!$O$4 / 10.8)), 1)</f>
        <v>21</v>
      </c>
      <c r="AK29" s="12">
        <f>CEILING(Wyvern!$M$4/ IF(Wyvern!$O$4&lt; 10.8, Table13[[#This Row],[STR]], Table13[[#This Row],[STR]] / (Wyvern!$O$4 / 10.8)), 1)</f>
        <v>26</v>
      </c>
      <c r="AL29" s="12">
        <f>CEILING('Evolved Wyvern'!$M$4/ IF('Evolved Wyvern'!$O$4&lt; 10.8, Table13[[#This Row],[STR]], Table13[[#This Row],[STR]] / ('Evolved Wyvern'!$O$4 / 10.8)), 1)</f>
        <v>35</v>
      </c>
      <c r="AM29" s="12">
        <f>CEILING(Dragon!$M$4/ IF(Dragon!$O$4&lt; 10.8, Table13[[#This Row],[STR]], Table13[[#This Row],[STR]] / (Dragon!$O$4 / 10.8)), 1)</f>
        <v>58</v>
      </c>
      <c r="AO29" s="8">
        <f>CEILING('Blue Slime'!$Z$5/ IF('Blue Slime'!$X$5&lt; 10.8, Table13[[#This Row],[STR]], Table13[[#This Row],[STR]] / ('Blue Slime'!$X$5 / 10.8)), 1)</f>
        <v>1</v>
      </c>
      <c r="AP29" s="8">
        <f>CEILING('Green Slime'!$Z$5/ IF('Green Slime'!$X$5&lt; 10.8, Table13[[#This Row],[STR]], Table13[[#This Row],[STR]] / ('Green Slime'!$X$5 / 10.8)), 1)</f>
        <v>2</v>
      </c>
      <c r="AQ29" s="8">
        <f>CEILING(Wolf!$Z$6/ IF(Wolf!$X$6&lt; 10.8, Table13[[#This Row],[STR]], Table13[[#This Row],[STR]] / (Wolf!$X$6 / 10.8)), 1)</f>
        <v>4</v>
      </c>
      <c r="AR29" s="8">
        <f>CEILING('Horned Wolf'!$Z$5/ IF('Horned Wolf'!$X$5&lt; 10.8, Table13[[#This Row],[STR]], Table13[[#This Row],[STR]] / ('Horned Wolf'!$X$5 / 10.8)), 1)</f>
        <v>10</v>
      </c>
      <c r="AS29" s="8">
        <f>CEILING(Spider!$Z$7/ IF(Spider!$X$7&lt; 10.8, Table13[[#This Row],[STR]], Table13[[#This Row],[STR]] / (Spider!$X$7 / 10.8)), 1)</f>
        <v>9</v>
      </c>
      <c r="AT29" s="8">
        <f>CEILING('Evolved Spider'!$Z$8/ IF('Evolved Spider'!$X$8&lt; 10.8, Table13[[#This Row],[STR]], Table13[[#This Row],[STR]] / ('Evolved Spider'!$X$8 / 10.8)), 1)</f>
        <v>16</v>
      </c>
      <c r="AU29" s="8">
        <f>CEILING(Arachne!$Z$4/ IF(Arachne!$X$4&lt; 10.8, Table13[[#This Row],[STR]], Table13[[#This Row],[STR]] / (Arachne!$X$4 / 10.8)), 1)</f>
        <v>22</v>
      </c>
      <c r="AV29" s="15">
        <f>CEILING('Earth Elemental'!$Z$6/ IF('Earth Elemental'!$X$6&lt; 10.8, Table13[[#This Row],[STR]], Table13[[#This Row],[STR]] / ('Earth Elemental'!$X$6 / 10.8)), 1)</f>
        <v>18</v>
      </c>
      <c r="AW29" s="15">
        <f>CEILING('Wind Elemental'!$Z$6/ IF('Wind Elemental'!$X$6&lt; 10.8, Table13[[#This Row],[STR]], Table13[[#This Row],[STR]] / ('Wind Elemental'!$X$6 / 10.8)), 1)</f>
        <v>14</v>
      </c>
      <c r="AX29" s="15">
        <f>CEILING('Water Elemental'!$Z$6/ IF('Water Elemental'!$X$6&lt; 10.8, Table13[[#This Row],[STR]], Table13[[#This Row],[STR]] / ('Water Elemental'!$X$6 / 10.8)), 1)</f>
        <v>19</v>
      </c>
      <c r="AY29" s="15">
        <f>CEILING('Fire Elemental'!$Z$4/ IF('Fire Elemental'!$X$4&lt; 10.8, Table13[[#This Row],[STR]], Table13[[#This Row],[STR]] / ('Fire Elemental'!$X$4 / 10.8)), 1)</f>
        <v>31</v>
      </c>
      <c r="AZ29" s="12">
        <f>CEILING(Wyvern!$Z$4/ IF(Wyvern!$X$4&lt; 10.8, Table13[[#This Row],[STR]], Table13[[#This Row],[STR]] / (Wyvern!$X$4 / 10.8)), 1)</f>
        <v>38</v>
      </c>
      <c r="BA29" s="12">
        <f>CEILING('Evolved Wyvern'!$Z$4/ IF('Evolved Wyvern'!$X$4&lt; 10.8, Table13[[#This Row],[STR]], Table13[[#This Row],[STR]] / ('Evolved Wyvern'!$X$4 / 10.8)), 1)</f>
        <v>49</v>
      </c>
      <c r="BB29" s="12">
        <f>CEILING(Dragon!$Z$4/ IF(Dragon!$X$4&lt; 10.8, Table13[[#This Row],[STR]], Table13[[#This Row],[STR]] / (Dragon!$X$4 / 10.8)), 1)</f>
        <v>82</v>
      </c>
    </row>
    <row r="30" spans="1:54" x14ac:dyDescent="0.3">
      <c r="A30" s="1">
        <v>28</v>
      </c>
      <c r="B30" s="1">
        <f>$B$3 + ((Table13[[#This Row],[Level]] / 10) + $B$3 / 8) * Table13[[#This Row],[Level]] + Equipment!$Z$26</f>
        <v>186.39999999999998</v>
      </c>
      <c r="C30" s="1">
        <f>2 * Table13[[#This Row],[INT]]</f>
        <v>106</v>
      </c>
      <c r="D30" s="1">
        <f>$D$3 + ($D$3 / 4) * Table13[[#This Row],[Level]] + Equipment!$AA$26</f>
        <v>88</v>
      </c>
      <c r="E30" s="1">
        <f>$E$3 + ($E$3 / 4) * Table13[[#This Row],[Level]] + Equipment!$AB$26</f>
        <v>66</v>
      </c>
      <c r="F30" s="1">
        <f>$F$3 + ($F$3 / 4) * Table13[[#This Row],[Level]] + Equipment!$AC$26</f>
        <v>77</v>
      </c>
      <c r="G30" s="1">
        <f>$G$3 + ($G$3 / 4) * Table13[[#This Row],[Level]] + Equipment!$AD$26</f>
        <v>53</v>
      </c>
      <c r="H30" s="1">
        <f>$H$3 + ($H$3 / 4) * Table13[[#This Row],[Level]] + Equipment!$AE$26</f>
        <v>66</v>
      </c>
      <c r="I30" s="1">
        <f xml:space="preserve"> (4 * (Table13[[#This Row],[Level]] ^ 3))/7 + $I$3</f>
        <v>12644</v>
      </c>
      <c r="K30" s="8">
        <f>CEILING('Blue Slime'!$B$5/ IF('Blue Slime'!$D$5&lt; 10.8, Table13[[#This Row],[STR]], Table13[[#This Row],[STR]] / ('Blue Slime'!$D$5 / 10.8)), 1)</f>
        <v>1</v>
      </c>
      <c r="L30" s="8">
        <f>CEILING('Green Slime'!$B$5/ IF('Green Slime'!$D$5&lt; 10.8, Table13[[#This Row],[STR]], Table13[[#This Row],[STR]] / ('Green Slime'!$D$5 / 10.8)), 1)</f>
        <v>1</v>
      </c>
      <c r="M30" s="8">
        <f>CEILING(Wolf!$B$6/ IF(Wolf!$D$6&lt; 10.8, Table13[[#This Row],[STR]], Table13[[#This Row],[STR]] / (Wolf!$D$6 / 10.8)), 1)</f>
        <v>1</v>
      </c>
      <c r="N30" s="8">
        <f>CEILING('Horned Wolf'!$B$5/ IF('Horned Wolf'!$D$5&lt; 10.8, Table13[[#This Row],[STR]], Table13[[#This Row],[STR]] / ('Horned Wolf'!$D$5 / 10.8)), 1)</f>
        <v>3</v>
      </c>
      <c r="O30" s="8">
        <f>CEILING(Spider!$B$7/ IF(Spider!$D$7&lt; 10.8, Table13[[#This Row],[STR]], Table13[[#This Row],[STR]] / (Spider!$D$7 / 10.8)), 1)</f>
        <v>3</v>
      </c>
      <c r="P30" s="8">
        <f>CEILING('Evolved Spider'!$B$8/ IF('Evolved Spider'!$D$8&lt; 10.8, Table13[[#This Row],[STR]], Table13[[#This Row],[STR]] / ('Evolved Spider'!$D$8 / 10.8)), 1)</f>
        <v>5</v>
      </c>
      <c r="Q30" s="8">
        <f>CEILING(Arachne!$B$4/ IF(Arachne!$D$4&lt; 10.8, Table13[[#This Row],[STR]], Table13[[#This Row],[STR]] / (Arachne!$D$4 / 10.8)), 1)</f>
        <v>7</v>
      </c>
      <c r="R30" s="15">
        <f>CEILING('Earth Elemental'!$B$6/ IF('Earth Elemental'!$D$6&lt; 10.8, Table13[[#This Row],[STR]], Table13[[#This Row],[STR]] / ('Earth Elemental'!$D$6 / 10.8)), 1)</f>
        <v>7</v>
      </c>
      <c r="S30" s="15">
        <f>CEILING('Wind Elemental'!$B$6/ IF('Wind Elemental'!$D$6&lt; 10.8, Table13[[#This Row],[STR]], Table13[[#This Row],[STR]] / ('Wind Elemental'!$D$6 / 10.8)), 1)</f>
        <v>6</v>
      </c>
      <c r="T30" s="15">
        <f>CEILING('Water Elemental'!$B$6/ IF('Water Elemental'!$D$6&lt; 10.8, Table13[[#This Row],[STR]], Table13[[#This Row],[STR]] / ('Water Elemental'!$D$6 / 10.8)), 1)</f>
        <v>9</v>
      </c>
      <c r="U30" s="15">
        <f>CEILING('Fire Elemental'!$B$4/ IF('Fire Elemental'!$D$4&lt; 10.8, Table13[[#This Row],[STR]], Table13[[#This Row],[STR]] / ('Fire Elemental'!$D$4 / 10.8)), 1)</f>
        <v>12</v>
      </c>
      <c r="V30" s="12">
        <f>CEILING(Wyvern!$B$4/ IF(Wyvern!$D$4&lt; 10.8, Table13[[#This Row],[STR]], Table13[[#This Row],[STR]] / (Wyvern!$D$4 / 10.8)), 1)</f>
        <v>16</v>
      </c>
      <c r="W30" s="12">
        <f>CEILING('Evolved Wyvern'!$B$4/ IF('Evolved Wyvern'!$D$4&lt; 10.8, Table13[[#This Row],[STR]], Table13[[#This Row],[STR]] / ('Evolved Wyvern'!$D$4 / 10.8)), 1)</f>
        <v>22</v>
      </c>
      <c r="X30" s="12">
        <f>CEILING(Dragon!$B$4/ IF(Dragon!$D$4&lt; 10.8, Table13[[#This Row],[STR]], Table13[[#This Row],[STR]] / (Dragon!$D$4 / 10.8)), 1)</f>
        <v>35</v>
      </c>
      <c r="Z30" s="8">
        <f>CEILING('Blue Slime'!$M$5/ IF('Blue Slime'!$O$5&lt; 10.8, Table13[[#This Row],[STR]], Table13[[#This Row],[STR]] / ('Blue Slime'!$O$5 / 10.8)), 1)</f>
        <v>1</v>
      </c>
      <c r="AA30" s="8">
        <f>CEILING('Green Slime'!$M$5/ IF('Green Slime'!$O$5&lt; 10.8, Table13[[#This Row],[STR]], Table13[[#This Row],[STR]] / ('Green Slime'!$O$5 / 10.8)), 1)</f>
        <v>1</v>
      </c>
      <c r="AB30" s="8">
        <f>CEILING(Wolf!$M$6/ IF(Wolf!$O$6&lt; 10.8, Table13[[#This Row],[STR]], Table13[[#This Row],[STR]] / (Wolf!$O$6 / 10.8)), 1)</f>
        <v>2</v>
      </c>
      <c r="AC30" s="8">
        <f>CEILING('Horned Wolf'!$M$5/ IF('Horned Wolf'!$O$5&lt; 10.8, Table13[[#This Row],[STR]], Table13[[#This Row],[STR]] / ('Horned Wolf'!$O$5 / 10.8)), 1)</f>
        <v>6</v>
      </c>
      <c r="AD30" s="8">
        <f>CEILING(Spider!$M$7/ IF(Spider!$O$7&lt; 10.8, Table13[[#This Row],[STR]], Table13[[#This Row],[STR]] / (Spider!$O$7 / 10.8)), 1)</f>
        <v>5</v>
      </c>
      <c r="AE30" s="8">
        <f>CEILING('Evolved Spider'!$M$8/ IF('Evolved Spider'!$O$8&lt; 10.8, Table13[[#This Row],[STR]], Table13[[#This Row],[STR]] / ('Evolved Spider'!$O$8 / 10.8)), 1)</f>
        <v>10</v>
      </c>
      <c r="AF30" s="8">
        <f>CEILING(Arachne!$M$4/ IF(Arachne!$O$4&lt; 10.8, Table13[[#This Row],[STR]], Table13[[#This Row],[STR]] / (Arachne!$O$4 / 10.8)), 1)</f>
        <v>13</v>
      </c>
      <c r="AG30" s="15">
        <f>CEILING('Earth Elemental'!$M$6/ IF('Earth Elemental'!$O$6&lt; 10.8, Table13[[#This Row],[STR]], Table13[[#This Row],[STR]] / ('Earth Elemental'!$O$6 / 10.8)), 1)</f>
        <v>12</v>
      </c>
      <c r="AH30" s="15">
        <f>CEILING('Wind Elemental'!$M$6/ IF('Wind Elemental'!$O$6&lt; 10.8, Table13[[#This Row],[STR]], Table13[[#This Row],[STR]] / ('Wind Elemental'!$O$6 / 10.8)), 1)</f>
        <v>10</v>
      </c>
      <c r="AI30" s="15">
        <f>CEILING('Water Elemental'!$M$6/ IF('Water Elemental'!$O$6&lt; 10.8, Table13[[#This Row],[STR]], Table13[[#This Row],[STR]] / ('Water Elemental'!$O$6 / 10.8)), 1)</f>
        <v>14</v>
      </c>
      <c r="AJ30" s="15">
        <f>CEILING('Fire Elemental'!$M$4/ IF('Fire Elemental'!$O$4&lt; 10.8, Table13[[#This Row],[STR]], Table13[[#This Row],[STR]] / ('Fire Elemental'!$O$4 / 10.8)), 1)</f>
        <v>20</v>
      </c>
      <c r="AK30" s="12">
        <f>CEILING(Wyvern!$M$4/ IF(Wyvern!$O$4&lt; 10.8, Table13[[#This Row],[STR]], Table13[[#This Row],[STR]] / (Wyvern!$O$4 / 10.8)), 1)</f>
        <v>26</v>
      </c>
      <c r="AL30" s="12">
        <f>CEILING('Evolved Wyvern'!$M$4/ IF('Evolved Wyvern'!$O$4&lt; 10.8, Table13[[#This Row],[STR]], Table13[[#This Row],[STR]] / ('Evolved Wyvern'!$O$4 / 10.8)), 1)</f>
        <v>34</v>
      </c>
      <c r="AM30" s="12">
        <f>CEILING(Dragon!$M$4/ IF(Dragon!$O$4&lt; 10.8, Table13[[#This Row],[STR]], Table13[[#This Row],[STR]] / (Dragon!$O$4 / 10.8)), 1)</f>
        <v>56</v>
      </c>
      <c r="AO30" s="8">
        <f>CEILING('Blue Slime'!$Z$5/ IF('Blue Slime'!$X$5&lt; 10.8, Table13[[#This Row],[STR]], Table13[[#This Row],[STR]] / ('Blue Slime'!$X$5 / 10.8)), 1)</f>
        <v>1</v>
      </c>
      <c r="AP30" s="8">
        <f>CEILING('Green Slime'!$Z$5/ IF('Green Slime'!$X$5&lt; 10.8, Table13[[#This Row],[STR]], Table13[[#This Row],[STR]] / ('Green Slime'!$X$5 / 10.8)), 1)</f>
        <v>2</v>
      </c>
      <c r="AQ30" s="8">
        <f>CEILING(Wolf!$Z$6/ IF(Wolf!$X$6&lt; 10.8, Table13[[#This Row],[STR]], Table13[[#This Row],[STR]] / (Wolf!$X$6 / 10.8)), 1)</f>
        <v>4</v>
      </c>
      <c r="AR30" s="8">
        <f>CEILING('Horned Wolf'!$Z$5/ IF('Horned Wolf'!$X$5&lt; 10.8, Table13[[#This Row],[STR]], Table13[[#This Row],[STR]] / ('Horned Wolf'!$X$5 / 10.8)), 1)</f>
        <v>10</v>
      </c>
      <c r="AS30" s="8">
        <f>CEILING(Spider!$Z$7/ IF(Spider!$X$7&lt; 10.8, Table13[[#This Row],[STR]], Table13[[#This Row],[STR]] / (Spider!$X$7 / 10.8)), 1)</f>
        <v>9</v>
      </c>
      <c r="AT30" s="8">
        <f>CEILING('Evolved Spider'!$Z$8/ IF('Evolved Spider'!$X$8&lt; 10.8, Table13[[#This Row],[STR]], Table13[[#This Row],[STR]] / ('Evolved Spider'!$X$8 / 10.8)), 1)</f>
        <v>16</v>
      </c>
      <c r="AU30" s="8">
        <f>CEILING(Arachne!$Z$4/ IF(Arachne!$X$4&lt; 10.8, Table13[[#This Row],[STR]], Table13[[#This Row],[STR]] / (Arachne!$X$4 / 10.8)), 1)</f>
        <v>21</v>
      </c>
      <c r="AV30" s="15">
        <f>CEILING('Earth Elemental'!$Z$6/ IF('Earth Elemental'!$X$6&lt; 10.8, Table13[[#This Row],[STR]], Table13[[#This Row],[STR]] / ('Earth Elemental'!$X$6 / 10.8)), 1)</f>
        <v>18</v>
      </c>
      <c r="AW30" s="15">
        <f>CEILING('Wind Elemental'!$Z$6/ IF('Wind Elemental'!$X$6&lt; 10.8, Table13[[#This Row],[STR]], Table13[[#This Row],[STR]] / ('Wind Elemental'!$X$6 / 10.8)), 1)</f>
        <v>14</v>
      </c>
      <c r="AX30" s="15">
        <f>CEILING('Water Elemental'!$Z$6/ IF('Water Elemental'!$X$6&lt; 10.8, Table13[[#This Row],[STR]], Table13[[#This Row],[STR]] / ('Water Elemental'!$X$6 / 10.8)), 1)</f>
        <v>19</v>
      </c>
      <c r="AY30" s="15">
        <f>CEILING('Fire Elemental'!$Z$4/ IF('Fire Elemental'!$X$4&lt; 10.8, Table13[[#This Row],[STR]], Table13[[#This Row],[STR]] / ('Fire Elemental'!$X$4 / 10.8)), 1)</f>
        <v>31</v>
      </c>
      <c r="AZ30" s="12">
        <f>CEILING(Wyvern!$Z$4/ IF(Wyvern!$X$4&lt; 10.8, Table13[[#This Row],[STR]], Table13[[#This Row],[STR]] / (Wyvern!$X$4 / 10.8)), 1)</f>
        <v>37</v>
      </c>
      <c r="BA30" s="12">
        <f>CEILING('Evolved Wyvern'!$Z$4/ IF('Evolved Wyvern'!$X$4&lt; 10.8, Table13[[#This Row],[STR]], Table13[[#This Row],[STR]] / ('Evolved Wyvern'!$X$4 / 10.8)), 1)</f>
        <v>47</v>
      </c>
      <c r="BB30" s="12">
        <f>CEILING(Dragon!$Z$4/ IF(Dragon!$X$4&lt; 10.8, Table13[[#This Row],[STR]], Table13[[#This Row],[STR]] / (Dragon!$X$4 / 10.8)), 1)</f>
        <v>80</v>
      </c>
    </row>
    <row r="31" spans="1:54" x14ac:dyDescent="0.3">
      <c r="A31" s="1">
        <v>29</v>
      </c>
      <c r="B31" s="1">
        <f>$B$3 + ((Table13[[#This Row],[Level]] / 10) + $B$3 / 8) * Table13[[#This Row],[Level]] + Equipment!$Z$26</f>
        <v>193.85000000000002</v>
      </c>
      <c r="C31" s="1">
        <f>2 * Table13[[#This Row],[INT]]</f>
        <v>108.5</v>
      </c>
      <c r="D31" s="1">
        <f>$D$3 + ($D$3 / 4) * Table13[[#This Row],[Level]] + Equipment!$AA$26</f>
        <v>90</v>
      </c>
      <c r="E31" s="1">
        <f>$E$3 + ($E$3 / 4) * Table13[[#This Row],[Level]] + Equipment!$AB$26</f>
        <v>67.5</v>
      </c>
      <c r="F31" s="1">
        <f>$F$3 + ($F$3 / 4) * Table13[[#This Row],[Level]] + Equipment!$AC$26</f>
        <v>78.75</v>
      </c>
      <c r="G31" s="1">
        <f>$G$3 + ($G$3 / 4) * Table13[[#This Row],[Level]] + Equipment!$AD$26</f>
        <v>54.25</v>
      </c>
      <c r="H31" s="1">
        <f>$H$3 + ($H$3 / 4) * Table13[[#This Row],[Level]] + Equipment!$AE$26</f>
        <v>67.5</v>
      </c>
      <c r="I31" s="1">
        <f xml:space="preserve"> (4 * (Table13[[#This Row],[Level]] ^ 3))/7 + $I$3</f>
        <v>14036.571428571429</v>
      </c>
      <c r="K31" s="8">
        <f>CEILING('Blue Slime'!$B$5/ IF('Blue Slime'!$D$5&lt; 10.8, Table13[[#This Row],[STR]], Table13[[#This Row],[STR]] / ('Blue Slime'!$D$5 / 10.8)), 1)</f>
        <v>1</v>
      </c>
      <c r="L31" s="8">
        <f>CEILING('Green Slime'!$B$5/ IF('Green Slime'!$D$5&lt; 10.8, Table13[[#This Row],[STR]], Table13[[#This Row],[STR]] / ('Green Slime'!$D$5 / 10.8)), 1)</f>
        <v>1</v>
      </c>
      <c r="M31" s="8">
        <f>CEILING(Wolf!$B$6/ IF(Wolf!$D$6&lt; 10.8, Table13[[#This Row],[STR]], Table13[[#This Row],[STR]] / (Wolf!$D$6 / 10.8)), 1)</f>
        <v>1</v>
      </c>
      <c r="N31" s="8">
        <f>CEILING('Horned Wolf'!$B$5/ IF('Horned Wolf'!$D$5&lt; 10.8, Table13[[#This Row],[STR]], Table13[[#This Row],[STR]] / ('Horned Wolf'!$D$5 / 10.8)), 1)</f>
        <v>3</v>
      </c>
      <c r="O31" s="8">
        <f>CEILING(Spider!$B$7/ IF(Spider!$D$7&lt; 10.8, Table13[[#This Row],[STR]], Table13[[#This Row],[STR]] / (Spider!$D$7 / 10.8)), 1)</f>
        <v>3</v>
      </c>
      <c r="P31" s="8">
        <f>CEILING('Evolved Spider'!$B$8/ IF('Evolved Spider'!$D$8&lt; 10.8, Table13[[#This Row],[STR]], Table13[[#This Row],[STR]] / ('Evolved Spider'!$D$8 / 10.8)), 1)</f>
        <v>5</v>
      </c>
      <c r="Q31" s="8">
        <f>CEILING(Arachne!$B$4/ IF(Arachne!$D$4&lt; 10.8, Table13[[#This Row],[STR]], Table13[[#This Row],[STR]] / (Arachne!$D$4 / 10.8)), 1)</f>
        <v>7</v>
      </c>
      <c r="R31" s="15">
        <f>CEILING('Earth Elemental'!$B$6/ IF('Earth Elemental'!$D$6&lt; 10.8, Table13[[#This Row],[STR]], Table13[[#This Row],[STR]] / ('Earth Elemental'!$D$6 / 10.8)), 1)</f>
        <v>7</v>
      </c>
      <c r="S31" s="15">
        <f>CEILING('Wind Elemental'!$B$6/ IF('Wind Elemental'!$D$6&lt; 10.8, Table13[[#This Row],[STR]], Table13[[#This Row],[STR]] / ('Wind Elemental'!$D$6 / 10.8)), 1)</f>
        <v>6</v>
      </c>
      <c r="T31" s="15">
        <f>CEILING('Water Elemental'!$B$6/ IF('Water Elemental'!$D$6&lt; 10.8, Table13[[#This Row],[STR]], Table13[[#This Row],[STR]] / ('Water Elemental'!$D$6 / 10.8)), 1)</f>
        <v>9</v>
      </c>
      <c r="U31" s="15">
        <f>CEILING('Fire Elemental'!$B$4/ IF('Fire Elemental'!$D$4&lt; 10.8, Table13[[#This Row],[STR]], Table13[[#This Row],[STR]] / ('Fire Elemental'!$D$4 / 10.8)), 1)</f>
        <v>11</v>
      </c>
      <c r="V31" s="12">
        <f>CEILING(Wyvern!$B$4/ IF(Wyvern!$D$4&lt; 10.8, Table13[[#This Row],[STR]], Table13[[#This Row],[STR]] / (Wyvern!$D$4 / 10.8)), 1)</f>
        <v>15</v>
      </c>
      <c r="W31" s="12">
        <f>CEILING('Evolved Wyvern'!$B$4/ IF('Evolved Wyvern'!$D$4&lt; 10.8, Table13[[#This Row],[STR]], Table13[[#This Row],[STR]] / ('Evolved Wyvern'!$D$4 / 10.8)), 1)</f>
        <v>21</v>
      </c>
      <c r="X31" s="12">
        <f>CEILING(Dragon!$B$4/ IF(Dragon!$D$4&lt; 10.8, Table13[[#This Row],[STR]], Table13[[#This Row],[STR]] / (Dragon!$D$4 / 10.8)), 1)</f>
        <v>34</v>
      </c>
      <c r="Z31" s="8">
        <f>CEILING('Blue Slime'!$M$5/ IF('Blue Slime'!$O$5&lt; 10.8, Table13[[#This Row],[STR]], Table13[[#This Row],[STR]] / ('Blue Slime'!$O$5 / 10.8)), 1)</f>
        <v>1</v>
      </c>
      <c r="AA31" s="8">
        <f>CEILING('Green Slime'!$M$5/ IF('Green Slime'!$O$5&lt; 10.8, Table13[[#This Row],[STR]], Table13[[#This Row],[STR]] / ('Green Slime'!$O$5 / 10.8)), 1)</f>
        <v>1</v>
      </c>
      <c r="AB31" s="8">
        <f>CEILING(Wolf!$M$6/ IF(Wolf!$O$6&lt; 10.8, Table13[[#This Row],[STR]], Table13[[#This Row],[STR]] / (Wolf!$O$6 / 10.8)), 1)</f>
        <v>2</v>
      </c>
      <c r="AC31" s="8">
        <f>CEILING('Horned Wolf'!$M$5/ IF('Horned Wolf'!$O$5&lt; 10.8, Table13[[#This Row],[STR]], Table13[[#This Row],[STR]] / ('Horned Wolf'!$O$5 / 10.8)), 1)</f>
        <v>6</v>
      </c>
      <c r="AD31" s="8">
        <f>CEILING(Spider!$M$7/ IF(Spider!$O$7&lt; 10.8, Table13[[#This Row],[STR]], Table13[[#This Row],[STR]] / (Spider!$O$7 / 10.8)), 1)</f>
        <v>5</v>
      </c>
      <c r="AE31" s="8">
        <f>CEILING('Evolved Spider'!$M$8/ IF('Evolved Spider'!$O$8&lt; 10.8, Table13[[#This Row],[STR]], Table13[[#This Row],[STR]] / ('Evolved Spider'!$O$8 / 10.8)), 1)</f>
        <v>10</v>
      </c>
      <c r="AF31" s="8">
        <f>CEILING(Arachne!$M$4/ IF(Arachne!$O$4&lt; 10.8, Table13[[#This Row],[STR]], Table13[[#This Row],[STR]] / (Arachne!$O$4 / 10.8)), 1)</f>
        <v>13</v>
      </c>
      <c r="AG31" s="15">
        <f>CEILING('Earth Elemental'!$M$6/ IF('Earth Elemental'!$O$6&lt; 10.8, Table13[[#This Row],[STR]], Table13[[#This Row],[STR]] / ('Earth Elemental'!$O$6 / 10.8)), 1)</f>
        <v>12</v>
      </c>
      <c r="AH31" s="15">
        <f>CEILING('Wind Elemental'!$M$6/ IF('Wind Elemental'!$O$6&lt; 10.8, Table13[[#This Row],[STR]], Table13[[#This Row],[STR]] / ('Wind Elemental'!$O$6 / 10.8)), 1)</f>
        <v>10</v>
      </c>
      <c r="AI31" s="15">
        <f>CEILING('Water Elemental'!$M$6/ IF('Water Elemental'!$O$6&lt; 10.8, Table13[[#This Row],[STR]], Table13[[#This Row],[STR]] / ('Water Elemental'!$O$6 / 10.8)), 1)</f>
        <v>14</v>
      </c>
      <c r="AJ31" s="15">
        <f>CEILING('Fire Elemental'!$M$4/ IF('Fire Elemental'!$O$4&lt; 10.8, Table13[[#This Row],[STR]], Table13[[#This Row],[STR]] / ('Fire Elemental'!$O$4 / 10.8)), 1)</f>
        <v>20</v>
      </c>
      <c r="AK31" s="12">
        <f>CEILING(Wyvern!$M$4/ IF(Wyvern!$O$4&lt; 10.8, Table13[[#This Row],[STR]], Table13[[#This Row],[STR]] / (Wyvern!$O$4 / 10.8)), 1)</f>
        <v>25</v>
      </c>
      <c r="AL31" s="12">
        <f>CEILING('Evolved Wyvern'!$M$4/ IF('Evolved Wyvern'!$O$4&lt; 10.8, Table13[[#This Row],[STR]], Table13[[#This Row],[STR]] / ('Evolved Wyvern'!$O$4 / 10.8)), 1)</f>
        <v>33</v>
      </c>
      <c r="AM31" s="12">
        <f>CEILING(Dragon!$M$4/ IF(Dragon!$O$4&lt; 10.8, Table13[[#This Row],[STR]], Table13[[#This Row],[STR]] / (Dragon!$O$4 / 10.8)), 1)</f>
        <v>55</v>
      </c>
      <c r="AO31" s="8">
        <f>CEILING('Blue Slime'!$Z$5/ IF('Blue Slime'!$X$5&lt; 10.8, Table13[[#This Row],[STR]], Table13[[#This Row],[STR]] / ('Blue Slime'!$X$5 / 10.8)), 1)</f>
        <v>1</v>
      </c>
      <c r="AP31" s="8">
        <f>CEILING('Green Slime'!$Z$5/ IF('Green Slime'!$X$5&lt; 10.8, Table13[[#This Row],[STR]], Table13[[#This Row],[STR]] / ('Green Slime'!$X$5 / 10.8)), 1)</f>
        <v>2</v>
      </c>
      <c r="AQ31" s="8">
        <f>CEILING(Wolf!$Z$6/ IF(Wolf!$X$6&lt; 10.8, Table13[[#This Row],[STR]], Table13[[#This Row],[STR]] / (Wolf!$X$6 / 10.8)), 1)</f>
        <v>4</v>
      </c>
      <c r="AR31" s="8">
        <f>CEILING('Horned Wolf'!$Z$5/ IF('Horned Wolf'!$X$5&lt; 10.8, Table13[[#This Row],[STR]], Table13[[#This Row],[STR]] / ('Horned Wolf'!$X$5 / 10.8)), 1)</f>
        <v>10</v>
      </c>
      <c r="AS31" s="8">
        <f>CEILING(Spider!$Z$7/ IF(Spider!$X$7&lt; 10.8, Table13[[#This Row],[STR]], Table13[[#This Row],[STR]] / (Spider!$X$7 / 10.8)), 1)</f>
        <v>9</v>
      </c>
      <c r="AT31" s="8">
        <f>CEILING('Evolved Spider'!$Z$8/ IF('Evolved Spider'!$X$8&lt; 10.8, Table13[[#This Row],[STR]], Table13[[#This Row],[STR]] / ('Evolved Spider'!$X$8 / 10.8)), 1)</f>
        <v>15</v>
      </c>
      <c r="AU31" s="8">
        <f>CEILING(Arachne!$Z$4/ IF(Arachne!$X$4&lt; 10.8, Table13[[#This Row],[STR]], Table13[[#This Row],[STR]] / (Arachne!$X$4 / 10.8)), 1)</f>
        <v>21</v>
      </c>
      <c r="AV31" s="15">
        <f>CEILING('Earth Elemental'!$Z$6/ IF('Earth Elemental'!$X$6&lt; 10.8, Table13[[#This Row],[STR]], Table13[[#This Row],[STR]] / ('Earth Elemental'!$X$6 / 10.8)), 1)</f>
        <v>18</v>
      </c>
      <c r="AW31" s="15">
        <f>CEILING('Wind Elemental'!$Z$6/ IF('Wind Elemental'!$X$6&lt; 10.8, Table13[[#This Row],[STR]], Table13[[#This Row],[STR]] / ('Wind Elemental'!$X$6 / 10.8)), 1)</f>
        <v>14</v>
      </c>
      <c r="AX31" s="15">
        <f>CEILING('Water Elemental'!$Z$6/ IF('Water Elemental'!$X$6&lt; 10.8, Table13[[#This Row],[STR]], Table13[[#This Row],[STR]] / ('Water Elemental'!$X$6 / 10.8)), 1)</f>
        <v>19</v>
      </c>
      <c r="AY31" s="15">
        <f>CEILING('Fire Elemental'!$Z$4/ IF('Fire Elemental'!$X$4&lt; 10.8, Table13[[#This Row],[STR]], Table13[[#This Row],[STR]] / ('Fire Elemental'!$X$4 / 10.8)), 1)</f>
        <v>30</v>
      </c>
      <c r="AZ31" s="12">
        <f>CEILING(Wyvern!$Z$4/ IF(Wyvern!$X$4&lt; 10.8, Table13[[#This Row],[STR]], Table13[[#This Row],[STR]] / (Wyvern!$X$4 / 10.8)), 1)</f>
        <v>36</v>
      </c>
      <c r="BA31" s="12">
        <f>CEILING('Evolved Wyvern'!$Z$4/ IF('Evolved Wyvern'!$X$4&lt; 10.8, Table13[[#This Row],[STR]], Table13[[#This Row],[STR]] / ('Evolved Wyvern'!$X$4 / 10.8)), 1)</f>
        <v>46</v>
      </c>
      <c r="BB31" s="12">
        <f>CEILING(Dragon!$Z$4/ IF(Dragon!$X$4&lt; 10.8, Table13[[#This Row],[STR]], Table13[[#This Row],[STR]] / (Dragon!$X$4 / 10.8)), 1)</f>
        <v>78</v>
      </c>
    </row>
    <row r="32" spans="1:54" x14ac:dyDescent="0.3">
      <c r="A32" s="1">
        <v>30</v>
      </c>
      <c r="B32" s="1">
        <f>$B$3 + ((Table13[[#This Row],[Level]] / 10) + $B$3 / 8) * Table13[[#This Row],[Level]] + Equipment!$Z$26</f>
        <v>201.5</v>
      </c>
      <c r="C32" s="1">
        <f>2 * Table13[[#This Row],[INT]]</f>
        <v>111</v>
      </c>
      <c r="D32" s="1">
        <f>$D$3 + ($D$3 / 4) * Table13[[#This Row],[Level]] + Equipment!$AA$26</f>
        <v>92</v>
      </c>
      <c r="E32" s="1">
        <f>$E$3 + ($E$3 / 4) * Table13[[#This Row],[Level]] + Equipment!$AB$26</f>
        <v>69</v>
      </c>
      <c r="F32" s="1">
        <f>$F$3 + ($F$3 / 4) * Table13[[#This Row],[Level]] + Equipment!$AC$26</f>
        <v>80.5</v>
      </c>
      <c r="G32" s="1">
        <f>$G$3 + ($G$3 / 4) * Table13[[#This Row],[Level]] + Equipment!$AD$26</f>
        <v>55.5</v>
      </c>
      <c r="H32" s="1">
        <f>$H$3 + ($H$3 / 4) * Table13[[#This Row],[Level]] + Equipment!$AE$26</f>
        <v>69</v>
      </c>
      <c r="I32" s="1">
        <f xml:space="preserve"> (4 * (Table13[[#This Row],[Level]] ^ 3))/7 + $I$3</f>
        <v>15528.571428571429</v>
      </c>
      <c r="K32" s="8">
        <f>CEILING('Blue Slime'!$B$5/ IF('Blue Slime'!$D$5&lt; 10.8, Table13[[#This Row],[STR]], Table13[[#This Row],[STR]] / ('Blue Slime'!$D$5 / 10.8)), 1)</f>
        <v>1</v>
      </c>
      <c r="L32" s="8">
        <f>CEILING('Green Slime'!$B$5/ IF('Green Slime'!$D$5&lt; 10.8, Table13[[#This Row],[STR]], Table13[[#This Row],[STR]] / ('Green Slime'!$D$5 / 10.8)), 1)</f>
        <v>1</v>
      </c>
      <c r="M32" s="8">
        <f>CEILING(Wolf!$B$6/ IF(Wolf!$D$6&lt; 10.8, Table13[[#This Row],[STR]], Table13[[#This Row],[STR]] / (Wolf!$D$6 / 10.8)), 1)</f>
        <v>1</v>
      </c>
      <c r="N32" s="8">
        <f>CEILING('Horned Wolf'!$B$5/ IF('Horned Wolf'!$D$5&lt; 10.8, Table13[[#This Row],[STR]], Table13[[#This Row],[STR]] / ('Horned Wolf'!$D$5 / 10.8)), 1)</f>
        <v>3</v>
      </c>
      <c r="O32" s="8">
        <f>CEILING(Spider!$B$7/ IF(Spider!$D$7&lt; 10.8, Table13[[#This Row],[STR]], Table13[[#This Row],[STR]] / (Spider!$D$7 / 10.8)), 1)</f>
        <v>3</v>
      </c>
      <c r="P32" s="8">
        <f>CEILING('Evolved Spider'!$B$8/ IF('Evolved Spider'!$D$8&lt; 10.8, Table13[[#This Row],[STR]], Table13[[#This Row],[STR]] / ('Evolved Spider'!$D$8 / 10.8)), 1)</f>
        <v>5</v>
      </c>
      <c r="Q32" s="8">
        <f>CEILING(Arachne!$B$4/ IF(Arachne!$D$4&lt; 10.8, Table13[[#This Row],[STR]], Table13[[#This Row],[STR]] / (Arachne!$D$4 / 10.8)), 1)</f>
        <v>7</v>
      </c>
      <c r="R32" s="15">
        <f>CEILING('Earth Elemental'!$B$6/ IF('Earth Elemental'!$D$6&lt; 10.8, Table13[[#This Row],[STR]], Table13[[#This Row],[STR]] / ('Earth Elemental'!$D$6 / 10.8)), 1)</f>
        <v>7</v>
      </c>
      <c r="S32" s="15">
        <f>CEILING('Wind Elemental'!$B$6/ IF('Wind Elemental'!$D$6&lt; 10.8, Table13[[#This Row],[STR]], Table13[[#This Row],[STR]] / ('Wind Elemental'!$D$6 / 10.8)), 1)</f>
        <v>6</v>
      </c>
      <c r="T32" s="15">
        <f>CEILING('Water Elemental'!$B$6/ IF('Water Elemental'!$D$6&lt; 10.8, Table13[[#This Row],[STR]], Table13[[#This Row],[STR]] / ('Water Elemental'!$D$6 / 10.8)), 1)</f>
        <v>9</v>
      </c>
      <c r="U32" s="15">
        <f>CEILING('Fire Elemental'!$B$4/ IF('Fire Elemental'!$D$4&lt; 10.8, Table13[[#This Row],[STR]], Table13[[#This Row],[STR]] / ('Fire Elemental'!$D$4 / 10.8)), 1)</f>
        <v>11</v>
      </c>
      <c r="V32" s="12">
        <f>CEILING(Wyvern!$B$4/ IF(Wyvern!$D$4&lt; 10.8, Table13[[#This Row],[STR]], Table13[[#This Row],[STR]] / (Wyvern!$D$4 / 10.8)), 1)</f>
        <v>15</v>
      </c>
      <c r="W32" s="12">
        <f>CEILING('Evolved Wyvern'!$B$4/ IF('Evolved Wyvern'!$D$4&lt; 10.8, Table13[[#This Row],[STR]], Table13[[#This Row],[STR]] / ('Evolved Wyvern'!$D$4 / 10.8)), 1)</f>
        <v>21</v>
      </c>
      <c r="X32" s="12">
        <f>CEILING(Dragon!$B$4/ IF(Dragon!$D$4&lt; 10.8, Table13[[#This Row],[STR]], Table13[[#This Row],[STR]] / (Dragon!$D$4 / 10.8)), 1)</f>
        <v>34</v>
      </c>
      <c r="Z32" s="8">
        <f>CEILING('Blue Slime'!$M$5/ IF('Blue Slime'!$O$5&lt; 10.8, Table13[[#This Row],[STR]], Table13[[#This Row],[STR]] / ('Blue Slime'!$O$5 / 10.8)), 1)</f>
        <v>1</v>
      </c>
      <c r="AA32" s="8">
        <f>CEILING('Green Slime'!$M$5/ IF('Green Slime'!$O$5&lt; 10.8, Table13[[#This Row],[STR]], Table13[[#This Row],[STR]] / ('Green Slime'!$O$5 / 10.8)), 1)</f>
        <v>1</v>
      </c>
      <c r="AB32" s="8">
        <f>CEILING(Wolf!$M$6/ IF(Wolf!$O$6&lt; 10.8, Table13[[#This Row],[STR]], Table13[[#This Row],[STR]] / (Wolf!$O$6 / 10.8)), 1)</f>
        <v>2</v>
      </c>
      <c r="AC32" s="8">
        <f>CEILING('Horned Wolf'!$M$5/ IF('Horned Wolf'!$O$5&lt; 10.8, Table13[[#This Row],[STR]], Table13[[#This Row],[STR]] / ('Horned Wolf'!$O$5 / 10.8)), 1)</f>
        <v>6</v>
      </c>
      <c r="AD32" s="8">
        <f>CEILING(Spider!$M$7/ IF(Spider!$O$7&lt; 10.8, Table13[[#This Row],[STR]], Table13[[#This Row],[STR]] / (Spider!$O$7 / 10.8)), 1)</f>
        <v>5</v>
      </c>
      <c r="AE32" s="8">
        <f>CEILING('Evolved Spider'!$M$8/ IF('Evolved Spider'!$O$8&lt; 10.8, Table13[[#This Row],[STR]], Table13[[#This Row],[STR]] / ('Evolved Spider'!$O$8 / 10.8)), 1)</f>
        <v>9</v>
      </c>
      <c r="AF32" s="8">
        <f>CEILING(Arachne!$M$4/ IF(Arachne!$O$4&lt; 10.8, Table13[[#This Row],[STR]], Table13[[#This Row],[STR]] / (Arachne!$O$4 / 10.8)), 1)</f>
        <v>13</v>
      </c>
      <c r="AG32" s="15">
        <f>CEILING('Earth Elemental'!$M$6/ IF('Earth Elemental'!$O$6&lt; 10.8, Table13[[#This Row],[STR]], Table13[[#This Row],[STR]] / ('Earth Elemental'!$O$6 / 10.8)), 1)</f>
        <v>11</v>
      </c>
      <c r="AH32" s="15">
        <f>CEILING('Wind Elemental'!$M$6/ IF('Wind Elemental'!$O$6&lt; 10.8, Table13[[#This Row],[STR]], Table13[[#This Row],[STR]] / ('Wind Elemental'!$O$6 / 10.8)), 1)</f>
        <v>9</v>
      </c>
      <c r="AI32" s="15">
        <f>CEILING('Water Elemental'!$M$6/ IF('Water Elemental'!$O$6&lt; 10.8, Table13[[#This Row],[STR]], Table13[[#This Row],[STR]] / ('Water Elemental'!$O$6 / 10.8)), 1)</f>
        <v>13</v>
      </c>
      <c r="AJ32" s="15">
        <f>CEILING('Fire Elemental'!$M$4/ IF('Fire Elemental'!$O$4&lt; 10.8, Table13[[#This Row],[STR]], Table13[[#This Row],[STR]] / ('Fire Elemental'!$O$4 / 10.8)), 1)</f>
        <v>19</v>
      </c>
      <c r="AK32" s="12">
        <f>CEILING(Wyvern!$M$4/ IF(Wyvern!$O$4&lt; 10.8, Table13[[#This Row],[STR]], Table13[[#This Row],[STR]] / (Wyvern!$O$4 / 10.8)), 1)</f>
        <v>25</v>
      </c>
      <c r="AL32" s="12">
        <f>CEILING('Evolved Wyvern'!$M$4/ IF('Evolved Wyvern'!$O$4&lt; 10.8, Table13[[#This Row],[STR]], Table13[[#This Row],[STR]] / ('Evolved Wyvern'!$O$4 / 10.8)), 1)</f>
        <v>32</v>
      </c>
      <c r="AM32" s="12">
        <f>CEILING(Dragon!$M$4/ IF(Dragon!$O$4&lt; 10.8, Table13[[#This Row],[STR]], Table13[[#This Row],[STR]] / (Dragon!$O$4 / 10.8)), 1)</f>
        <v>54</v>
      </c>
      <c r="AO32" s="8">
        <f>CEILING('Blue Slime'!$Z$5/ IF('Blue Slime'!$X$5&lt; 10.8, Table13[[#This Row],[STR]], Table13[[#This Row],[STR]] / ('Blue Slime'!$X$5 / 10.8)), 1)</f>
        <v>1</v>
      </c>
      <c r="AP32" s="8">
        <f>CEILING('Green Slime'!$Z$5/ IF('Green Slime'!$X$5&lt; 10.8, Table13[[#This Row],[STR]], Table13[[#This Row],[STR]] / ('Green Slime'!$X$5 / 10.8)), 1)</f>
        <v>2</v>
      </c>
      <c r="AQ32" s="8">
        <f>CEILING(Wolf!$Z$6/ IF(Wolf!$X$6&lt; 10.8, Table13[[#This Row],[STR]], Table13[[#This Row],[STR]] / (Wolf!$X$6 / 10.8)), 1)</f>
        <v>4</v>
      </c>
      <c r="AR32" s="8">
        <f>CEILING('Horned Wolf'!$Z$5/ IF('Horned Wolf'!$X$5&lt; 10.8, Table13[[#This Row],[STR]], Table13[[#This Row],[STR]] / ('Horned Wolf'!$X$5 / 10.8)), 1)</f>
        <v>10</v>
      </c>
      <c r="AS32" s="8">
        <f>CEILING(Spider!$Z$7/ IF(Spider!$X$7&lt; 10.8, Table13[[#This Row],[STR]], Table13[[#This Row],[STR]] / (Spider!$X$7 / 10.8)), 1)</f>
        <v>9</v>
      </c>
      <c r="AT32" s="8">
        <f>CEILING('Evolved Spider'!$Z$8/ IF('Evolved Spider'!$X$8&lt; 10.8, Table13[[#This Row],[STR]], Table13[[#This Row],[STR]] / ('Evolved Spider'!$X$8 / 10.8)), 1)</f>
        <v>15</v>
      </c>
      <c r="AU32" s="8">
        <f>CEILING(Arachne!$Z$4/ IF(Arachne!$X$4&lt; 10.8, Table13[[#This Row],[STR]], Table13[[#This Row],[STR]] / (Arachne!$X$4 / 10.8)), 1)</f>
        <v>20</v>
      </c>
      <c r="AV32" s="15">
        <f>CEILING('Earth Elemental'!$Z$6/ IF('Earth Elemental'!$X$6&lt; 10.8, Table13[[#This Row],[STR]], Table13[[#This Row],[STR]] / ('Earth Elemental'!$X$6 / 10.8)), 1)</f>
        <v>17</v>
      </c>
      <c r="AW32" s="15">
        <f>CEILING('Wind Elemental'!$Z$6/ IF('Wind Elemental'!$X$6&lt; 10.8, Table13[[#This Row],[STR]], Table13[[#This Row],[STR]] / ('Wind Elemental'!$X$6 / 10.8)), 1)</f>
        <v>13</v>
      </c>
      <c r="AX32" s="15">
        <f>CEILING('Water Elemental'!$Z$6/ IF('Water Elemental'!$X$6&lt; 10.8, Table13[[#This Row],[STR]], Table13[[#This Row],[STR]] / ('Water Elemental'!$X$6 / 10.8)), 1)</f>
        <v>18</v>
      </c>
      <c r="AY32" s="15">
        <f>CEILING('Fire Elemental'!$Z$4/ IF('Fire Elemental'!$X$4&lt; 10.8, Table13[[#This Row],[STR]], Table13[[#This Row],[STR]] / ('Fire Elemental'!$X$4 / 10.8)), 1)</f>
        <v>29</v>
      </c>
      <c r="AZ32" s="12">
        <f>CEILING(Wyvern!$Z$4/ IF(Wyvern!$X$4&lt; 10.8, Table13[[#This Row],[STR]], Table13[[#This Row],[STR]] / (Wyvern!$X$4 / 10.8)), 1)</f>
        <v>35</v>
      </c>
      <c r="BA32" s="12">
        <f>CEILING('Evolved Wyvern'!$Z$4/ IF('Evolved Wyvern'!$X$4&lt; 10.8, Table13[[#This Row],[STR]], Table13[[#This Row],[STR]] / ('Evolved Wyvern'!$X$4 / 10.8)), 1)</f>
        <v>45</v>
      </c>
      <c r="BB32" s="12">
        <f>CEILING(Dragon!$Z$4/ IF(Dragon!$X$4&lt; 10.8, Table13[[#This Row],[STR]], Table13[[#This Row],[STR]] / (Dragon!$X$4 / 10.8)), 1)</f>
        <v>76</v>
      </c>
    </row>
    <row r="33" spans="1:54" x14ac:dyDescent="0.3">
      <c r="A33" s="1">
        <v>31</v>
      </c>
      <c r="B33" s="1">
        <f>$B$3 + ((Table13[[#This Row],[Level]] / 10) + $B$3 / 8) * Table13[[#This Row],[Level]] + Equipment!$Z$26</f>
        <v>209.35</v>
      </c>
      <c r="C33" s="1">
        <f>2 * Table13[[#This Row],[INT]]</f>
        <v>113.5</v>
      </c>
      <c r="D33" s="1">
        <f>$D$3 + ($D$3 / 4) * Table13[[#This Row],[Level]] + Equipment!$AA$26</f>
        <v>94</v>
      </c>
      <c r="E33" s="1">
        <f>$E$3 + ($E$3 / 4) * Table13[[#This Row],[Level]] + Equipment!$AB$26</f>
        <v>70.5</v>
      </c>
      <c r="F33" s="1">
        <f>$F$3 + ($F$3 / 4) * Table13[[#This Row],[Level]] + Equipment!$AC$26</f>
        <v>82.25</v>
      </c>
      <c r="G33" s="1">
        <f>$G$3 + ($G$3 / 4) * Table13[[#This Row],[Level]] + Equipment!$AD$26</f>
        <v>56.75</v>
      </c>
      <c r="H33" s="1">
        <f>$H$3 + ($H$3 / 4) * Table13[[#This Row],[Level]] + Equipment!$AE$26</f>
        <v>70.5</v>
      </c>
      <c r="I33" s="1">
        <f xml:space="preserve"> (4 * (Table13[[#This Row],[Level]] ^ 3))/7 + $I$3</f>
        <v>17123.428571428572</v>
      </c>
      <c r="K33" s="8">
        <f>CEILING('Blue Slime'!$B$5/ IF('Blue Slime'!$D$5&lt; 10.8, Table13[[#This Row],[STR]], Table13[[#This Row],[STR]] / ('Blue Slime'!$D$5 / 10.8)), 1)</f>
        <v>1</v>
      </c>
      <c r="L33" s="8">
        <f>CEILING('Green Slime'!$B$5/ IF('Green Slime'!$D$5&lt; 10.8, Table13[[#This Row],[STR]], Table13[[#This Row],[STR]] / ('Green Slime'!$D$5 / 10.8)), 1)</f>
        <v>1</v>
      </c>
      <c r="M33" s="8">
        <f>CEILING(Wolf!$B$6/ IF(Wolf!$D$6&lt; 10.8, Table13[[#This Row],[STR]], Table13[[#This Row],[STR]] / (Wolf!$D$6 / 10.8)), 1)</f>
        <v>1</v>
      </c>
      <c r="N33" s="8">
        <f>CEILING('Horned Wolf'!$B$5/ IF('Horned Wolf'!$D$5&lt; 10.8, Table13[[#This Row],[STR]], Table13[[#This Row],[STR]] / ('Horned Wolf'!$D$5 / 10.8)), 1)</f>
        <v>3</v>
      </c>
      <c r="O33" s="8">
        <f>CEILING(Spider!$B$7/ IF(Spider!$D$7&lt; 10.8, Table13[[#This Row],[STR]], Table13[[#This Row],[STR]] / (Spider!$D$7 / 10.8)), 1)</f>
        <v>3</v>
      </c>
      <c r="P33" s="8">
        <f>CEILING('Evolved Spider'!$B$8/ IF('Evolved Spider'!$D$8&lt; 10.8, Table13[[#This Row],[STR]], Table13[[#This Row],[STR]] / ('Evolved Spider'!$D$8 / 10.8)), 1)</f>
        <v>5</v>
      </c>
      <c r="Q33" s="8">
        <f>CEILING(Arachne!$B$4/ IF(Arachne!$D$4&lt; 10.8, Table13[[#This Row],[STR]], Table13[[#This Row],[STR]] / (Arachne!$D$4 / 10.8)), 1)</f>
        <v>6</v>
      </c>
      <c r="R33" s="12">
        <f>CEILING('Earth Elemental'!$B$6/ IF('Earth Elemental'!$D$6&lt; 10.8, Table13[[#This Row],[STR]], Table13[[#This Row],[STR]] / ('Earth Elemental'!$D$6 / 10.8)), 1)</f>
        <v>7</v>
      </c>
      <c r="S33" s="12">
        <f>CEILING('Wind Elemental'!$B$6/ IF('Wind Elemental'!$D$6&lt; 10.8, Table13[[#This Row],[STR]], Table13[[#This Row],[STR]] / ('Wind Elemental'!$D$6 / 10.8)), 1)</f>
        <v>6</v>
      </c>
      <c r="T33" s="12">
        <f>CEILING('Water Elemental'!$B$6/ IF('Water Elemental'!$D$6&lt; 10.8, Table13[[#This Row],[STR]], Table13[[#This Row],[STR]] / ('Water Elemental'!$D$6 / 10.8)), 1)</f>
        <v>9</v>
      </c>
      <c r="U33" s="12">
        <f>CEILING('Fire Elemental'!$B$4/ IF('Fire Elemental'!$D$4&lt; 10.8, Table13[[#This Row],[STR]], Table13[[#This Row],[STR]] / ('Fire Elemental'!$D$4 / 10.8)), 1)</f>
        <v>11</v>
      </c>
      <c r="V33" s="15">
        <f>CEILING(Wyvern!$B$4/ IF(Wyvern!$D$4&lt; 10.8, Table13[[#This Row],[STR]], Table13[[#This Row],[STR]] / (Wyvern!$D$4 / 10.8)), 1)</f>
        <v>15</v>
      </c>
      <c r="W33" s="15">
        <f>CEILING('Evolved Wyvern'!$B$4/ IF('Evolved Wyvern'!$D$4&lt; 10.8, Table13[[#This Row],[STR]], Table13[[#This Row],[STR]] / ('Evolved Wyvern'!$D$4 / 10.8)), 1)</f>
        <v>20</v>
      </c>
      <c r="X33" s="15">
        <f>CEILING(Dragon!$B$4/ IF(Dragon!$D$4&lt; 10.8, Table13[[#This Row],[STR]], Table13[[#This Row],[STR]] / (Dragon!$D$4 / 10.8)), 1)</f>
        <v>33</v>
      </c>
      <c r="Z33" s="8">
        <f>CEILING('Blue Slime'!$M$5/ IF('Blue Slime'!$O$5&lt; 10.8, Table13[[#This Row],[STR]], Table13[[#This Row],[STR]] / ('Blue Slime'!$O$5 / 10.8)), 1)</f>
        <v>1</v>
      </c>
      <c r="AA33" s="8">
        <f>CEILING('Green Slime'!$M$5/ IF('Green Slime'!$O$5&lt; 10.8, Table13[[#This Row],[STR]], Table13[[#This Row],[STR]] / ('Green Slime'!$O$5 / 10.8)), 1)</f>
        <v>1</v>
      </c>
      <c r="AB33" s="8">
        <f>CEILING(Wolf!$M$6/ IF(Wolf!$O$6&lt; 10.8, Table13[[#This Row],[STR]], Table13[[#This Row],[STR]] / (Wolf!$O$6 / 10.8)), 1)</f>
        <v>2</v>
      </c>
      <c r="AC33" s="8">
        <f>CEILING('Horned Wolf'!$M$5/ IF('Horned Wolf'!$O$5&lt; 10.8, Table13[[#This Row],[STR]], Table13[[#This Row],[STR]] / ('Horned Wolf'!$O$5 / 10.8)), 1)</f>
        <v>6</v>
      </c>
      <c r="AD33" s="8">
        <f>CEILING(Spider!$M$7/ IF(Spider!$O$7&lt; 10.8, Table13[[#This Row],[STR]], Table13[[#This Row],[STR]] / (Spider!$O$7 / 10.8)), 1)</f>
        <v>5</v>
      </c>
      <c r="AE33" s="8">
        <f>CEILING('Evolved Spider'!$M$8/ IF('Evolved Spider'!$O$8&lt; 10.8, Table13[[#This Row],[STR]], Table13[[#This Row],[STR]] / ('Evolved Spider'!$O$8 / 10.8)), 1)</f>
        <v>9</v>
      </c>
      <c r="AF33" s="8">
        <f>CEILING(Arachne!$M$4/ IF(Arachne!$O$4&lt; 10.8, Table13[[#This Row],[STR]], Table13[[#This Row],[STR]] / (Arachne!$O$4 / 10.8)), 1)</f>
        <v>12</v>
      </c>
      <c r="AG33" s="12">
        <f>CEILING('Earth Elemental'!$M$6/ IF('Earth Elemental'!$O$6&lt; 10.8, Table13[[#This Row],[STR]], Table13[[#This Row],[STR]] / ('Earth Elemental'!$O$6 / 10.8)), 1)</f>
        <v>11</v>
      </c>
      <c r="AH33" s="12">
        <f>CEILING('Wind Elemental'!$M$6/ IF('Wind Elemental'!$O$6&lt; 10.8, Table13[[#This Row],[STR]], Table13[[#This Row],[STR]] / ('Wind Elemental'!$O$6 / 10.8)), 1)</f>
        <v>9</v>
      </c>
      <c r="AI33" s="12">
        <f>CEILING('Water Elemental'!$M$6/ IF('Water Elemental'!$O$6&lt; 10.8, Table13[[#This Row],[STR]], Table13[[#This Row],[STR]] / ('Water Elemental'!$O$6 / 10.8)), 1)</f>
        <v>13</v>
      </c>
      <c r="AJ33" s="12">
        <f>CEILING('Fire Elemental'!$M$4/ IF('Fire Elemental'!$O$4&lt; 10.8, Table13[[#This Row],[STR]], Table13[[#This Row],[STR]] / ('Fire Elemental'!$O$4 / 10.8)), 1)</f>
        <v>19</v>
      </c>
      <c r="AK33" s="15">
        <f>CEILING(Wyvern!$M$4/ IF(Wyvern!$O$4&lt; 10.8, Table13[[#This Row],[STR]], Table13[[#This Row],[STR]] / (Wyvern!$O$4 / 10.8)), 1)</f>
        <v>24</v>
      </c>
      <c r="AL33" s="15">
        <f>CEILING('Evolved Wyvern'!$M$4/ IF('Evolved Wyvern'!$O$4&lt; 10.8, Table13[[#This Row],[STR]], Table13[[#This Row],[STR]] / ('Evolved Wyvern'!$O$4 / 10.8)), 1)</f>
        <v>32</v>
      </c>
      <c r="AM33" s="15">
        <f>CEILING(Dragon!$M$4/ IF(Dragon!$O$4&lt; 10.8, Table13[[#This Row],[STR]], Table13[[#This Row],[STR]] / (Dragon!$O$4 / 10.8)), 1)</f>
        <v>53</v>
      </c>
      <c r="AO33" s="8">
        <f>CEILING('Blue Slime'!$Z$5/ IF('Blue Slime'!$X$5&lt; 10.8, Table13[[#This Row],[STR]], Table13[[#This Row],[STR]] / ('Blue Slime'!$X$5 / 10.8)), 1)</f>
        <v>1</v>
      </c>
      <c r="AP33" s="8">
        <f>CEILING('Green Slime'!$Z$5/ IF('Green Slime'!$X$5&lt; 10.8, Table13[[#This Row],[STR]], Table13[[#This Row],[STR]] / ('Green Slime'!$X$5 / 10.8)), 1)</f>
        <v>2</v>
      </c>
      <c r="AQ33" s="8">
        <f>CEILING(Wolf!$Z$6/ IF(Wolf!$X$6&lt; 10.8, Table13[[#This Row],[STR]], Table13[[#This Row],[STR]] / (Wolf!$X$6 / 10.8)), 1)</f>
        <v>4</v>
      </c>
      <c r="AR33" s="8">
        <f>CEILING('Horned Wolf'!$Z$5/ IF('Horned Wolf'!$X$5&lt; 10.8, Table13[[#This Row],[STR]], Table13[[#This Row],[STR]] / ('Horned Wolf'!$X$5 / 10.8)), 1)</f>
        <v>9</v>
      </c>
      <c r="AS33" s="8">
        <f>CEILING(Spider!$Z$7/ IF(Spider!$X$7&lt; 10.8, Table13[[#This Row],[STR]], Table13[[#This Row],[STR]] / (Spider!$X$7 / 10.8)), 1)</f>
        <v>8</v>
      </c>
      <c r="AT33" s="8">
        <f>CEILING('Evolved Spider'!$Z$8/ IF('Evolved Spider'!$X$8&lt; 10.8, Table13[[#This Row],[STR]], Table13[[#This Row],[STR]] / ('Evolved Spider'!$X$8 / 10.8)), 1)</f>
        <v>15</v>
      </c>
      <c r="AU33" s="8">
        <f>CEILING(Arachne!$Z$4/ IF(Arachne!$X$4&lt; 10.8, Table13[[#This Row],[STR]], Table13[[#This Row],[STR]] / (Arachne!$X$4 / 10.8)), 1)</f>
        <v>20</v>
      </c>
      <c r="AV33" s="12">
        <f>CEILING('Earth Elemental'!$Z$6/ IF('Earth Elemental'!$X$6&lt; 10.8, Table13[[#This Row],[STR]], Table13[[#This Row],[STR]] / ('Earth Elemental'!$X$6 / 10.8)), 1)</f>
        <v>17</v>
      </c>
      <c r="AW33" s="12">
        <f>CEILING('Wind Elemental'!$Z$6/ IF('Wind Elemental'!$X$6&lt; 10.8, Table13[[#This Row],[STR]], Table13[[#This Row],[STR]] / ('Wind Elemental'!$X$6 / 10.8)), 1)</f>
        <v>13</v>
      </c>
      <c r="AX33" s="12">
        <f>CEILING('Water Elemental'!$Z$6/ IF('Water Elemental'!$X$6&lt; 10.8, Table13[[#This Row],[STR]], Table13[[#This Row],[STR]] / ('Water Elemental'!$X$6 / 10.8)), 1)</f>
        <v>18</v>
      </c>
      <c r="AY33" s="12">
        <f>CEILING('Fire Elemental'!$Z$4/ IF('Fire Elemental'!$X$4&lt; 10.8, Table13[[#This Row],[STR]], Table13[[#This Row],[STR]] / ('Fire Elemental'!$X$4 / 10.8)), 1)</f>
        <v>29</v>
      </c>
      <c r="AZ33" s="15">
        <f>CEILING(Wyvern!$Z$4/ IF(Wyvern!$X$4&lt; 10.8, Table13[[#This Row],[STR]], Table13[[#This Row],[STR]] / (Wyvern!$X$4 / 10.8)), 1)</f>
        <v>35</v>
      </c>
      <c r="BA33" s="15">
        <f>CEILING('Evolved Wyvern'!$Z$4/ IF('Evolved Wyvern'!$X$4&lt; 10.8, Table13[[#This Row],[STR]], Table13[[#This Row],[STR]] / ('Evolved Wyvern'!$X$4 / 10.8)), 1)</f>
        <v>44</v>
      </c>
      <c r="BB33" s="15">
        <f>CEILING(Dragon!$Z$4/ IF(Dragon!$X$4&lt; 10.8, Table13[[#This Row],[STR]], Table13[[#This Row],[STR]] / (Dragon!$X$4 / 10.8)), 1)</f>
        <v>75</v>
      </c>
    </row>
    <row r="34" spans="1:54" x14ac:dyDescent="0.3">
      <c r="A34" s="1">
        <v>32</v>
      </c>
      <c r="B34" s="1">
        <f>$B$3 + ((Table13[[#This Row],[Level]] / 10) + $B$3 / 8) * Table13[[#This Row],[Level]] + Equipment!$Z$26</f>
        <v>217.4</v>
      </c>
      <c r="C34" s="1">
        <f>2 * Table13[[#This Row],[INT]]</f>
        <v>116</v>
      </c>
      <c r="D34" s="1">
        <f>$D$3 + ($D$3 / 4) * Table13[[#This Row],[Level]] + Equipment!$AA$26</f>
        <v>96</v>
      </c>
      <c r="E34" s="1">
        <f>$E$3 + ($E$3 / 4) * Table13[[#This Row],[Level]] + Equipment!$AB$26</f>
        <v>72</v>
      </c>
      <c r="F34" s="1">
        <f>$F$3 + ($F$3 / 4) * Table13[[#This Row],[Level]] + Equipment!$AC$26</f>
        <v>84</v>
      </c>
      <c r="G34" s="1">
        <f>$G$3 + ($G$3 / 4) * Table13[[#This Row],[Level]] + Equipment!$AD$26</f>
        <v>58</v>
      </c>
      <c r="H34" s="1">
        <f>$H$3 + ($H$3 / 4) * Table13[[#This Row],[Level]] + Equipment!$AE$26</f>
        <v>72</v>
      </c>
      <c r="I34" s="1">
        <f xml:space="preserve"> (4 * (Table13[[#This Row],[Level]] ^ 3))/7 + $I$3</f>
        <v>18824.571428571428</v>
      </c>
      <c r="K34" s="8">
        <f>CEILING('Blue Slime'!$B$5/ IF('Blue Slime'!$D$5&lt; 10.8, Table13[[#This Row],[STR]], Table13[[#This Row],[STR]] / ('Blue Slime'!$D$5 / 10.8)), 1)</f>
        <v>1</v>
      </c>
      <c r="L34" s="8">
        <f>CEILING('Green Slime'!$B$5/ IF('Green Slime'!$D$5&lt; 10.8, Table13[[#This Row],[STR]], Table13[[#This Row],[STR]] / ('Green Slime'!$D$5 / 10.8)), 1)</f>
        <v>1</v>
      </c>
      <c r="M34" s="8">
        <f>CEILING(Wolf!$B$6/ IF(Wolf!$D$6&lt; 10.8, Table13[[#This Row],[STR]], Table13[[#This Row],[STR]] / (Wolf!$D$6 / 10.8)), 1)</f>
        <v>1</v>
      </c>
      <c r="N34" s="8">
        <f>CEILING('Horned Wolf'!$B$5/ IF('Horned Wolf'!$D$5&lt; 10.8, Table13[[#This Row],[STR]], Table13[[#This Row],[STR]] / ('Horned Wolf'!$D$5 / 10.8)), 1)</f>
        <v>3</v>
      </c>
      <c r="O34" s="8">
        <f>CEILING(Spider!$B$7/ IF(Spider!$D$7&lt; 10.8, Table13[[#This Row],[STR]], Table13[[#This Row],[STR]] / (Spider!$D$7 / 10.8)), 1)</f>
        <v>3</v>
      </c>
      <c r="P34" s="8">
        <f>CEILING('Evolved Spider'!$B$8/ IF('Evolved Spider'!$D$8&lt; 10.8, Table13[[#This Row],[STR]], Table13[[#This Row],[STR]] / ('Evolved Spider'!$D$8 / 10.8)), 1)</f>
        <v>5</v>
      </c>
      <c r="Q34" s="8">
        <f>CEILING(Arachne!$B$4/ IF(Arachne!$D$4&lt; 10.8, Table13[[#This Row],[STR]], Table13[[#This Row],[STR]] / (Arachne!$D$4 / 10.8)), 1)</f>
        <v>6</v>
      </c>
      <c r="R34" s="12">
        <f>CEILING('Earth Elemental'!$B$6/ IF('Earth Elemental'!$D$6&lt; 10.8, Table13[[#This Row],[STR]], Table13[[#This Row],[STR]] / ('Earth Elemental'!$D$6 / 10.8)), 1)</f>
        <v>6</v>
      </c>
      <c r="S34" s="12">
        <f>CEILING('Wind Elemental'!$B$6/ IF('Wind Elemental'!$D$6&lt; 10.8, Table13[[#This Row],[STR]], Table13[[#This Row],[STR]] / ('Wind Elemental'!$D$6 / 10.8)), 1)</f>
        <v>6</v>
      </c>
      <c r="T34" s="12">
        <f>CEILING('Water Elemental'!$B$6/ IF('Water Elemental'!$D$6&lt; 10.8, Table13[[#This Row],[STR]], Table13[[#This Row],[STR]] / ('Water Elemental'!$D$6 / 10.8)), 1)</f>
        <v>9</v>
      </c>
      <c r="U34" s="12">
        <f>CEILING('Fire Elemental'!$B$4/ IF('Fire Elemental'!$D$4&lt; 10.8, Table13[[#This Row],[STR]], Table13[[#This Row],[STR]] / ('Fire Elemental'!$D$4 / 10.8)), 1)</f>
        <v>11</v>
      </c>
      <c r="V34" s="15">
        <f>CEILING(Wyvern!$B$4/ IF(Wyvern!$D$4&lt; 10.8, Table13[[#This Row],[STR]], Table13[[#This Row],[STR]] / (Wyvern!$D$4 / 10.8)), 1)</f>
        <v>14</v>
      </c>
      <c r="W34" s="15">
        <f>CEILING('Evolved Wyvern'!$B$4/ IF('Evolved Wyvern'!$D$4&lt; 10.8, Table13[[#This Row],[STR]], Table13[[#This Row],[STR]] / ('Evolved Wyvern'!$D$4 / 10.8)), 1)</f>
        <v>20</v>
      </c>
      <c r="X34" s="15">
        <f>CEILING(Dragon!$B$4/ IF(Dragon!$D$4&lt; 10.8, Table13[[#This Row],[STR]], Table13[[#This Row],[STR]] / (Dragon!$D$4 / 10.8)), 1)</f>
        <v>32</v>
      </c>
      <c r="Z34" s="8">
        <f>CEILING('Blue Slime'!$M$5/ IF('Blue Slime'!$O$5&lt; 10.8, Table13[[#This Row],[STR]], Table13[[#This Row],[STR]] / ('Blue Slime'!$O$5 / 10.8)), 1)</f>
        <v>1</v>
      </c>
      <c r="AA34" s="8">
        <f>CEILING('Green Slime'!$M$5/ IF('Green Slime'!$O$5&lt; 10.8, Table13[[#This Row],[STR]], Table13[[#This Row],[STR]] / ('Green Slime'!$O$5 / 10.8)), 1)</f>
        <v>1</v>
      </c>
      <c r="AB34" s="8">
        <f>CEILING(Wolf!$M$6/ IF(Wolf!$O$6&lt; 10.8, Table13[[#This Row],[STR]], Table13[[#This Row],[STR]] / (Wolf!$O$6 / 10.8)), 1)</f>
        <v>2</v>
      </c>
      <c r="AC34" s="8">
        <f>CEILING('Horned Wolf'!$M$5/ IF('Horned Wolf'!$O$5&lt; 10.8, Table13[[#This Row],[STR]], Table13[[#This Row],[STR]] / ('Horned Wolf'!$O$5 / 10.8)), 1)</f>
        <v>6</v>
      </c>
      <c r="AD34" s="8">
        <f>CEILING(Spider!$M$7/ IF(Spider!$O$7&lt; 10.8, Table13[[#This Row],[STR]], Table13[[#This Row],[STR]] / (Spider!$O$7 / 10.8)), 1)</f>
        <v>5</v>
      </c>
      <c r="AE34" s="8">
        <f>CEILING('Evolved Spider'!$M$8/ IF('Evolved Spider'!$O$8&lt; 10.8, Table13[[#This Row],[STR]], Table13[[#This Row],[STR]] / ('Evolved Spider'!$O$8 / 10.8)), 1)</f>
        <v>9</v>
      </c>
      <c r="AF34" s="8">
        <f>CEILING(Arachne!$M$4/ IF(Arachne!$O$4&lt; 10.8, Table13[[#This Row],[STR]], Table13[[#This Row],[STR]] / (Arachne!$O$4 / 10.8)), 1)</f>
        <v>12</v>
      </c>
      <c r="AG34" s="12">
        <f>CEILING('Earth Elemental'!$M$6/ IF('Earth Elemental'!$O$6&lt; 10.8, Table13[[#This Row],[STR]], Table13[[#This Row],[STR]] / ('Earth Elemental'!$O$6 / 10.8)), 1)</f>
        <v>11</v>
      </c>
      <c r="AH34" s="12">
        <f>CEILING('Wind Elemental'!$M$6/ IF('Wind Elemental'!$O$6&lt; 10.8, Table13[[#This Row],[STR]], Table13[[#This Row],[STR]] / ('Wind Elemental'!$O$6 / 10.8)), 1)</f>
        <v>9</v>
      </c>
      <c r="AI34" s="12">
        <f>CEILING('Water Elemental'!$M$6/ IF('Water Elemental'!$O$6&lt; 10.8, Table13[[#This Row],[STR]], Table13[[#This Row],[STR]] / ('Water Elemental'!$O$6 / 10.8)), 1)</f>
        <v>13</v>
      </c>
      <c r="AJ34" s="12">
        <f>CEILING('Fire Elemental'!$M$4/ IF('Fire Elemental'!$O$4&lt; 10.8, Table13[[#This Row],[STR]], Table13[[#This Row],[STR]] / ('Fire Elemental'!$O$4 / 10.8)), 1)</f>
        <v>19</v>
      </c>
      <c r="AK34" s="15">
        <f>CEILING(Wyvern!$M$4/ IF(Wyvern!$O$4&lt; 10.8, Table13[[#This Row],[STR]], Table13[[#This Row],[STR]] / (Wyvern!$O$4 / 10.8)), 1)</f>
        <v>24</v>
      </c>
      <c r="AL34" s="15">
        <f>CEILING('Evolved Wyvern'!$M$4/ IF('Evolved Wyvern'!$O$4&lt; 10.8, Table13[[#This Row],[STR]], Table13[[#This Row],[STR]] / ('Evolved Wyvern'!$O$4 / 10.8)), 1)</f>
        <v>31</v>
      </c>
      <c r="AM34" s="15">
        <f>CEILING(Dragon!$M$4/ IF(Dragon!$O$4&lt; 10.8, Table13[[#This Row],[STR]], Table13[[#This Row],[STR]] / (Dragon!$O$4 / 10.8)), 1)</f>
        <v>52</v>
      </c>
      <c r="AO34" s="8">
        <f>CEILING('Blue Slime'!$Z$5/ IF('Blue Slime'!$X$5&lt; 10.8, Table13[[#This Row],[STR]], Table13[[#This Row],[STR]] / ('Blue Slime'!$X$5 / 10.8)), 1)</f>
        <v>1</v>
      </c>
      <c r="AP34" s="8">
        <f>CEILING('Green Slime'!$Z$5/ IF('Green Slime'!$X$5&lt; 10.8, Table13[[#This Row],[STR]], Table13[[#This Row],[STR]] / ('Green Slime'!$X$5 / 10.8)), 1)</f>
        <v>2</v>
      </c>
      <c r="AQ34" s="8">
        <f>CEILING(Wolf!$Z$6/ IF(Wolf!$X$6&lt; 10.8, Table13[[#This Row],[STR]], Table13[[#This Row],[STR]] / (Wolf!$X$6 / 10.8)), 1)</f>
        <v>4</v>
      </c>
      <c r="AR34" s="8">
        <f>CEILING('Horned Wolf'!$Z$5/ IF('Horned Wolf'!$X$5&lt; 10.8, Table13[[#This Row],[STR]], Table13[[#This Row],[STR]] / ('Horned Wolf'!$X$5 / 10.8)), 1)</f>
        <v>9</v>
      </c>
      <c r="AS34" s="8">
        <f>CEILING(Spider!$Z$7/ IF(Spider!$X$7&lt; 10.8, Table13[[#This Row],[STR]], Table13[[#This Row],[STR]] / (Spider!$X$7 / 10.8)), 1)</f>
        <v>8</v>
      </c>
      <c r="AT34" s="8">
        <f>CEILING('Evolved Spider'!$Z$8/ IF('Evolved Spider'!$X$8&lt; 10.8, Table13[[#This Row],[STR]], Table13[[#This Row],[STR]] / ('Evolved Spider'!$X$8 / 10.8)), 1)</f>
        <v>14</v>
      </c>
      <c r="AU34" s="8">
        <f>CEILING(Arachne!$Z$4/ IF(Arachne!$X$4&lt; 10.8, Table13[[#This Row],[STR]], Table13[[#This Row],[STR]] / (Arachne!$X$4 / 10.8)), 1)</f>
        <v>20</v>
      </c>
      <c r="AV34" s="12">
        <f>CEILING('Earth Elemental'!$Z$6/ IF('Earth Elemental'!$X$6&lt; 10.8, Table13[[#This Row],[STR]], Table13[[#This Row],[STR]] / ('Earth Elemental'!$X$6 / 10.8)), 1)</f>
        <v>16</v>
      </c>
      <c r="AW34" s="12">
        <f>CEILING('Wind Elemental'!$Z$6/ IF('Wind Elemental'!$X$6&lt; 10.8, Table13[[#This Row],[STR]], Table13[[#This Row],[STR]] / ('Wind Elemental'!$X$6 / 10.8)), 1)</f>
        <v>13</v>
      </c>
      <c r="AX34" s="12">
        <f>CEILING('Water Elemental'!$Z$6/ IF('Water Elemental'!$X$6&lt; 10.8, Table13[[#This Row],[STR]], Table13[[#This Row],[STR]] / ('Water Elemental'!$X$6 / 10.8)), 1)</f>
        <v>17</v>
      </c>
      <c r="AY34" s="12">
        <f>CEILING('Fire Elemental'!$Z$4/ IF('Fire Elemental'!$X$4&lt; 10.8, Table13[[#This Row],[STR]], Table13[[#This Row],[STR]] / ('Fire Elemental'!$X$4 / 10.8)), 1)</f>
        <v>28</v>
      </c>
      <c r="AZ34" s="15">
        <f>CEILING(Wyvern!$Z$4/ IF(Wyvern!$X$4&lt; 10.8, Table13[[#This Row],[STR]], Table13[[#This Row],[STR]] / (Wyvern!$X$4 / 10.8)), 1)</f>
        <v>34</v>
      </c>
      <c r="BA34" s="15">
        <f>CEILING('Evolved Wyvern'!$Z$4/ IF('Evolved Wyvern'!$X$4&lt; 10.8, Table13[[#This Row],[STR]], Table13[[#This Row],[STR]] / ('Evolved Wyvern'!$X$4 / 10.8)), 1)</f>
        <v>44</v>
      </c>
      <c r="BB34" s="15">
        <f>CEILING(Dragon!$Z$4/ IF(Dragon!$X$4&lt; 10.8, Table13[[#This Row],[STR]], Table13[[#This Row],[STR]] / (Dragon!$X$4 / 10.8)), 1)</f>
        <v>73</v>
      </c>
    </row>
    <row r="35" spans="1:54" x14ac:dyDescent="0.3">
      <c r="A35" s="1">
        <v>33</v>
      </c>
      <c r="B35" s="1">
        <f>$B$3 + ((Table13[[#This Row],[Level]] / 10) + $B$3 / 8) * Table13[[#This Row],[Level]] + Equipment!$Z$26</f>
        <v>225.65</v>
      </c>
      <c r="C35" s="1">
        <f>2 * Table13[[#This Row],[INT]]</f>
        <v>118.5</v>
      </c>
      <c r="D35" s="1">
        <f>$D$3 + ($D$3 / 4) * Table13[[#This Row],[Level]] + Equipment!$AA$26</f>
        <v>98</v>
      </c>
      <c r="E35" s="1">
        <f>$E$3 + ($E$3 / 4) * Table13[[#This Row],[Level]] + Equipment!$AB$26</f>
        <v>73.5</v>
      </c>
      <c r="F35" s="1">
        <f>$F$3 + ($F$3 / 4) * Table13[[#This Row],[Level]] + Equipment!$AC$26</f>
        <v>85.75</v>
      </c>
      <c r="G35" s="1">
        <f>$G$3 + ($G$3 / 4) * Table13[[#This Row],[Level]] + Equipment!$AD$26</f>
        <v>59.25</v>
      </c>
      <c r="H35" s="1">
        <f>$H$3 + ($H$3 / 4) * Table13[[#This Row],[Level]] + Equipment!$AE$26</f>
        <v>73.5</v>
      </c>
      <c r="I35" s="1">
        <f xml:space="preserve"> (4 * (Table13[[#This Row],[Level]] ^ 3))/7 + $I$3</f>
        <v>20635.428571428572</v>
      </c>
      <c r="K35" s="8">
        <f>CEILING('Blue Slime'!$B$5/ IF('Blue Slime'!$D$5&lt; 10.8, Table13[[#This Row],[STR]], Table13[[#This Row],[STR]] / ('Blue Slime'!$D$5 / 10.8)), 1)</f>
        <v>1</v>
      </c>
      <c r="L35" s="8">
        <f>CEILING('Green Slime'!$B$5/ IF('Green Slime'!$D$5&lt; 10.8, Table13[[#This Row],[STR]], Table13[[#This Row],[STR]] / ('Green Slime'!$D$5 / 10.8)), 1)</f>
        <v>1</v>
      </c>
      <c r="M35" s="8">
        <f>CEILING(Wolf!$B$6/ IF(Wolf!$D$6&lt; 10.8, Table13[[#This Row],[STR]], Table13[[#This Row],[STR]] / (Wolf!$D$6 / 10.8)), 1)</f>
        <v>1</v>
      </c>
      <c r="N35" s="8">
        <f>CEILING('Horned Wolf'!$B$5/ IF('Horned Wolf'!$D$5&lt; 10.8, Table13[[#This Row],[STR]], Table13[[#This Row],[STR]] / ('Horned Wolf'!$D$5 / 10.8)), 1)</f>
        <v>3</v>
      </c>
      <c r="O35" s="8">
        <f>CEILING(Spider!$B$7/ IF(Spider!$D$7&lt; 10.8, Table13[[#This Row],[STR]], Table13[[#This Row],[STR]] / (Spider!$D$7 / 10.8)), 1)</f>
        <v>3</v>
      </c>
      <c r="P35" s="8">
        <f>CEILING('Evolved Spider'!$B$8/ IF('Evolved Spider'!$D$8&lt; 10.8, Table13[[#This Row],[STR]], Table13[[#This Row],[STR]] / ('Evolved Spider'!$D$8 / 10.8)), 1)</f>
        <v>5</v>
      </c>
      <c r="Q35" s="8">
        <f>CEILING(Arachne!$B$4/ IF(Arachne!$D$4&lt; 10.8, Table13[[#This Row],[STR]], Table13[[#This Row],[STR]] / (Arachne!$D$4 / 10.8)), 1)</f>
        <v>6</v>
      </c>
      <c r="R35" s="12">
        <f>CEILING('Earth Elemental'!$B$6/ IF('Earth Elemental'!$D$6&lt; 10.8, Table13[[#This Row],[STR]], Table13[[#This Row],[STR]] / ('Earth Elemental'!$D$6 / 10.8)), 1)</f>
        <v>6</v>
      </c>
      <c r="S35" s="12">
        <f>CEILING('Wind Elemental'!$B$6/ IF('Wind Elemental'!$D$6&lt; 10.8, Table13[[#This Row],[STR]], Table13[[#This Row],[STR]] / ('Wind Elemental'!$D$6 / 10.8)), 1)</f>
        <v>6</v>
      </c>
      <c r="T35" s="12">
        <f>CEILING('Water Elemental'!$B$6/ IF('Water Elemental'!$D$6&lt; 10.8, Table13[[#This Row],[STR]], Table13[[#This Row],[STR]] / ('Water Elemental'!$D$6 / 10.8)), 1)</f>
        <v>8</v>
      </c>
      <c r="U35" s="12">
        <f>CEILING('Fire Elemental'!$B$4/ IF('Fire Elemental'!$D$4&lt; 10.8, Table13[[#This Row],[STR]], Table13[[#This Row],[STR]] / ('Fire Elemental'!$D$4 / 10.8)), 1)</f>
        <v>11</v>
      </c>
      <c r="V35" s="15">
        <f>CEILING(Wyvern!$B$4/ IF(Wyvern!$D$4&lt; 10.8, Table13[[#This Row],[STR]], Table13[[#This Row],[STR]] / (Wyvern!$D$4 / 10.8)), 1)</f>
        <v>14</v>
      </c>
      <c r="W35" s="15">
        <f>CEILING('Evolved Wyvern'!$B$4/ IF('Evolved Wyvern'!$D$4&lt; 10.8, Table13[[#This Row],[STR]], Table13[[#This Row],[STR]] / ('Evolved Wyvern'!$D$4 / 10.8)), 1)</f>
        <v>19</v>
      </c>
      <c r="X35" s="15">
        <f>CEILING(Dragon!$B$4/ IF(Dragon!$D$4&lt; 10.8, Table13[[#This Row],[STR]], Table13[[#This Row],[STR]] / (Dragon!$D$4 / 10.8)), 1)</f>
        <v>32</v>
      </c>
      <c r="Z35" s="8">
        <f>CEILING('Blue Slime'!$M$5/ IF('Blue Slime'!$O$5&lt; 10.8, Table13[[#This Row],[STR]], Table13[[#This Row],[STR]] / ('Blue Slime'!$O$5 / 10.8)), 1)</f>
        <v>1</v>
      </c>
      <c r="AA35" s="8">
        <f>CEILING('Green Slime'!$M$5/ IF('Green Slime'!$O$5&lt; 10.8, Table13[[#This Row],[STR]], Table13[[#This Row],[STR]] / ('Green Slime'!$O$5 / 10.8)), 1)</f>
        <v>1</v>
      </c>
      <c r="AB35" s="8">
        <f>CEILING(Wolf!$M$6/ IF(Wolf!$O$6&lt; 10.8, Table13[[#This Row],[STR]], Table13[[#This Row],[STR]] / (Wolf!$O$6 / 10.8)), 1)</f>
        <v>2</v>
      </c>
      <c r="AC35" s="8">
        <f>CEILING('Horned Wolf'!$M$5/ IF('Horned Wolf'!$O$5&lt; 10.8, Table13[[#This Row],[STR]], Table13[[#This Row],[STR]] / ('Horned Wolf'!$O$5 / 10.8)), 1)</f>
        <v>5</v>
      </c>
      <c r="AD35" s="8">
        <f>CEILING(Spider!$M$7/ IF(Spider!$O$7&lt; 10.8, Table13[[#This Row],[STR]], Table13[[#This Row],[STR]] / (Spider!$O$7 / 10.8)), 1)</f>
        <v>5</v>
      </c>
      <c r="AE35" s="8">
        <f>CEILING('Evolved Spider'!$M$8/ IF('Evolved Spider'!$O$8&lt; 10.8, Table13[[#This Row],[STR]], Table13[[#This Row],[STR]] / ('Evolved Spider'!$O$8 / 10.8)), 1)</f>
        <v>9</v>
      </c>
      <c r="AF35" s="8">
        <f>CEILING(Arachne!$M$4/ IF(Arachne!$O$4&lt; 10.8, Table13[[#This Row],[STR]], Table13[[#This Row],[STR]] / (Arachne!$O$4 / 10.8)), 1)</f>
        <v>12</v>
      </c>
      <c r="AG35" s="12">
        <f>CEILING('Earth Elemental'!$M$6/ IF('Earth Elemental'!$O$6&lt; 10.8, Table13[[#This Row],[STR]], Table13[[#This Row],[STR]] / ('Earth Elemental'!$O$6 / 10.8)), 1)</f>
        <v>11</v>
      </c>
      <c r="AH35" s="12">
        <f>CEILING('Wind Elemental'!$M$6/ IF('Wind Elemental'!$O$6&lt; 10.8, Table13[[#This Row],[STR]], Table13[[#This Row],[STR]] / ('Wind Elemental'!$O$6 / 10.8)), 1)</f>
        <v>9</v>
      </c>
      <c r="AI35" s="12">
        <f>CEILING('Water Elemental'!$M$6/ IF('Water Elemental'!$O$6&lt; 10.8, Table13[[#This Row],[STR]], Table13[[#This Row],[STR]] / ('Water Elemental'!$O$6 / 10.8)), 1)</f>
        <v>13</v>
      </c>
      <c r="AJ35" s="12">
        <f>CEILING('Fire Elemental'!$M$4/ IF('Fire Elemental'!$O$4&lt; 10.8, Table13[[#This Row],[STR]], Table13[[#This Row],[STR]] / ('Fire Elemental'!$O$4 / 10.8)), 1)</f>
        <v>18</v>
      </c>
      <c r="AK35" s="15">
        <f>CEILING(Wyvern!$M$4/ IF(Wyvern!$O$4&lt; 10.8, Table13[[#This Row],[STR]], Table13[[#This Row],[STR]] / (Wyvern!$O$4 / 10.8)), 1)</f>
        <v>23</v>
      </c>
      <c r="AL35" s="15">
        <f>CEILING('Evolved Wyvern'!$M$4/ IF('Evolved Wyvern'!$O$4&lt; 10.8, Table13[[#This Row],[STR]], Table13[[#This Row],[STR]] / ('Evolved Wyvern'!$O$4 / 10.8)), 1)</f>
        <v>30</v>
      </c>
      <c r="AM35" s="15">
        <f>CEILING(Dragon!$M$4/ IF(Dragon!$O$4&lt; 10.8, Table13[[#This Row],[STR]], Table13[[#This Row],[STR]] / (Dragon!$O$4 / 10.8)), 1)</f>
        <v>51</v>
      </c>
      <c r="AO35" s="8">
        <f>CEILING('Blue Slime'!$Z$5/ IF('Blue Slime'!$X$5&lt; 10.8, Table13[[#This Row],[STR]], Table13[[#This Row],[STR]] / ('Blue Slime'!$X$5 / 10.8)), 1)</f>
        <v>1</v>
      </c>
      <c r="AP35" s="8">
        <f>CEILING('Green Slime'!$Z$5/ IF('Green Slime'!$X$5&lt; 10.8, Table13[[#This Row],[STR]], Table13[[#This Row],[STR]] / ('Green Slime'!$X$5 / 10.8)), 1)</f>
        <v>2</v>
      </c>
      <c r="AQ35" s="8">
        <f>CEILING(Wolf!$Z$6/ IF(Wolf!$X$6&lt; 10.8, Table13[[#This Row],[STR]], Table13[[#This Row],[STR]] / (Wolf!$X$6 / 10.8)), 1)</f>
        <v>4</v>
      </c>
      <c r="AR35" s="8">
        <f>CEILING('Horned Wolf'!$Z$5/ IF('Horned Wolf'!$X$5&lt; 10.8, Table13[[#This Row],[STR]], Table13[[#This Row],[STR]] / ('Horned Wolf'!$X$5 / 10.8)), 1)</f>
        <v>9</v>
      </c>
      <c r="AS35" s="8">
        <f>CEILING(Spider!$Z$7/ IF(Spider!$X$7&lt; 10.8, Table13[[#This Row],[STR]], Table13[[#This Row],[STR]] / (Spider!$X$7 / 10.8)), 1)</f>
        <v>8</v>
      </c>
      <c r="AT35" s="8">
        <f>CEILING('Evolved Spider'!$Z$8/ IF('Evolved Spider'!$X$8&lt; 10.8, Table13[[#This Row],[STR]], Table13[[#This Row],[STR]] / ('Evolved Spider'!$X$8 / 10.8)), 1)</f>
        <v>14</v>
      </c>
      <c r="AU35" s="8">
        <f>CEILING(Arachne!$Z$4/ IF(Arachne!$X$4&lt; 10.8, Table13[[#This Row],[STR]], Table13[[#This Row],[STR]] / (Arachne!$X$4 / 10.8)), 1)</f>
        <v>19</v>
      </c>
      <c r="AV35" s="12">
        <f>CEILING('Earth Elemental'!$Z$6/ IF('Earth Elemental'!$X$6&lt; 10.8, Table13[[#This Row],[STR]], Table13[[#This Row],[STR]] / ('Earth Elemental'!$X$6 / 10.8)), 1)</f>
        <v>16</v>
      </c>
      <c r="AW35" s="12">
        <f>CEILING('Wind Elemental'!$Z$6/ IF('Wind Elemental'!$X$6&lt; 10.8, Table13[[#This Row],[STR]], Table13[[#This Row],[STR]] / ('Wind Elemental'!$X$6 / 10.8)), 1)</f>
        <v>13</v>
      </c>
      <c r="AX35" s="12">
        <f>CEILING('Water Elemental'!$Z$6/ IF('Water Elemental'!$X$6&lt; 10.8, Table13[[#This Row],[STR]], Table13[[#This Row],[STR]] / ('Water Elemental'!$X$6 / 10.8)), 1)</f>
        <v>17</v>
      </c>
      <c r="AY35" s="12">
        <f>CEILING('Fire Elemental'!$Z$4/ IF('Fire Elemental'!$X$4&lt; 10.8, Table13[[#This Row],[STR]], Table13[[#This Row],[STR]] / ('Fire Elemental'!$X$4 / 10.8)), 1)</f>
        <v>28</v>
      </c>
      <c r="AZ35" s="15">
        <f>CEILING(Wyvern!$Z$4/ IF(Wyvern!$X$4&lt; 10.8, Table13[[#This Row],[STR]], Table13[[#This Row],[STR]] / (Wyvern!$X$4 / 10.8)), 1)</f>
        <v>33</v>
      </c>
      <c r="BA35" s="15">
        <f>CEILING('Evolved Wyvern'!$Z$4/ IF('Evolved Wyvern'!$X$4&lt; 10.8, Table13[[#This Row],[STR]], Table13[[#This Row],[STR]] / ('Evolved Wyvern'!$X$4 / 10.8)), 1)</f>
        <v>43</v>
      </c>
      <c r="BB35" s="15">
        <f>CEILING(Dragon!$Z$4/ IF(Dragon!$X$4&lt; 10.8, Table13[[#This Row],[STR]], Table13[[#This Row],[STR]] / (Dragon!$X$4 / 10.8)), 1)</f>
        <v>72</v>
      </c>
    </row>
    <row r="36" spans="1:54" x14ac:dyDescent="0.3">
      <c r="A36" s="30">
        <v>34</v>
      </c>
      <c r="B36" s="30">
        <f>$B$3 + ((Table13[[#This Row],[Level]] / 10) + $B$3 / 8) * Table13[[#This Row],[Level]] + Equipment!$Z$26</f>
        <v>234.10000000000002</v>
      </c>
      <c r="C36" s="30">
        <f>2 * Table13[[#This Row],[INT]]</f>
        <v>121</v>
      </c>
      <c r="D36" s="30">
        <f>$D$3 + ($D$3 / 4) * Table13[[#This Row],[Level]] + Equipment!$AA$26</f>
        <v>100</v>
      </c>
      <c r="E36" s="30">
        <f>$E$3 + ($E$3 / 4) * Table13[[#This Row],[Level]] + Equipment!$AB$26</f>
        <v>75</v>
      </c>
      <c r="F36" s="30">
        <f>$F$3 + ($F$3 / 4) * Table13[[#This Row],[Level]] + Equipment!$AC$26</f>
        <v>87.5</v>
      </c>
      <c r="G36" s="30">
        <f>$G$3 + ($G$3 / 4) * Table13[[#This Row],[Level]] + Equipment!$AD$26</f>
        <v>60.5</v>
      </c>
      <c r="H36" s="30">
        <f>$H$3 + ($H$3 / 4) * Table13[[#This Row],[Level]] + Equipment!$AE$26</f>
        <v>75</v>
      </c>
      <c r="I36" s="30">
        <f xml:space="preserve"> (4 * (Table13[[#This Row],[Level]] ^ 3))/7 + $I$3</f>
        <v>22559.428571428572</v>
      </c>
      <c r="K36" s="8">
        <f>CEILING('Blue Slime'!$B$5/ IF('Blue Slime'!$D$5&lt; 10.8, Table13[[#This Row],[STR]], Table13[[#This Row],[STR]] / ('Blue Slime'!$D$5 / 10.8)), 1)</f>
        <v>1</v>
      </c>
      <c r="L36" s="8">
        <f>CEILING('Green Slime'!$B$5/ IF('Green Slime'!$D$5&lt; 10.8, Table13[[#This Row],[STR]], Table13[[#This Row],[STR]] / ('Green Slime'!$D$5 / 10.8)), 1)</f>
        <v>1</v>
      </c>
      <c r="M36" s="8">
        <f>CEILING(Wolf!$B$6/ IF(Wolf!$D$6&lt; 10.8, Table13[[#This Row],[STR]], Table13[[#This Row],[STR]] / (Wolf!$D$6 / 10.8)), 1)</f>
        <v>1</v>
      </c>
      <c r="N36" s="8">
        <f>CEILING('Horned Wolf'!$B$5/ IF('Horned Wolf'!$D$5&lt; 10.8, Table13[[#This Row],[STR]], Table13[[#This Row],[STR]] / ('Horned Wolf'!$D$5 / 10.8)), 1)</f>
        <v>3</v>
      </c>
      <c r="O36" s="8">
        <f>CEILING(Spider!$B$7/ IF(Spider!$D$7&lt; 10.8, Table13[[#This Row],[STR]], Table13[[#This Row],[STR]] / (Spider!$D$7 / 10.8)), 1)</f>
        <v>3</v>
      </c>
      <c r="P36" s="8">
        <f>CEILING('Evolved Spider'!$B$8/ IF('Evolved Spider'!$D$8&lt; 10.8, Table13[[#This Row],[STR]], Table13[[#This Row],[STR]] / ('Evolved Spider'!$D$8 / 10.8)), 1)</f>
        <v>5</v>
      </c>
      <c r="Q36" s="8">
        <f>CEILING(Arachne!$B$4/ IF(Arachne!$D$4&lt; 10.8, Table13[[#This Row],[STR]], Table13[[#This Row],[STR]] / (Arachne!$D$4 / 10.8)), 1)</f>
        <v>6</v>
      </c>
      <c r="R36" s="12">
        <f>CEILING('Earth Elemental'!$B$6/ IF('Earth Elemental'!$D$6&lt; 10.8, Table13[[#This Row],[STR]], Table13[[#This Row],[STR]] / ('Earth Elemental'!$D$6 / 10.8)), 1)</f>
        <v>6</v>
      </c>
      <c r="S36" s="12">
        <f>CEILING('Wind Elemental'!$B$6/ IF('Wind Elemental'!$D$6&lt; 10.8, Table13[[#This Row],[STR]], Table13[[#This Row],[STR]] / ('Wind Elemental'!$D$6 / 10.8)), 1)</f>
        <v>6</v>
      </c>
      <c r="T36" s="12">
        <f>CEILING('Water Elemental'!$B$6/ IF('Water Elemental'!$D$6&lt; 10.8, Table13[[#This Row],[STR]], Table13[[#This Row],[STR]] / ('Water Elemental'!$D$6 / 10.8)), 1)</f>
        <v>8</v>
      </c>
      <c r="U36" s="12">
        <f>CEILING('Fire Elemental'!$B$4/ IF('Fire Elemental'!$D$4&lt; 10.8, Table13[[#This Row],[STR]], Table13[[#This Row],[STR]] / ('Fire Elemental'!$D$4 / 10.8)), 1)</f>
        <v>10</v>
      </c>
      <c r="V36" s="15">
        <f>CEILING(Wyvern!$B$4/ IF(Wyvern!$D$4&lt; 10.8, Table13[[#This Row],[STR]], Table13[[#This Row],[STR]] / (Wyvern!$D$4 / 10.8)), 1)</f>
        <v>14</v>
      </c>
      <c r="W36" s="15">
        <f>CEILING('Evolved Wyvern'!$B$4/ IF('Evolved Wyvern'!$D$4&lt; 10.8, Table13[[#This Row],[STR]], Table13[[#This Row],[STR]] / ('Evolved Wyvern'!$D$4 / 10.8)), 1)</f>
        <v>19</v>
      </c>
      <c r="X36" s="15">
        <f>CEILING(Dragon!$B$4/ IF(Dragon!$D$4&lt; 10.8, Table13[[#This Row],[STR]], Table13[[#This Row],[STR]] / (Dragon!$D$4 / 10.8)), 1)</f>
        <v>31</v>
      </c>
      <c r="Z36" s="8">
        <f>CEILING('Blue Slime'!$M$5/ IF('Blue Slime'!$O$5&lt; 10.8, Table13[[#This Row],[STR]], Table13[[#This Row],[STR]] / ('Blue Slime'!$O$5 / 10.8)), 1)</f>
        <v>1</v>
      </c>
      <c r="AA36" s="8">
        <f>CEILING('Green Slime'!$M$5/ IF('Green Slime'!$O$5&lt; 10.8, Table13[[#This Row],[STR]], Table13[[#This Row],[STR]] / ('Green Slime'!$O$5 / 10.8)), 1)</f>
        <v>1</v>
      </c>
      <c r="AB36" s="8">
        <f>CEILING(Wolf!$M$6/ IF(Wolf!$O$6&lt; 10.8, Table13[[#This Row],[STR]], Table13[[#This Row],[STR]] / (Wolf!$O$6 / 10.8)), 1)</f>
        <v>2</v>
      </c>
      <c r="AC36" s="8">
        <f>CEILING('Horned Wolf'!$M$5/ IF('Horned Wolf'!$O$5&lt; 10.8, Table13[[#This Row],[STR]], Table13[[#This Row],[STR]] / ('Horned Wolf'!$O$5 / 10.8)), 1)</f>
        <v>5</v>
      </c>
      <c r="AD36" s="8">
        <f>CEILING(Spider!$M$7/ IF(Spider!$O$7&lt; 10.8, Table13[[#This Row],[STR]], Table13[[#This Row],[STR]] / (Spider!$O$7 / 10.8)), 1)</f>
        <v>5</v>
      </c>
      <c r="AE36" s="8">
        <f>CEILING('Evolved Spider'!$M$8/ IF('Evolved Spider'!$O$8&lt; 10.8, Table13[[#This Row],[STR]], Table13[[#This Row],[STR]] / ('Evolved Spider'!$O$8 / 10.8)), 1)</f>
        <v>9</v>
      </c>
      <c r="AF36" s="8">
        <f>CEILING(Arachne!$M$4/ IF(Arachne!$O$4&lt; 10.8, Table13[[#This Row],[STR]], Table13[[#This Row],[STR]] / (Arachne!$O$4 / 10.8)), 1)</f>
        <v>12</v>
      </c>
      <c r="AG36" s="12">
        <f>CEILING('Earth Elemental'!$M$6/ IF('Earth Elemental'!$O$6&lt; 10.8, Table13[[#This Row],[STR]], Table13[[#This Row],[STR]] / ('Earth Elemental'!$O$6 / 10.8)), 1)</f>
        <v>11</v>
      </c>
      <c r="AH36" s="12">
        <f>CEILING('Wind Elemental'!$M$6/ IF('Wind Elemental'!$O$6&lt; 10.8, Table13[[#This Row],[STR]], Table13[[#This Row],[STR]] / ('Wind Elemental'!$O$6 / 10.8)), 1)</f>
        <v>9</v>
      </c>
      <c r="AI36" s="12">
        <f>CEILING('Water Elemental'!$M$6/ IF('Water Elemental'!$O$6&lt; 10.8, Table13[[#This Row],[STR]], Table13[[#This Row],[STR]] / ('Water Elemental'!$O$6 / 10.8)), 1)</f>
        <v>12</v>
      </c>
      <c r="AJ36" s="12">
        <f>CEILING('Fire Elemental'!$M$4/ IF('Fire Elemental'!$O$4&lt; 10.8, Table13[[#This Row],[STR]], Table13[[#This Row],[STR]] / ('Fire Elemental'!$O$4 / 10.8)), 1)</f>
        <v>18</v>
      </c>
      <c r="AK36" s="15">
        <f>CEILING(Wyvern!$M$4/ IF(Wyvern!$O$4&lt; 10.8, Table13[[#This Row],[STR]], Table13[[#This Row],[STR]] / (Wyvern!$O$4 / 10.8)), 1)</f>
        <v>23</v>
      </c>
      <c r="AL36" s="15">
        <f>CEILING('Evolved Wyvern'!$M$4/ IF('Evolved Wyvern'!$O$4&lt; 10.8, Table13[[#This Row],[STR]], Table13[[#This Row],[STR]] / ('Evolved Wyvern'!$O$4 / 10.8)), 1)</f>
        <v>30</v>
      </c>
      <c r="AM36" s="15">
        <f>CEILING(Dragon!$M$4/ IF(Dragon!$O$4&lt; 10.8, Table13[[#This Row],[STR]], Table13[[#This Row],[STR]] / (Dragon!$O$4 / 10.8)), 1)</f>
        <v>50</v>
      </c>
      <c r="AO36" s="8">
        <f>CEILING('Blue Slime'!$Z$5/ IF('Blue Slime'!$X$5&lt; 10.8, Table13[[#This Row],[STR]], Table13[[#This Row],[STR]] / ('Blue Slime'!$X$5 / 10.8)), 1)</f>
        <v>1</v>
      </c>
      <c r="AP36" s="8">
        <f>CEILING('Green Slime'!$Z$5/ IF('Green Slime'!$X$5&lt; 10.8, Table13[[#This Row],[STR]], Table13[[#This Row],[STR]] / ('Green Slime'!$X$5 / 10.8)), 1)</f>
        <v>2</v>
      </c>
      <c r="AQ36" s="8">
        <f>CEILING(Wolf!$Z$6/ IF(Wolf!$X$6&lt; 10.8, Table13[[#This Row],[STR]], Table13[[#This Row],[STR]] / (Wolf!$X$6 / 10.8)), 1)</f>
        <v>3</v>
      </c>
      <c r="AR36" s="8">
        <f>CEILING('Horned Wolf'!$Z$5/ IF('Horned Wolf'!$X$5&lt; 10.8, Table13[[#This Row],[STR]], Table13[[#This Row],[STR]] / ('Horned Wolf'!$X$5 / 10.8)), 1)</f>
        <v>9</v>
      </c>
      <c r="AS36" s="8">
        <f>CEILING(Spider!$Z$7/ IF(Spider!$X$7&lt; 10.8, Table13[[#This Row],[STR]], Table13[[#This Row],[STR]] / (Spider!$X$7 / 10.8)), 1)</f>
        <v>8</v>
      </c>
      <c r="AT36" s="8">
        <f>CEILING('Evolved Spider'!$Z$8/ IF('Evolved Spider'!$X$8&lt; 10.8, Table13[[#This Row],[STR]], Table13[[#This Row],[STR]] / ('Evolved Spider'!$X$8 / 10.8)), 1)</f>
        <v>14</v>
      </c>
      <c r="AU36" s="8">
        <f>CEILING(Arachne!$Z$4/ IF(Arachne!$X$4&lt; 10.8, Table13[[#This Row],[STR]], Table13[[#This Row],[STR]] / (Arachne!$X$4 / 10.8)), 1)</f>
        <v>19</v>
      </c>
      <c r="AV36" s="12">
        <f>CEILING('Earth Elemental'!$Z$6/ IF('Earth Elemental'!$X$6&lt; 10.8, Table13[[#This Row],[STR]], Table13[[#This Row],[STR]] / ('Earth Elemental'!$X$6 / 10.8)), 1)</f>
        <v>16</v>
      </c>
      <c r="AW36" s="12">
        <f>CEILING('Wind Elemental'!$Z$6/ IF('Wind Elemental'!$X$6&lt; 10.8, Table13[[#This Row],[STR]], Table13[[#This Row],[STR]] / ('Wind Elemental'!$X$6 / 10.8)), 1)</f>
        <v>12</v>
      </c>
      <c r="AX36" s="12">
        <f>CEILING('Water Elemental'!$Z$6/ IF('Water Elemental'!$X$6&lt; 10.8, Table13[[#This Row],[STR]], Table13[[#This Row],[STR]] / ('Water Elemental'!$X$6 / 10.8)), 1)</f>
        <v>17</v>
      </c>
      <c r="AY36" s="12">
        <f>CEILING('Fire Elemental'!$Z$4/ IF('Fire Elemental'!$X$4&lt; 10.8, Table13[[#This Row],[STR]], Table13[[#This Row],[STR]] / ('Fire Elemental'!$X$4 / 10.8)), 1)</f>
        <v>27</v>
      </c>
      <c r="AZ36" s="15">
        <f>CEILING(Wyvern!$Z$4/ IF(Wyvern!$X$4&lt; 10.8, Table13[[#This Row],[STR]], Table13[[#This Row],[STR]] / (Wyvern!$X$4 / 10.8)), 1)</f>
        <v>33</v>
      </c>
      <c r="BA36" s="15">
        <f>CEILING('Evolved Wyvern'!$Z$4/ IF('Evolved Wyvern'!$X$4&lt; 10.8, Table13[[#This Row],[STR]], Table13[[#This Row],[STR]] / ('Evolved Wyvern'!$X$4 / 10.8)), 1)</f>
        <v>42</v>
      </c>
      <c r="BB36" s="15">
        <f>CEILING(Dragon!$Z$4/ IF(Dragon!$X$4&lt; 10.8, Table13[[#This Row],[STR]], Table13[[#This Row],[STR]] / (Dragon!$X$4 / 10.8)), 1)</f>
        <v>70</v>
      </c>
    </row>
    <row r="37" spans="1:54" x14ac:dyDescent="0.3">
      <c r="A37" s="1">
        <v>35</v>
      </c>
      <c r="B37" s="1">
        <f>$B$3 + ((Table13[[#This Row],[Level]] / 10) + $B$3 / 8) * Table13[[#This Row],[Level]] + Equipment!$Z$34</f>
        <v>275.75</v>
      </c>
      <c r="C37" s="1">
        <f>2 * Table13[[#This Row],[INT]]</f>
        <v>139.5</v>
      </c>
      <c r="D37" s="1">
        <f>$D$3 + ($D$3 / 4) * Table13[[#This Row],[Level]] + Equipment!$AA$34</f>
        <v>112</v>
      </c>
      <c r="E37" s="1">
        <f>$E$3 + ($E$3 / 4) * Table13[[#This Row],[Level]] + Equipment!$AB$34</f>
        <v>84.5</v>
      </c>
      <c r="F37" s="1">
        <f>$F$3 + ($F$3 / 4) * Table13[[#This Row],[Level]] + Equipment!$AC$34</f>
        <v>98.25</v>
      </c>
      <c r="G37" s="1">
        <f>$G$3 + ($G$3 / 4) * Table13[[#This Row],[Level]] + Equipment!$AD$34</f>
        <v>69.75</v>
      </c>
      <c r="H37" s="1">
        <f>$H$3 + ($H$3 / 4) * Table13[[#This Row],[Level]] + Equipment!$AE$34</f>
        <v>84.5</v>
      </c>
      <c r="I37" s="1">
        <f xml:space="preserve"> (4 * (Table13[[#This Row],[Level]] ^ 3))/7 + $I$3</f>
        <v>24600</v>
      </c>
      <c r="K37" s="8">
        <f>CEILING('Blue Slime'!$B$5/ IF('Blue Slime'!$D$5&lt; 10.8, Table13[[#This Row],[STR]], Table13[[#This Row],[STR]] / ('Blue Slime'!$D$5 / 10.8)), 1)</f>
        <v>1</v>
      </c>
      <c r="L37" s="8">
        <f>CEILING('Green Slime'!$B$5/ IF('Green Slime'!$D$5&lt; 10.8, Table13[[#This Row],[STR]], Table13[[#This Row],[STR]] / ('Green Slime'!$D$5 / 10.8)), 1)</f>
        <v>1</v>
      </c>
      <c r="M37" s="8">
        <f>CEILING(Wolf!$B$6/ IF(Wolf!$D$6&lt; 10.8, Table13[[#This Row],[STR]], Table13[[#This Row],[STR]] / (Wolf!$D$6 / 10.8)), 1)</f>
        <v>1</v>
      </c>
      <c r="N37" s="8">
        <f>CEILING('Horned Wolf'!$B$5/ IF('Horned Wolf'!$D$5&lt; 10.8, Table13[[#This Row],[STR]], Table13[[#This Row],[STR]] / ('Horned Wolf'!$D$5 / 10.8)), 1)</f>
        <v>2</v>
      </c>
      <c r="O37" s="8">
        <f>CEILING(Spider!$B$7/ IF(Spider!$D$7&lt; 10.8, Table13[[#This Row],[STR]], Table13[[#This Row],[STR]] / (Spider!$D$7 / 10.8)), 1)</f>
        <v>2</v>
      </c>
      <c r="P37" s="8">
        <f>CEILING('Evolved Spider'!$B$8/ IF('Evolved Spider'!$D$8&lt; 10.8, Table13[[#This Row],[STR]], Table13[[#This Row],[STR]] / ('Evolved Spider'!$D$8 / 10.8)), 1)</f>
        <v>4</v>
      </c>
      <c r="Q37" s="8">
        <f>CEILING(Arachne!$B$4/ IF(Arachne!$D$4&lt; 10.8, Table13[[#This Row],[STR]], Table13[[#This Row],[STR]] / (Arachne!$D$4 / 10.8)), 1)</f>
        <v>5</v>
      </c>
      <c r="R37" s="12">
        <f>CEILING('Earth Elemental'!$B$6/ IF('Earth Elemental'!$D$6&lt; 10.8, Table13[[#This Row],[STR]], Table13[[#This Row],[STR]] / ('Earth Elemental'!$D$6 / 10.8)), 1)</f>
        <v>6</v>
      </c>
      <c r="S37" s="12">
        <f>CEILING('Wind Elemental'!$B$6/ IF('Wind Elemental'!$D$6&lt; 10.8, Table13[[#This Row],[STR]], Table13[[#This Row],[STR]] / ('Wind Elemental'!$D$6 / 10.8)), 1)</f>
        <v>5</v>
      </c>
      <c r="T37" s="12">
        <f>CEILING('Water Elemental'!$B$6/ IF('Water Elemental'!$D$6&lt; 10.8, Table13[[#This Row],[STR]], Table13[[#This Row],[STR]] / ('Water Elemental'!$D$6 / 10.8)), 1)</f>
        <v>7</v>
      </c>
      <c r="U37" s="12">
        <f>CEILING('Fire Elemental'!$B$4/ IF('Fire Elemental'!$D$4&lt; 10.8, Table13[[#This Row],[STR]], Table13[[#This Row],[STR]] / ('Fire Elemental'!$D$4 / 10.8)), 1)</f>
        <v>9</v>
      </c>
      <c r="V37" s="15">
        <f>CEILING(Wyvern!$B$4/ IF(Wyvern!$D$4&lt; 10.8, Table13[[#This Row],[STR]], Table13[[#This Row],[STR]] / (Wyvern!$D$4 / 10.8)), 1)</f>
        <v>12</v>
      </c>
      <c r="W37" s="15">
        <f>CEILING('Evolved Wyvern'!$B$4/ IF('Evolved Wyvern'!$D$4&lt; 10.8, Table13[[#This Row],[STR]], Table13[[#This Row],[STR]] / ('Evolved Wyvern'!$D$4 / 10.8)), 1)</f>
        <v>17</v>
      </c>
      <c r="X37" s="15">
        <f>CEILING(Dragon!$B$4/ IF(Dragon!$D$4&lt; 10.8, Table13[[#This Row],[STR]], Table13[[#This Row],[STR]] / (Dragon!$D$4 / 10.8)), 1)</f>
        <v>28</v>
      </c>
      <c r="Z37" s="8">
        <f>CEILING('Blue Slime'!$M$5/ IF('Blue Slime'!$O$5&lt; 10.8, Table13[[#This Row],[STR]], Table13[[#This Row],[STR]] / ('Blue Slime'!$O$5 / 10.8)), 1)</f>
        <v>1</v>
      </c>
      <c r="AA37" s="8">
        <f>CEILING('Green Slime'!$M$5/ IF('Green Slime'!$O$5&lt; 10.8, Table13[[#This Row],[STR]], Table13[[#This Row],[STR]] / ('Green Slime'!$O$5 / 10.8)), 1)</f>
        <v>1</v>
      </c>
      <c r="AB37" s="8">
        <f>CEILING(Wolf!$M$6/ IF(Wolf!$O$6&lt; 10.8, Table13[[#This Row],[STR]], Table13[[#This Row],[STR]] / (Wolf!$O$6 / 10.8)), 1)</f>
        <v>2</v>
      </c>
      <c r="AC37" s="8">
        <f>CEILING('Horned Wolf'!$M$5/ IF('Horned Wolf'!$O$5&lt; 10.8, Table13[[#This Row],[STR]], Table13[[#This Row],[STR]] / ('Horned Wolf'!$O$5 / 10.8)), 1)</f>
        <v>5</v>
      </c>
      <c r="AD37" s="8">
        <f>CEILING(Spider!$M$7/ IF(Spider!$O$7&lt; 10.8, Table13[[#This Row],[STR]], Table13[[#This Row],[STR]] / (Spider!$O$7 / 10.8)), 1)</f>
        <v>4</v>
      </c>
      <c r="AE37" s="8">
        <f>CEILING('Evolved Spider'!$M$8/ IF('Evolved Spider'!$O$8&lt; 10.8, Table13[[#This Row],[STR]], Table13[[#This Row],[STR]] / ('Evolved Spider'!$O$8 / 10.8)), 1)</f>
        <v>8</v>
      </c>
      <c r="AF37" s="8">
        <f>CEILING(Arachne!$M$4/ IF(Arachne!$O$4&lt; 10.8, Table13[[#This Row],[STR]], Table13[[#This Row],[STR]] / (Arachne!$O$4 / 10.8)), 1)</f>
        <v>10</v>
      </c>
      <c r="AG37" s="12">
        <f>CEILING('Earth Elemental'!$M$6/ IF('Earth Elemental'!$O$6&lt; 10.8, Table13[[#This Row],[STR]], Table13[[#This Row],[STR]] / ('Earth Elemental'!$O$6 / 10.8)), 1)</f>
        <v>9</v>
      </c>
      <c r="AH37" s="12">
        <f>CEILING('Wind Elemental'!$M$6/ IF('Wind Elemental'!$O$6&lt; 10.8, Table13[[#This Row],[STR]], Table13[[#This Row],[STR]] / ('Wind Elemental'!$O$6 / 10.8)), 1)</f>
        <v>8</v>
      </c>
      <c r="AI37" s="12">
        <f>CEILING('Water Elemental'!$M$6/ IF('Water Elemental'!$O$6&lt; 10.8, Table13[[#This Row],[STR]], Table13[[#This Row],[STR]] / ('Water Elemental'!$O$6 / 10.8)), 1)</f>
        <v>11</v>
      </c>
      <c r="AJ37" s="12">
        <f>CEILING('Fire Elemental'!$M$4/ IF('Fire Elemental'!$O$4&lt; 10.8, Table13[[#This Row],[STR]], Table13[[#This Row],[STR]] / ('Fire Elemental'!$O$4 / 10.8)), 1)</f>
        <v>16</v>
      </c>
      <c r="AK37" s="15">
        <f>CEILING(Wyvern!$M$4/ IF(Wyvern!$O$4&lt; 10.8, Table13[[#This Row],[STR]], Table13[[#This Row],[STR]] / (Wyvern!$O$4 / 10.8)), 1)</f>
        <v>20</v>
      </c>
      <c r="AL37" s="15">
        <f>CEILING('Evolved Wyvern'!$M$4/ IF('Evolved Wyvern'!$O$4&lt; 10.8, Table13[[#This Row],[STR]], Table13[[#This Row],[STR]] / ('Evolved Wyvern'!$O$4 / 10.8)), 1)</f>
        <v>27</v>
      </c>
      <c r="AM37" s="15">
        <f>CEILING(Dragon!$M$4/ IF(Dragon!$O$4&lt; 10.8, Table13[[#This Row],[STR]], Table13[[#This Row],[STR]] / (Dragon!$O$4 / 10.8)), 1)</f>
        <v>44</v>
      </c>
      <c r="AO37" s="8">
        <f>CEILING('Blue Slime'!$Z$5/ IF('Blue Slime'!$X$5&lt; 10.8, Table13[[#This Row],[STR]], Table13[[#This Row],[STR]] / ('Blue Slime'!$X$5 / 10.8)), 1)</f>
        <v>1</v>
      </c>
      <c r="AP37" s="8">
        <f>CEILING('Green Slime'!$Z$5/ IF('Green Slime'!$X$5&lt; 10.8, Table13[[#This Row],[STR]], Table13[[#This Row],[STR]] / ('Green Slime'!$X$5 / 10.8)), 1)</f>
        <v>1</v>
      </c>
      <c r="AQ37" s="8">
        <f>CEILING(Wolf!$Z$6/ IF(Wolf!$X$6&lt; 10.8, Table13[[#This Row],[STR]], Table13[[#This Row],[STR]] / (Wolf!$X$6 / 10.8)), 1)</f>
        <v>3</v>
      </c>
      <c r="AR37" s="8">
        <f>CEILING('Horned Wolf'!$Z$5/ IF('Horned Wolf'!$X$5&lt; 10.8, Table13[[#This Row],[STR]], Table13[[#This Row],[STR]] / ('Horned Wolf'!$X$5 / 10.8)), 1)</f>
        <v>8</v>
      </c>
      <c r="AS37" s="8">
        <f>CEILING(Spider!$Z$7/ IF(Spider!$X$7&lt; 10.8, Table13[[#This Row],[STR]], Table13[[#This Row],[STR]] / (Spider!$X$7 / 10.8)), 1)</f>
        <v>7</v>
      </c>
      <c r="AT37" s="8">
        <f>CEILING('Evolved Spider'!$Z$8/ IF('Evolved Spider'!$X$8&lt; 10.8, Table13[[#This Row],[STR]], Table13[[#This Row],[STR]] / ('Evolved Spider'!$X$8 / 10.8)), 1)</f>
        <v>12</v>
      </c>
      <c r="AU37" s="8">
        <f>CEILING(Arachne!$Z$4/ IF(Arachne!$X$4&lt; 10.8, Table13[[#This Row],[STR]], Table13[[#This Row],[STR]] / (Arachne!$X$4 / 10.8)), 1)</f>
        <v>17</v>
      </c>
      <c r="AV37" s="12">
        <f>CEILING('Earth Elemental'!$Z$6/ IF('Earth Elemental'!$X$6&lt; 10.8, Table13[[#This Row],[STR]], Table13[[#This Row],[STR]] / ('Earth Elemental'!$X$6 / 10.8)), 1)</f>
        <v>14</v>
      </c>
      <c r="AW37" s="12">
        <f>CEILING('Wind Elemental'!$Z$6/ IF('Wind Elemental'!$X$6&lt; 10.8, Table13[[#This Row],[STR]], Table13[[#This Row],[STR]] / ('Wind Elemental'!$X$6 / 10.8)), 1)</f>
        <v>11</v>
      </c>
      <c r="AX37" s="12">
        <f>CEILING('Water Elemental'!$Z$6/ IF('Water Elemental'!$X$6&lt; 10.8, Table13[[#This Row],[STR]], Table13[[#This Row],[STR]] / ('Water Elemental'!$X$6 / 10.8)), 1)</f>
        <v>15</v>
      </c>
      <c r="AY37" s="12">
        <f>CEILING('Fire Elemental'!$Z$4/ IF('Fire Elemental'!$X$4&lt; 10.8, Table13[[#This Row],[STR]], Table13[[#This Row],[STR]] / ('Fire Elemental'!$X$4 / 10.8)), 1)</f>
        <v>24</v>
      </c>
      <c r="AZ37" s="15">
        <f>CEILING(Wyvern!$Z$4/ IF(Wyvern!$X$4&lt; 10.8, Table13[[#This Row],[STR]], Table13[[#This Row],[STR]] / (Wyvern!$X$4 / 10.8)), 1)</f>
        <v>29</v>
      </c>
      <c r="BA37" s="15">
        <f>CEILING('Evolved Wyvern'!$Z$4/ IF('Evolved Wyvern'!$X$4&lt; 10.8, Table13[[#This Row],[STR]], Table13[[#This Row],[STR]] / ('Evolved Wyvern'!$X$4 / 10.8)), 1)</f>
        <v>37</v>
      </c>
      <c r="BB37" s="15">
        <f>CEILING(Dragon!$Z$4/ IF(Dragon!$X$4&lt; 10.8, Table13[[#This Row],[STR]], Table13[[#This Row],[STR]] / (Dragon!$X$4 / 10.8)), 1)</f>
        <v>63</v>
      </c>
    </row>
    <row r="38" spans="1:54" x14ac:dyDescent="0.3">
      <c r="A38" s="1">
        <v>36</v>
      </c>
      <c r="B38" s="1">
        <f>$B$3 + ((Table13[[#This Row],[Level]] / 10) + $B$3 / 8) * Table13[[#This Row],[Level]] + Equipment!$Z$34</f>
        <v>284.60000000000002</v>
      </c>
      <c r="C38" s="1">
        <f>2 * Table13[[#This Row],[INT]]</f>
        <v>142</v>
      </c>
      <c r="D38" s="1">
        <f>$D$3 + ($D$3 / 4) * Table13[[#This Row],[Level]] + Equipment!$AA$34</f>
        <v>114</v>
      </c>
      <c r="E38" s="1">
        <f>$E$3 + ($E$3 / 4) * Table13[[#This Row],[Level]] + Equipment!$AB$34</f>
        <v>86</v>
      </c>
      <c r="F38" s="1">
        <f>$F$3 + ($F$3 / 4) * Table13[[#This Row],[Level]] + Equipment!$AC$34</f>
        <v>100</v>
      </c>
      <c r="G38" s="1">
        <f>$G$3 + ($G$3 / 4) * Table13[[#This Row],[Level]] + Equipment!$AD$34</f>
        <v>71</v>
      </c>
      <c r="H38" s="1">
        <f>$H$3 + ($H$3 / 4) * Table13[[#This Row],[Level]] + Equipment!$AE$34</f>
        <v>86</v>
      </c>
      <c r="I38" s="1">
        <f xml:space="preserve"> (4 * (Table13[[#This Row],[Level]] ^ 3))/7 + $I$3</f>
        <v>26760.571428571428</v>
      </c>
      <c r="K38" s="8">
        <f>CEILING('Blue Slime'!$B$5/ IF('Blue Slime'!$D$5&lt; 10.8, Table13[[#This Row],[STR]], Table13[[#This Row],[STR]] / ('Blue Slime'!$D$5 / 10.8)), 1)</f>
        <v>1</v>
      </c>
      <c r="L38" s="8">
        <f>CEILING('Green Slime'!$B$5/ IF('Green Slime'!$D$5&lt; 10.8, Table13[[#This Row],[STR]], Table13[[#This Row],[STR]] / ('Green Slime'!$D$5 / 10.8)), 1)</f>
        <v>1</v>
      </c>
      <c r="M38" s="8">
        <f>CEILING(Wolf!$B$6/ IF(Wolf!$D$6&lt; 10.8, Table13[[#This Row],[STR]], Table13[[#This Row],[STR]] / (Wolf!$D$6 / 10.8)), 1)</f>
        <v>1</v>
      </c>
      <c r="N38" s="8">
        <f>CEILING('Horned Wolf'!$B$5/ IF('Horned Wolf'!$D$5&lt; 10.8, Table13[[#This Row],[STR]], Table13[[#This Row],[STR]] / ('Horned Wolf'!$D$5 / 10.8)), 1)</f>
        <v>2</v>
      </c>
      <c r="O38" s="8">
        <f>CEILING(Spider!$B$7/ IF(Spider!$D$7&lt; 10.8, Table13[[#This Row],[STR]], Table13[[#This Row],[STR]] / (Spider!$D$7 / 10.8)), 1)</f>
        <v>2</v>
      </c>
      <c r="P38" s="8">
        <f>CEILING('Evolved Spider'!$B$8/ IF('Evolved Spider'!$D$8&lt; 10.8, Table13[[#This Row],[STR]], Table13[[#This Row],[STR]] / ('Evolved Spider'!$D$8 / 10.8)), 1)</f>
        <v>4</v>
      </c>
      <c r="Q38" s="8">
        <f>CEILING(Arachne!$B$4/ IF(Arachne!$D$4&lt; 10.8, Table13[[#This Row],[STR]], Table13[[#This Row],[STR]] / (Arachne!$D$4 / 10.8)), 1)</f>
        <v>5</v>
      </c>
      <c r="R38" s="12">
        <f>CEILING('Earth Elemental'!$B$6/ IF('Earth Elemental'!$D$6&lt; 10.8, Table13[[#This Row],[STR]], Table13[[#This Row],[STR]] / ('Earth Elemental'!$D$6 / 10.8)), 1)</f>
        <v>6</v>
      </c>
      <c r="S38" s="12">
        <f>CEILING('Wind Elemental'!$B$6/ IF('Wind Elemental'!$D$6&lt; 10.8, Table13[[#This Row],[STR]], Table13[[#This Row],[STR]] / ('Wind Elemental'!$D$6 / 10.8)), 1)</f>
        <v>5</v>
      </c>
      <c r="T38" s="12">
        <f>CEILING('Water Elemental'!$B$6/ IF('Water Elemental'!$D$6&lt; 10.8, Table13[[#This Row],[STR]], Table13[[#This Row],[STR]] / ('Water Elemental'!$D$6 / 10.8)), 1)</f>
        <v>7</v>
      </c>
      <c r="U38" s="12">
        <f>CEILING('Fire Elemental'!$B$4/ IF('Fire Elemental'!$D$4&lt; 10.8, Table13[[#This Row],[STR]], Table13[[#This Row],[STR]] / ('Fire Elemental'!$D$4 / 10.8)), 1)</f>
        <v>9</v>
      </c>
      <c r="V38" s="15">
        <f>CEILING(Wyvern!$B$4/ IF(Wyvern!$D$4&lt; 10.8, Table13[[#This Row],[STR]], Table13[[#This Row],[STR]] / (Wyvern!$D$4 / 10.8)), 1)</f>
        <v>12</v>
      </c>
      <c r="W38" s="15">
        <f>CEILING('Evolved Wyvern'!$B$4/ IF('Evolved Wyvern'!$D$4&lt; 10.8, Table13[[#This Row],[STR]], Table13[[#This Row],[STR]] / ('Evolved Wyvern'!$D$4 / 10.8)), 1)</f>
        <v>17</v>
      </c>
      <c r="X38" s="15">
        <f>CEILING(Dragon!$B$4/ IF(Dragon!$D$4&lt; 10.8, Table13[[#This Row],[STR]], Table13[[#This Row],[STR]] / (Dragon!$D$4 / 10.8)), 1)</f>
        <v>27</v>
      </c>
      <c r="Z38" s="8">
        <f>CEILING('Blue Slime'!$M$5/ IF('Blue Slime'!$O$5&lt; 10.8, Table13[[#This Row],[STR]], Table13[[#This Row],[STR]] / ('Blue Slime'!$O$5 / 10.8)), 1)</f>
        <v>1</v>
      </c>
      <c r="AA38" s="8">
        <f>CEILING('Green Slime'!$M$5/ IF('Green Slime'!$O$5&lt; 10.8, Table13[[#This Row],[STR]], Table13[[#This Row],[STR]] / ('Green Slime'!$O$5 / 10.8)), 1)</f>
        <v>1</v>
      </c>
      <c r="AB38" s="8">
        <f>CEILING(Wolf!$M$6/ IF(Wolf!$O$6&lt; 10.8, Table13[[#This Row],[STR]], Table13[[#This Row],[STR]] / (Wolf!$O$6 / 10.8)), 1)</f>
        <v>2</v>
      </c>
      <c r="AC38" s="8">
        <f>CEILING('Horned Wolf'!$M$5/ IF('Horned Wolf'!$O$5&lt; 10.8, Table13[[#This Row],[STR]], Table13[[#This Row],[STR]] / ('Horned Wolf'!$O$5 / 10.8)), 1)</f>
        <v>5</v>
      </c>
      <c r="AD38" s="8">
        <f>CEILING(Spider!$M$7/ IF(Spider!$O$7&lt; 10.8, Table13[[#This Row],[STR]], Table13[[#This Row],[STR]] / (Spider!$O$7 / 10.8)), 1)</f>
        <v>4</v>
      </c>
      <c r="AE38" s="8">
        <f>CEILING('Evolved Spider'!$M$8/ IF('Evolved Spider'!$O$8&lt; 10.8, Table13[[#This Row],[STR]], Table13[[#This Row],[STR]] / ('Evolved Spider'!$O$8 / 10.8)), 1)</f>
        <v>8</v>
      </c>
      <c r="AF38" s="8">
        <f>CEILING(Arachne!$M$4/ IF(Arachne!$O$4&lt; 10.8, Table13[[#This Row],[STR]], Table13[[#This Row],[STR]] / (Arachne!$O$4 / 10.8)), 1)</f>
        <v>10</v>
      </c>
      <c r="AG38" s="12">
        <f>CEILING('Earth Elemental'!$M$6/ IF('Earth Elemental'!$O$6&lt; 10.8, Table13[[#This Row],[STR]], Table13[[#This Row],[STR]] / ('Earth Elemental'!$O$6 / 10.8)), 1)</f>
        <v>9</v>
      </c>
      <c r="AH38" s="12">
        <f>CEILING('Wind Elemental'!$M$6/ IF('Wind Elemental'!$O$6&lt; 10.8, Table13[[#This Row],[STR]], Table13[[#This Row],[STR]] / ('Wind Elemental'!$O$6 / 10.8)), 1)</f>
        <v>8</v>
      </c>
      <c r="AI38" s="12">
        <f>CEILING('Water Elemental'!$M$6/ IF('Water Elemental'!$O$6&lt; 10.8, Table13[[#This Row],[STR]], Table13[[#This Row],[STR]] / ('Water Elemental'!$O$6 / 10.8)), 1)</f>
        <v>11</v>
      </c>
      <c r="AJ38" s="12">
        <f>CEILING('Fire Elemental'!$M$4/ IF('Fire Elemental'!$O$4&lt; 10.8, Table13[[#This Row],[STR]], Table13[[#This Row],[STR]] / ('Fire Elemental'!$O$4 / 10.8)), 1)</f>
        <v>16</v>
      </c>
      <c r="AK38" s="15">
        <f>CEILING(Wyvern!$M$4/ IF(Wyvern!$O$4&lt; 10.8, Table13[[#This Row],[STR]], Table13[[#This Row],[STR]] / (Wyvern!$O$4 / 10.8)), 1)</f>
        <v>20</v>
      </c>
      <c r="AL38" s="15">
        <f>CEILING('Evolved Wyvern'!$M$4/ IF('Evolved Wyvern'!$O$4&lt; 10.8, Table13[[#This Row],[STR]], Table13[[#This Row],[STR]] / ('Evolved Wyvern'!$O$4 / 10.8)), 1)</f>
        <v>26</v>
      </c>
      <c r="AM38" s="15">
        <f>CEILING(Dragon!$M$4/ IF(Dragon!$O$4&lt; 10.8, Table13[[#This Row],[STR]], Table13[[#This Row],[STR]] / (Dragon!$O$4 / 10.8)), 1)</f>
        <v>43</v>
      </c>
      <c r="AO38" s="8">
        <f>CEILING('Blue Slime'!$Z$5/ IF('Blue Slime'!$X$5&lt; 10.8, Table13[[#This Row],[STR]], Table13[[#This Row],[STR]] / ('Blue Slime'!$X$5 / 10.8)), 1)</f>
        <v>1</v>
      </c>
      <c r="AP38" s="8">
        <f>CEILING('Green Slime'!$Z$5/ IF('Green Slime'!$X$5&lt; 10.8, Table13[[#This Row],[STR]], Table13[[#This Row],[STR]] / ('Green Slime'!$X$5 / 10.8)), 1)</f>
        <v>1</v>
      </c>
      <c r="AQ38" s="8">
        <f>CEILING(Wolf!$Z$6/ IF(Wolf!$X$6&lt; 10.8, Table13[[#This Row],[STR]], Table13[[#This Row],[STR]] / (Wolf!$X$6 / 10.8)), 1)</f>
        <v>3</v>
      </c>
      <c r="AR38" s="8">
        <f>CEILING('Horned Wolf'!$Z$5/ IF('Horned Wolf'!$X$5&lt; 10.8, Table13[[#This Row],[STR]], Table13[[#This Row],[STR]] / ('Horned Wolf'!$X$5 / 10.8)), 1)</f>
        <v>8</v>
      </c>
      <c r="AS38" s="8">
        <f>CEILING(Spider!$Z$7/ IF(Spider!$X$7&lt; 10.8, Table13[[#This Row],[STR]], Table13[[#This Row],[STR]] / (Spider!$X$7 / 10.8)), 1)</f>
        <v>7</v>
      </c>
      <c r="AT38" s="8">
        <f>CEILING('Evolved Spider'!$Z$8/ IF('Evolved Spider'!$X$8&lt; 10.8, Table13[[#This Row],[STR]], Table13[[#This Row],[STR]] / ('Evolved Spider'!$X$8 / 10.8)), 1)</f>
        <v>12</v>
      </c>
      <c r="AU38" s="8">
        <f>CEILING(Arachne!$Z$4/ IF(Arachne!$X$4&lt; 10.8, Table13[[#This Row],[STR]], Table13[[#This Row],[STR]] / (Arachne!$X$4 / 10.8)), 1)</f>
        <v>16</v>
      </c>
      <c r="AV38" s="12">
        <f>CEILING('Earth Elemental'!$Z$6/ IF('Earth Elemental'!$X$6&lt; 10.8, Table13[[#This Row],[STR]], Table13[[#This Row],[STR]] / ('Earth Elemental'!$X$6 / 10.8)), 1)</f>
        <v>14</v>
      </c>
      <c r="AW38" s="12">
        <f>CEILING('Wind Elemental'!$Z$6/ IF('Wind Elemental'!$X$6&lt; 10.8, Table13[[#This Row],[STR]], Table13[[#This Row],[STR]] / ('Wind Elemental'!$X$6 / 10.8)), 1)</f>
        <v>11</v>
      </c>
      <c r="AX38" s="12">
        <f>CEILING('Water Elemental'!$Z$6/ IF('Water Elemental'!$X$6&lt; 10.8, Table13[[#This Row],[STR]], Table13[[#This Row],[STR]] / ('Water Elemental'!$X$6 / 10.8)), 1)</f>
        <v>15</v>
      </c>
      <c r="AY38" s="12">
        <f>CEILING('Fire Elemental'!$Z$4/ IF('Fire Elemental'!$X$4&lt; 10.8, Table13[[#This Row],[STR]], Table13[[#This Row],[STR]] / ('Fire Elemental'!$X$4 / 10.8)), 1)</f>
        <v>24</v>
      </c>
      <c r="AZ38" s="15">
        <f>CEILING(Wyvern!$Z$4/ IF(Wyvern!$X$4&lt; 10.8, Table13[[#This Row],[STR]], Table13[[#This Row],[STR]] / (Wyvern!$X$4 / 10.8)), 1)</f>
        <v>29</v>
      </c>
      <c r="BA38" s="15">
        <f>CEILING('Evolved Wyvern'!$Z$4/ IF('Evolved Wyvern'!$X$4&lt; 10.8, Table13[[#This Row],[STR]], Table13[[#This Row],[STR]] / ('Evolved Wyvern'!$X$4 / 10.8)), 1)</f>
        <v>37</v>
      </c>
      <c r="BB38" s="15">
        <f>CEILING(Dragon!$Z$4/ IF(Dragon!$X$4&lt; 10.8, Table13[[#This Row],[STR]], Table13[[#This Row],[STR]] / (Dragon!$X$4 / 10.8)), 1)</f>
        <v>61</v>
      </c>
    </row>
    <row r="39" spans="1:54" x14ac:dyDescent="0.3">
      <c r="A39" s="1">
        <v>37</v>
      </c>
      <c r="B39" s="1">
        <f>$B$3 + ((Table13[[#This Row],[Level]] / 10) + $B$3 / 8) * Table13[[#This Row],[Level]] + Equipment!$Z$34</f>
        <v>293.64999999999998</v>
      </c>
      <c r="C39" s="1">
        <f>2 * Table13[[#This Row],[INT]]</f>
        <v>144.5</v>
      </c>
      <c r="D39" s="1">
        <f>$D$3 + ($D$3 / 4) * Table13[[#This Row],[Level]] + Equipment!$AA$34</f>
        <v>116</v>
      </c>
      <c r="E39" s="1">
        <f>$E$3 + ($E$3 / 4) * Table13[[#This Row],[Level]] + Equipment!$AB$34</f>
        <v>87.5</v>
      </c>
      <c r="F39" s="1">
        <f>$F$3 + ($F$3 / 4) * Table13[[#This Row],[Level]] + Equipment!$AC$34</f>
        <v>101.75</v>
      </c>
      <c r="G39" s="1">
        <f>$G$3 + ($G$3 / 4) * Table13[[#This Row],[Level]] + Equipment!$AD$34</f>
        <v>72.25</v>
      </c>
      <c r="H39" s="1">
        <f>$H$3 + ($H$3 / 4) * Table13[[#This Row],[Level]] + Equipment!$AE$34</f>
        <v>87.5</v>
      </c>
      <c r="I39" s="1">
        <f xml:space="preserve"> (4 * (Table13[[#This Row],[Level]] ^ 3))/7 + $I$3</f>
        <v>29044.571428571428</v>
      </c>
      <c r="K39" s="8">
        <f>CEILING('Blue Slime'!$B$5/ IF('Blue Slime'!$D$5&lt; 10.8, Table13[[#This Row],[STR]], Table13[[#This Row],[STR]] / ('Blue Slime'!$D$5 / 10.8)), 1)</f>
        <v>1</v>
      </c>
      <c r="L39" s="8">
        <f>CEILING('Green Slime'!$B$5/ IF('Green Slime'!$D$5&lt; 10.8, Table13[[#This Row],[STR]], Table13[[#This Row],[STR]] / ('Green Slime'!$D$5 / 10.8)), 1)</f>
        <v>1</v>
      </c>
      <c r="M39" s="8">
        <f>CEILING(Wolf!$B$6/ IF(Wolf!$D$6&lt; 10.8, Table13[[#This Row],[STR]], Table13[[#This Row],[STR]] / (Wolf!$D$6 / 10.8)), 1)</f>
        <v>1</v>
      </c>
      <c r="N39" s="8">
        <f>CEILING('Horned Wolf'!$B$5/ IF('Horned Wolf'!$D$5&lt; 10.8, Table13[[#This Row],[STR]], Table13[[#This Row],[STR]] / ('Horned Wolf'!$D$5 / 10.8)), 1)</f>
        <v>2</v>
      </c>
      <c r="O39" s="8">
        <f>CEILING(Spider!$B$7/ IF(Spider!$D$7&lt; 10.8, Table13[[#This Row],[STR]], Table13[[#This Row],[STR]] / (Spider!$D$7 / 10.8)), 1)</f>
        <v>2</v>
      </c>
      <c r="P39" s="8">
        <f>CEILING('Evolved Spider'!$B$8/ IF('Evolved Spider'!$D$8&lt; 10.8, Table13[[#This Row],[STR]], Table13[[#This Row],[STR]] / ('Evolved Spider'!$D$8 / 10.8)), 1)</f>
        <v>4</v>
      </c>
      <c r="Q39" s="8">
        <f>CEILING(Arachne!$B$4/ IF(Arachne!$D$4&lt; 10.8, Table13[[#This Row],[STR]], Table13[[#This Row],[STR]] / (Arachne!$D$4 / 10.8)), 1)</f>
        <v>5</v>
      </c>
      <c r="R39" s="12">
        <f>CEILING('Earth Elemental'!$B$6/ IF('Earth Elemental'!$D$6&lt; 10.8, Table13[[#This Row],[STR]], Table13[[#This Row],[STR]] / ('Earth Elemental'!$D$6 / 10.8)), 1)</f>
        <v>5</v>
      </c>
      <c r="S39" s="12">
        <f>CEILING('Wind Elemental'!$B$6/ IF('Wind Elemental'!$D$6&lt; 10.8, Table13[[#This Row],[STR]], Table13[[#This Row],[STR]] / ('Wind Elemental'!$D$6 / 10.8)), 1)</f>
        <v>5</v>
      </c>
      <c r="T39" s="12">
        <f>CEILING('Water Elemental'!$B$6/ IF('Water Elemental'!$D$6&lt; 10.8, Table13[[#This Row],[STR]], Table13[[#This Row],[STR]] / ('Water Elemental'!$D$6 / 10.8)), 1)</f>
        <v>7</v>
      </c>
      <c r="U39" s="12">
        <f>CEILING('Fire Elemental'!$B$4/ IF('Fire Elemental'!$D$4&lt; 10.8, Table13[[#This Row],[STR]], Table13[[#This Row],[STR]] / ('Fire Elemental'!$D$4 / 10.8)), 1)</f>
        <v>9</v>
      </c>
      <c r="V39" s="15">
        <f>CEILING(Wyvern!$B$4/ IF(Wyvern!$D$4&lt; 10.8, Table13[[#This Row],[STR]], Table13[[#This Row],[STR]] / (Wyvern!$D$4 / 10.8)), 1)</f>
        <v>12</v>
      </c>
      <c r="W39" s="15">
        <f>CEILING('Evolved Wyvern'!$B$4/ IF('Evolved Wyvern'!$D$4&lt; 10.8, Table13[[#This Row],[STR]], Table13[[#This Row],[STR]] / ('Evolved Wyvern'!$D$4 / 10.8)), 1)</f>
        <v>16</v>
      </c>
      <c r="X39" s="15">
        <f>CEILING(Dragon!$B$4/ IF(Dragon!$D$4&lt; 10.8, Table13[[#This Row],[STR]], Table13[[#This Row],[STR]] / (Dragon!$D$4 / 10.8)), 1)</f>
        <v>27</v>
      </c>
      <c r="Z39" s="8">
        <f>CEILING('Blue Slime'!$M$5/ IF('Blue Slime'!$O$5&lt; 10.8, Table13[[#This Row],[STR]], Table13[[#This Row],[STR]] / ('Blue Slime'!$O$5 / 10.8)), 1)</f>
        <v>1</v>
      </c>
      <c r="AA39" s="8">
        <f>CEILING('Green Slime'!$M$5/ IF('Green Slime'!$O$5&lt; 10.8, Table13[[#This Row],[STR]], Table13[[#This Row],[STR]] / ('Green Slime'!$O$5 / 10.8)), 1)</f>
        <v>1</v>
      </c>
      <c r="AB39" s="8">
        <f>CEILING(Wolf!$M$6/ IF(Wolf!$O$6&lt; 10.8, Table13[[#This Row],[STR]], Table13[[#This Row],[STR]] / (Wolf!$O$6 / 10.8)), 1)</f>
        <v>2</v>
      </c>
      <c r="AC39" s="8">
        <f>CEILING('Horned Wolf'!$M$5/ IF('Horned Wolf'!$O$5&lt; 10.8, Table13[[#This Row],[STR]], Table13[[#This Row],[STR]] / ('Horned Wolf'!$O$5 / 10.8)), 1)</f>
        <v>5</v>
      </c>
      <c r="AD39" s="8">
        <f>CEILING(Spider!$M$7/ IF(Spider!$O$7&lt; 10.8, Table13[[#This Row],[STR]], Table13[[#This Row],[STR]] / (Spider!$O$7 / 10.8)), 1)</f>
        <v>4</v>
      </c>
      <c r="AE39" s="8">
        <f>CEILING('Evolved Spider'!$M$8/ IF('Evolved Spider'!$O$8&lt; 10.8, Table13[[#This Row],[STR]], Table13[[#This Row],[STR]] / ('Evolved Spider'!$O$8 / 10.8)), 1)</f>
        <v>8</v>
      </c>
      <c r="AF39" s="8">
        <f>CEILING(Arachne!$M$4/ IF(Arachne!$O$4&lt; 10.8, Table13[[#This Row],[STR]], Table13[[#This Row],[STR]] / (Arachne!$O$4 / 10.8)), 1)</f>
        <v>10</v>
      </c>
      <c r="AG39" s="12">
        <f>CEILING('Earth Elemental'!$M$6/ IF('Earth Elemental'!$O$6&lt; 10.8, Table13[[#This Row],[STR]], Table13[[#This Row],[STR]] / ('Earth Elemental'!$O$6 / 10.8)), 1)</f>
        <v>9</v>
      </c>
      <c r="AH39" s="12">
        <f>CEILING('Wind Elemental'!$M$6/ IF('Wind Elemental'!$O$6&lt; 10.8, Table13[[#This Row],[STR]], Table13[[#This Row],[STR]] / ('Wind Elemental'!$O$6 / 10.8)), 1)</f>
        <v>8</v>
      </c>
      <c r="AI39" s="12">
        <f>CEILING('Water Elemental'!$M$6/ IF('Water Elemental'!$O$6&lt; 10.8, Table13[[#This Row],[STR]], Table13[[#This Row],[STR]] / ('Water Elemental'!$O$6 / 10.8)), 1)</f>
        <v>11</v>
      </c>
      <c r="AJ39" s="12">
        <f>CEILING('Fire Elemental'!$M$4/ IF('Fire Elemental'!$O$4&lt; 10.8, Table13[[#This Row],[STR]], Table13[[#This Row],[STR]] / ('Fire Elemental'!$O$4 / 10.8)), 1)</f>
        <v>15</v>
      </c>
      <c r="AK39" s="15">
        <f>CEILING(Wyvern!$M$4/ IF(Wyvern!$O$4&lt; 10.8, Table13[[#This Row],[STR]], Table13[[#This Row],[STR]] / (Wyvern!$O$4 / 10.8)), 1)</f>
        <v>20</v>
      </c>
      <c r="AL39" s="15">
        <f>CEILING('Evolved Wyvern'!$M$4/ IF('Evolved Wyvern'!$O$4&lt; 10.8, Table13[[#This Row],[STR]], Table13[[#This Row],[STR]] / ('Evolved Wyvern'!$O$4 / 10.8)), 1)</f>
        <v>26</v>
      </c>
      <c r="AM39" s="15">
        <f>CEILING(Dragon!$M$4/ IF(Dragon!$O$4&lt; 10.8, Table13[[#This Row],[STR]], Table13[[#This Row],[STR]] / (Dragon!$O$4 / 10.8)), 1)</f>
        <v>43</v>
      </c>
      <c r="AO39" s="8">
        <f>CEILING('Blue Slime'!$Z$5/ IF('Blue Slime'!$X$5&lt; 10.8, Table13[[#This Row],[STR]], Table13[[#This Row],[STR]] / ('Blue Slime'!$X$5 / 10.8)), 1)</f>
        <v>1</v>
      </c>
      <c r="AP39" s="8">
        <f>CEILING('Green Slime'!$Z$5/ IF('Green Slime'!$X$5&lt; 10.8, Table13[[#This Row],[STR]], Table13[[#This Row],[STR]] / ('Green Slime'!$X$5 / 10.8)), 1)</f>
        <v>1</v>
      </c>
      <c r="AQ39" s="8">
        <f>CEILING(Wolf!$Z$6/ IF(Wolf!$X$6&lt; 10.8, Table13[[#This Row],[STR]], Table13[[#This Row],[STR]] / (Wolf!$X$6 / 10.8)), 1)</f>
        <v>3</v>
      </c>
      <c r="AR39" s="8">
        <f>CEILING('Horned Wolf'!$Z$5/ IF('Horned Wolf'!$X$5&lt; 10.8, Table13[[#This Row],[STR]], Table13[[#This Row],[STR]] / ('Horned Wolf'!$X$5 / 10.8)), 1)</f>
        <v>8</v>
      </c>
      <c r="AS39" s="8">
        <f>CEILING(Spider!$Z$7/ IF(Spider!$X$7&lt; 10.8, Table13[[#This Row],[STR]], Table13[[#This Row],[STR]] / (Spider!$X$7 / 10.8)), 1)</f>
        <v>7</v>
      </c>
      <c r="AT39" s="8">
        <f>CEILING('Evolved Spider'!$Z$8/ IF('Evolved Spider'!$X$8&lt; 10.8, Table13[[#This Row],[STR]], Table13[[#This Row],[STR]] / ('Evolved Spider'!$X$8 / 10.8)), 1)</f>
        <v>12</v>
      </c>
      <c r="AU39" s="8">
        <f>CEILING(Arachne!$Z$4/ IF(Arachne!$X$4&lt; 10.8, Table13[[#This Row],[STR]], Table13[[#This Row],[STR]] / (Arachne!$X$4 / 10.8)), 1)</f>
        <v>16</v>
      </c>
      <c r="AV39" s="12">
        <f>CEILING('Earth Elemental'!$Z$6/ IF('Earth Elemental'!$X$6&lt; 10.8, Table13[[#This Row],[STR]], Table13[[#This Row],[STR]] / ('Earth Elemental'!$X$6 / 10.8)), 1)</f>
        <v>14</v>
      </c>
      <c r="AW39" s="12">
        <f>CEILING('Wind Elemental'!$Z$6/ IF('Wind Elemental'!$X$6&lt; 10.8, Table13[[#This Row],[STR]], Table13[[#This Row],[STR]] / ('Wind Elemental'!$X$6 / 10.8)), 1)</f>
        <v>11</v>
      </c>
      <c r="AX39" s="12">
        <f>CEILING('Water Elemental'!$Z$6/ IF('Water Elemental'!$X$6&lt; 10.8, Table13[[#This Row],[STR]], Table13[[#This Row],[STR]] / ('Water Elemental'!$X$6 / 10.8)), 1)</f>
        <v>15</v>
      </c>
      <c r="AY39" s="12">
        <f>CEILING('Fire Elemental'!$Z$4/ IF('Fire Elemental'!$X$4&lt; 10.8, Table13[[#This Row],[STR]], Table13[[#This Row],[STR]] / ('Fire Elemental'!$X$4 / 10.8)), 1)</f>
        <v>23</v>
      </c>
      <c r="AZ39" s="15">
        <f>CEILING(Wyvern!$Z$4/ IF(Wyvern!$X$4&lt; 10.8, Table13[[#This Row],[STR]], Table13[[#This Row],[STR]] / (Wyvern!$X$4 / 10.8)), 1)</f>
        <v>28</v>
      </c>
      <c r="BA39" s="15">
        <f>CEILING('Evolved Wyvern'!$Z$4/ IF('Evolved Wyvern'!$X$4&lt; 10.8, Table13[[#This Row],[STR]], Table13[[#This Row],[STR]] / ('Evolved Wyvern'!$X$4 / 10.8)), 1)</f>
        <v>36</v>
      </c>
      <c r="BB39" s="15">
        <f>CEILING(Dragon!$Z$4/ IF(Dragon!$X$4&lt; 10.8, Table13[[#This Row],[STR]], Table13[[#This Row],[STR]] / (Dragon!$X$4 / 10.8)), 1)</f>
        <v>60</v>
      </c>
    </row>
    <row r="40" spans="1:54" x14ac:dyDescent="0.3">
      <c r="A40" s="1">
        <v>38</v>
      </c>
      <c r="B40" s="1">
        <f>$B$3 + ((Table13[[#This Row],[Level]] / 10) + $B$3 / 8) * Table13[[#This Row],[Level]] + Equipment!$Z$34</f>
        <v>302.89999999999998</v>
      </c>
      <c r="C40" s="1">
        <f>2 * Table13[[#This Row],[INT]]</f>
        <v>147</v>
      </c>
      <c r="D40" s="1">
        <f>$D$3 + ($D$3 / 4) * Table13[[#This Row],[Level]] + Equipment!$AA$34</f>
        <v>118</v>
      </c>
      <c r="E40" s="1">
        <f>$E$3 + ($E$3 / 4) * Table13[[#This Row],[Level]] + Equipment!$AB$34</f>
        <v>89</v>
      </c>
      <c r="F40" s="1">
        <f>$F$3 + ($F$3 / 4) * Table13[[#This Row],[Level]] + Equipment!$AC$34</f>
        <v>103.5</v>
      </c>
      <c r="G40" s="1">
        <f>$G$3 + ($G$3 / 4) * Table13[[#This Row],[Level]] + Equipment!$AD$34</f>
        <v>73.5</v>
      </c>
      <c r="H40" s="1">
        <f>$H$3 + ($H$3 / 4) * Table13[[#This Row],[Level]] + Equipment!$AE$34</f>
        <v>89</v>
      </c>
      <c r="I40" s="1">
        <f xml:space="preserve"> (4 * (Table13[[#This Row],[Level]] ^ 3))/7 + $I$3</f>
        <v>31455.428571428572</v>
      </c>
      <c r="K40" s="8">
        <f>CEILING('Blue Slime'!$B$5/ IF('Blue Slime'!$D$5&lt; 10.8, Table13[[#This Row],[STR]], Table13[[#This Row],[STR]] / ('Blue Slime'!$D$5 / 10.8)), 1)</f>
        <v>1</v>
      </c>
      <c r="L40" s="8">
        <f>CEILING('Green Slime'!$B$5/ IF('Green Slime'!$D$5&lt; 10.8, Table13[[#This Row],[STR]], Table13[[#This Row],[STR]] / ('Green Slime'!$D$5 / 10.8)), 1)</f>
        <v>1</v>
      </c>
      <c r="M40" s="8">
        <f>CEILING(Wolf!$B$6/ IF(Wolf!$D$6&lt; 10.8, Table13[[#This Row],[STR]], Table13[[#This Row],[STR]] / (Wolf!$D$6 / 10.8)), 1)</f>
        <v>1</v>
      </c>
      <c r="N40" s="8">
        <f>CEILING('Horned Wolf'!$B$5/ IF('Horned Wolf'!$D$5&lt; 10.8, Table13[[#This Row],[STR]], Table13[[#This Row],[STR]] / ('Horned Wolf'!$D$5 / 10.8)), 1)</f>
        <v>2</v>
      </c>
      <c r="O40" s="8">
        <f>CEILING(Spider!$B$7/ IF(Spider!$D$7&lt; 10.8, Table13[[#This Row],[STR]], Table13[[#This Row],[STR]] / (Spider!$D$7 / 10.8)), 1)</f>
        <v>2</v>
      </c>
      <c r="P40" s="8">
        <f>CEILING('Evolved Spider'!$B$8/ IF('Evolved Spider'!$D$8&lt; 10.8, Table13[[#This Row],[STR]], Table13[[#This Row],[STR]] / ('Evolved Spider'!$D$8 / 10.8)), 1)</f>
        <v>4</v>
      </c>
      <c r="Q40" s="8">
        <f>CEILING(Arachne!$B$4/ IF(Arachne!$D$4&lt; 10.8, Table13[[#This Row],[STR]], Table13[[#This Row],[STR]] / (Arachne!$D$4 / 10.8)), 1)</f>
        <v>5</v>
      </c>
      <c r="R40" s="12">
        <f>CEILING('Earth Elemental'!$B$6/ IF('Earth Elemental'!$D$6&lt; 10.8, Table13[[#This Row],[STR]], Table13[[#This Row],[STR]] / ('Earth Elemental'!$D$6 / 10.8)), 1)</f>
        <v>5</v>
      </c>
      <c r="S40" s="12">
        <f>CEILING('Wind Elemental'!$B$6/ IF('Wind Elemental'!$D$6&lt; 10.8, Table13[[#This Row],[STR]], Table13[[#This Row],[STR]] / ('Wind Elemental'!$D$6 / 10.8)), 1)</f>
        <v>5</v>
      </c>
      <c r="T40" s="12">
        <f>CEILING('Water Elemental'!$B$6/ IF('Water Elemental'!$D$6&lt; 10.8, Table13[[#This Row],[STR]], Table13[[#This Row],[STR]] / ('Water Elemental'!$D$6 / 10.8)), 1)</f>
        <v>7</v>
      </c>
      <c r="U40" s="12">
        <f>CEILING('Fire Elemental'!$B$4/ IF('Fire Elemental'!$D$4&lt; 10.8, Table13[[#This Row],[STR]], Table13[[#This Row],[STR]] / ('Fire Elemental'!$D$4 / 10.8)), 1)</f>
        <v>9</v>
      </c>
      <c r="V40" s="15">
        <f>CEILING(Wyvern!$B$4/ IF(Wyvern!$D$4&lt; 10.8, Table13[[#This Row],[STR]], Table13[[#This Row],[STR]] / (Wyvern!$D$4 / 10.8)), 1)</f>
        <v>12</v>
      </c>
      <c r="W40" s="15">
        <f>CEILING('Evolved Wyvern'!$B$4/ IF('Evolved Wyvern'!$D$4&lt; 10.8, Table13[[#This Row],[STR]], Table13[[#This Row],[STR]] / ('Evolved Wyvern'!$D$4 / 10.8)), 1)</f>
        <v>16</v>
      </c>
      <c r="X40" s="15">
        <f>CEILING(Dragon!$B$4/ IF(Dragon!$D$4&lt; 10.8, Table13[[#This Row],[STR]], Table13[[#This Row],[STR]] / (Dragon!$D$4 / 10.8)), 1)</f>
        <v>26</v>
      </c>
      <c r="Z40" s="8">
        <f>CEILING('Blue Slime'!$M$5/ IF('Blue Slime'!$O$5&lt; 10.8, Table13[[#This Row],[STR]], Table13[[#This Row],[STR]] / ('Blue Slime'!$O$5 / 10.8)), 1)</f>
        <v>1</v>
      </c>
      <c r="AA40" s="8">
        <f>CEILING('Green Slime'!$M$5/ IF('Green Slime'!$O$5&lt; 10.8, Table13[[#This Row],[STR]], Table13[[#This Row],[STR]] / ('Green Slime'!$O$5 / 10.8)), 1)</f>
        <v>1</v>
      </c>
      <c r="AB40" s="8">
        <f>CEILING(Wolf!$M$6/ IF(Wolf!$O$6&lt; 10.8, Table13[[#This Row],[STR]], Table13[[#This Row],[STR]] / (Wolf!$O$6 / 10.8)), 1)</f>
        <v>2</v>
      </c>
      <c r="AC40" s="8">
        <f>CEILING('Horned Wolf'!$M$5/ IF('Horned Wolf'!$O$5&lt; 10.8, Table13[[#This Row],[STR]], Table13[[#This Row],[STR]] / ('Horned Wolf'!$O$5 / 10.8)), 1)</f>
        <v>5</v>
      </c>
      <c r="AD40" s="8">
        <f>CEILING(Spider!$M$7/ IF(Spider!$O$7&lt; 10.8, Table13[[#This Row],[STR]], Table13[[#This Row],[STR]] / (Spider!$O$7 / 10.8)), 1)</f>
        <v>4</v>
      </c>
      <c r="AE40" s="8">
        <f>CEILING('Evolved Spider'!$M$8/ IF('Evolved Spider'!$O$8&lt; 10.8, Table13[[#This Row],[STR]], Table13[[#This Row],[STR]] / ('Evolved Spider'!$O$8 / 10.8)), 1)</f>
        <v>7</v>
      </c>
      <c r="AF40" s="8">
        <f>CEILING(Arachne!$M$4/ IF(Arachne!$O$4&lt; 10.8, Table13[[#This Row],[STR]], Table13[[#This Row],[STR]] / (Arachne!$O$4 / 10.8)), 1)</f>
        <v>10</v>
      </c>
      <c r="AG40" s="12">
        <f>CEILING('Earth Elemental'!$M$6/ IF('Earth Elemental'!$O$6&lt; 10.8, Table13[[#This Row],[STR]], Table13[[#This Row],[STR]] / ('Earth Elemental'!$O$6 / 10.8)), 1)</f>
        <v>9</v>
      </c>
      <c r="AH40" s="12">
        <f>CEILING('Wind Elemental'!$M$6/ IF('Wind Elemental'!$O$6&lt; 10.8, Table13[[#This Row],[STR]], Table13[[#This Row],[STR]] / ('Wind Elemental'!$O$6 / 10.8)), 1)</f>
        <v>7</v>
      </c>
      <c r="AI40" s="12">
        <f>CEILING('Water Elemental'!$M$6/ IF('Water Elemental'!$O$6&lt; 10.8, Table13[[#This Row],[STR]], Table13[[#This Row],[STR]] / ('Water Elemental'!$O$6 / 10.8)), 1)</f>
        <v>11</v>
      </c>
      <c r="AJ40" s="12">
        <f>CEILING('Fire Elemental'!$M$4/ IF('Fire Elemental'!$O$4&lt; 10.8, Table13[[#This Row],[STR]], Table13[[#This Row],[STR]] / ('Fire Elemental'!$O$4 / 10.8)), 1)</f>
        <v>15</v>
      </c>
      <c r="AK40" s="15">
        <f>CEILING(Wyvern!$M$4/ IF(Wyvern!$O$4&lt; 10.8, Table13[[#This Row],[STR]], Table13[[#This Row],[STR]] / (Wyvern!$O$4 / 10.8)), 1)</f>
        <v>19</v>
      </c>
      <c r="AL40" s="15">
        <f>CEILING('Evolved Wyvern'!$M$4/ IF('Evolved Wyvern'!$O$4&lt; 10.8, Table13[[#This Row],[STR]], Table13[[#This Row],[STR]] / ('Evolved Wyvern'!$O$4 / 10.8)), 1)</f>
        <v>25</v>
      </c>
      <c r="AM40" s="15">
        <f>CEILING(Dragon!$M$4/ IF(Dragon!$O$4&lt; 10.8, Table13[[#This Row],[STR]], Table13[[#This Row],[STR]] / (Dragon!$O$4 / 10.8)), 1)</f>
        <v>42</v>
      </c>
      <c r="AO40" s="8">
        <f>CEILING('Blue Slime'!$Z$5/ IF('Blue Slime'!$X$5&lt; 10.8, Table13[[#This Row],[STR]], Table13[[#This Row],[STR]] / ('Blue Slime'!$X$5 / 10.8)), 1)</f>
        <v>1</v>
      </c>
      <c r="AP40" s="8">
        <f>CEILING('Green Slime'!$Z$5/ IF('Green Slime'!$X$5&lt; 10.8, Table13[[#This Row],[STR]], Table13[[#This Row],[STR]] / ('Green Slime'!$X$5 / 10.8)), 1)</f>
        <v>1</v>
      </c>
      <c r="AQ40" s="8">
        <f>CEILING(Wolf!$Z$6/ IF(Wolf!$X$6&lt; 10.8, Table13[[#This Row],[STR]], Table13[[#This Row],[STR]] / (Wolf!$X$6 / 10.8)), 1)</f>
        <v>3</v>
      </c>
      <c r="AR40" s="8">
        <f>CEILING('Horned Wolf'!$Z$5/ IF('Horned Wolf'!$X$5&lt; 10.8, Table13[[#This Row],[STR]], Table13[[#This Row],[STR]] / ('Horned Wolf'!$X$5 / 10.8)), 1)</f>
        <v>8</v>
      </c>
      <c r="AS40" s="8">
        <f>CEILING(Spider!$Z$7/ IF(Spider!$X$7&lt; 10.8, Table13[[#This Row],[STR]], Table13[[#This Row],[STR]] / (Spider!$X$7 / 10.8)), 1)</f>
        <v>7</v>
      </c>
      <c r="AT40" s="8">
        <f>CEILING('Evolved Spider'!$Z$8/ IF('Evolved Spider'!$X$8&lt; 10.8, Table13[[#This Row],[STR]], Table13[[#This Row],[STR]] / ('Evolved Spider'!$X$8 / 10.8)), 1)</f>
        <v>12</v>
      </c>
      <c r="AU40" s="8">
        <f>CEILING(Arachne!$Z$4/ IF(Arachne!$X$4&lt; 10.8, Table13[[#This Row],[STR]], Table13[[#This Row],[STR]] / (Arachne!$X$4 / 10.8)), 1)</f>
        <v>16</v>
      </c>
      <c r="AV40" s="12">
        <f>CEILING('Earth Elemental'!$Z$6/ IF('Earth Elemental'!$X$6&lt; 10.8, Table13[[#This Row],[STR]], Table13[[#This Row],[STR]] / ('Earth Elemental'!$X$6 / 10.8)), 1)</f>
        <v>13</v>
      </c>
      <c r="AW40" s="12">
        <f>CEILING('Wind Elemental'!$Z$6/ IF('Wind Elemental'!$X$6&lt; 10.8, Table13[[#This Row],[STR]], Table13[[#This Row],[STR]] / ('Wind Elemental'!$X$6 / 10.8)), 1)</f>
        <v>10</v>
      </c>
      <c r="AX40" s="12">
        <f>CEILING('Water Elemental'!$Z$6/ IF('Water Elemental'!$X$6&lt; 10.8, Table13[[#This Row],[STR]], Table13[[#This Row],[STR]] / ('Water Elemental'!$X$6 / 10.8)), 1)</f>
        <v>14</v>
      </c>
      <c r="AY40" s="12">
        <f>CEILING('Fire Elemental'!$Z$4/ IF('Fire Elemental'!$X$4&lt; 10.8, Table13[[#This Row],[STR]], Table13[[#This Row],[STR]] / ('Fire Elemental'!$X$4 / 10.8)), 1)</f>
        <v>23</v>
      </c>
      <c r="AZ40" s="15">
        <f>CEILING(Wyvern!$Z$4/ IF(Wyvern!$X$4&lt; 10.8, Table13[[#This Row],[STR]], Table13[[#This Row],[STR]] / (Wyvern!$X$4 / 10.8)), 1)</f>
        <v>28</v>
      </c>
      <c r="BA40" s="15">
        <f>CEILING('Evolved Wyvern'!$Z$4/ IF('Evolved Wyvern'!$X$4&lt; 10.8, Table13[[#This Row],[STR]], Table13[[#This Row],[STR]] / ('Evolved Wyvern'!$X$4 / 10.8)), 1)</f>
        <v>35</v>
      </c>
      <c r="BB40" s="15">
        <f>CEILING(Dragon!$Z$4/ IF(Dragon!$X$4&lt; 10.8, Table13[[#This Row],[STR]], Table13[[#This Row],[STR]] / (Dragon!$X$4 / 10.8)), 1)</f>
        <v>59</v>
      </c>
    </row>
    <row r="41" spans="1:54" x14ac:dyDescent="0.3">
      <c r="A41" s="1">
        <v>39</v>
      </c>
      <c r="B41" s="1">
        <f>$B$3 + ((Table13[[#This Row],[Level]] / 10) + $B$3 / 8) * Table13[[#This Row],[Level]] + Equipment!$Z$34</f>
        <v>312.35000000000002</v>
      </c>
      <c r="C41" s="1">
        <f>2 * Table13[[#This Row],[INT]]</f>
        <v>149.5</v>
      </c>
      <c r="D41" s="1">
        <f>$D$3 + ($D$3 / 4) * Table13[[#This Row],[Level]] + Equipment!$AA$34</f>
        <v>120</v>
      </c>
      <c r="E41" s="1">
        <f>$E$3 + ($E$3 / 4) * Table13[[#This Row],[Level]] + Equipment!$AB$34</f>
        <v>90.5</v>
      </c>
      <c r="F41" s="1">
        <f>$F$3 + ($F$3 / 4) * Table13[[#This Row],[Level]] + Equipment!$AC$34</f>
        <v>105.25</v>
      </c>
      <c r="G41" s="1">
        <f>$G$3 + ($G$3 / 4) * Table13[[#This Row],[Level]] + Equipment!$AD$34</f>
        <v>74.75</v>
      </c>
      <c r="H41" s="1">
        <f>$H$3 + ($H$3 / 4) * Table13[[#This Row],[Level]] + Equipment!$AE$34</f>
        <v>90.5</v>
      </c>
      <c r="I41" s="1">
        <f xml:space="preserve"> (4 * (Table13[[#This Row],[Level]] ^ 3))/7 + $I$3</f>
        <v>33996.571428571428</v>
      </c>
      <c r="K41" s="8">
        <f>CEILING('Blue Slime'!$B$5/ IF('Blue Slime'!$D$5&lt; 10.8, Table13[[#This Row],[STR]], Table13[[#This Row],[STR]] / ('Blue Slime'!$D$5 / 10.8)), 1)</f>
        <v>1</v>
      </c>
      <c r="L41" s="8">
        <f>CEILING('Green Slime'!$B$5/ IF('Green Slime'!$D$5&lt; 10.8, Table13[[#This Row],[STR]], Table13[[#This Row],[STR]] / ('Green Slime'!$D$5 / 10.8)), 1)</f>
        <v>1</v>
      </c>
      <c r="M41" s="8">
        <f>CEILING(Wolf!$B$6/ IF(Wolf!$D$6&lt; 10.8, Table13[[#This Row],[STR]], Table13[[#This Row],[STR]] / (Wolf!$D$6 / 10.8)), 1)</f>
        <v>1</v>
      </c>
      <c r="N41" s="8">
        <f>CEILING('Horned Wolf'!$B$5/ IF('Horned Wolf'!$D$5&lt; 10.8, Table13[[#This Row],[STR]], Table13[[#This Row],[STR]] / ('Horned Wolf'!$D$5 / 10.8)), 1)</f>
        <v>2</v>
      </c>
      <c r="O41" s="8">
        <f>CEILING(Spider!$B$7/ IF(Spider!$D$7&lt; 10.8, Table13[[#This Row],[STR]], Table13[[#This Row],[STR]] / (Spider!$D$7 / 10.8)), 1)</f>
        <v>2</v>
      </c>
      <c r="P41" s="8">
        <f>CEILING('Evolved Spider'!$B$8/ IF('Evolved Spider'!$D$8&lt; 10.8, Table13[[#This Row],[STR]], Table13[[#This Row],[STR]] / ('Evolved Spider'!$D$8 / 10.8)), 1)</f>
        <v>4</v>
      </c>
      <c r="Q41" s="8">
        <f>CEILING(Arachne!$B$4/ IF(Arachne!$D$4&lt; 10.8, Table13[[#This Row],[STR]], Table13[[#This Row],[STR]] / (Arachne!$D$4 / 10.8)), 1)</f>
        <v>5</v>
      </c>
      <c r="R41" s="12">
        <f>CEILING('Earth Elemental'!$B$6/ IF('Earth Elemental'!$D$6&lt; 10.8, Table13[[#This Row],[STR]], Table13[[#This Row],[STR]] / ('Earth Elemental'!$D$6 / 10.8)), 1)</f>
        <v>5</v>
      </c>
      <c r="S41" s="12">
        <f>CEILING('Wind Elemental'!$B$6/ IF('Wind Elemental'!$D$6&lt; 10.8, Table13[[#This Row],[STR]], Table13[[#This Row],[STR]] / ('Wind Elemental'!$D$6 / 10.8)), 1)</f>
        <v>5</v>
      </c>
      <c r="T41" s="12">
        <f>CEILING('Water Elemental'!$B$6/ IF('Water Elemental'!$D$6&lt; 10.8, Table13[[#This Row],[STR]], Table13[[#This Row],[STR]] / ('Water Elemental'!$D$6 / 10.8)), 1)</f>
        <v>7</v>
      </c>
      <c r="U41" s="12">
        <f>CEILING('Fire Elemental'!$B$4/ IF('Fire Elemental'!$D$4&lt; 10.8, Table13[[#This Row],[STR]], Table13[[#This Row],[STR]] / ('Fire Elemental'!$D$4 / 10.8)), 1)</f>
        <v>9</v>
      </c>
      <c r="V41" s="15">
        <f>CEILING(Wyvern!$B$4/ IF(Wyvern!$D$4&lt; 10.8, Table13[[#This Row],[STR]], Table13[[#This Row],[STR]] / (Wyvern!$D$4 / 10.8)), 1)</f>
        <v>12</v>
      </c>
      <c r="W41" s="15">
        <f>CEILING('Evolved Wyvern'!$B$4/ IF('Evolved Wyvern'!$D$4&lt; 10.8, Table13[[#This Row],[STR]], Table13[[#This Row],[STR]] / ('Evolved Wyvern'!$D$4 / 10.8)), 1)</f>
        <v>16</v>
      </c>
      <c r="X41" s="15">
        <f>CEILING(Dragon!$B$4/ IF(Dragon!$D$4&lt; 10.8, Table13[[#This Row],[STR]], Table13[[#This Row],[STR]] / (Dragon!$D$4 / 10.8)), 1)</f>
        <v>26</v>
      </c>
      <c r="Z41" s="8">
        <f>CEILING('Blue Slime'!$M$5/ IF('Blue Slime'!$O$5&lt; 10.8, Table13[[#This Row],[STR]], Table13[[#This Row],[STR]] / ('Blue Slime'!$O$5 / 10.8)), 1)</f>
        <v>1</v>
      </c>
      <c r="AA41" s="8">
        <f>CEILING('Green Slime'!$M$5/ IF('Green Slime'!$O$5&lt; 10.8, Table13[[#This Row],[STR]], Table13[[#This Row],[STR]] / ('Green Slime'!$O$5 / 10.8)), 1)</f>
        <v>1</v>
      </c>
      <c r="AB41" s="8">
        <f>CEILING(Wolf!$M$6/ IF(Wolf!$O$6&lt; 10.8, Table13[[#This Row],[STR]], Table13[[#This Row],[STR]] / (Wolf!$O$6 / 10.8)), 1)</f>
        <v>2</v>
      </c>
      <c r="AC41" s="8">
        <f>CEILING('Horned Wolf'!$M$5/ IF('Horned Wolf'!$O$5&lt; 10.8, Table13[[#This Row],[STR]], Table13[[#This Row],[STR]] / ('Horned Wolf'!$O$5 / 10.8)), 1)</f>
        <v>5</v>
      </c>
      <c r="AD41" s="8">
        <f>CEILING(Spider!$M$7/ IF(Spider!$O$7&lt; 10.8, Table13[[#This Row],[STR]], Table13[[#This Row],[STR]] / (Spider!$O$7 / 10.8)), 1)</f>
        <v>4</v>
      </c>
      <c r="AE41" s="8">
        <f>CEILING('Evolved Spider'!$M$8/ IF('Evolved Spider'!$O$8&lt; 10.8, Table13[[#This Row],[STR]], Table13[[#This Row],[STR]] / ('Evolved Spider'!$O$8 / 10.8)), 1)</f>
        <v>7</v>
      </c>
      <c r="AF41" s="8">
        <f>CEILING(Arachne!$M$4/ IF(Arachne!$O$4&lt; 10.8, Table13[[#This Row],[STR]], Table13[[#This Row],[STR]] / (Arachne!$O$4 / 10.8)), 1)</f>
        <v>10</v>
      </c>
      <c r="AG41" s="12">
        <f>CEILING('Earth Elemental'!$M$6/ IF('Earth Elemental'!$O$6&lt; 10.8, Table13[[#This Row],[STR]], Table13[[#This Row],[STR]] / ('Earth Elemental'!$O$6 / 10.8)), 1)</f>
        <v>9</v>
      </c>
      <c r="AH41" s="12">
        <f>CEILING('Wind Elemental'!$M$6/ IF('Wind Elemental'!$O$6&lt; 10.8, Table13[[#This Row],[STR]], Table13[[#This Row],[STR]] / ('Wind Elemental'!$O$6 / 10.8)), 1)</f>
        <v>7</v>
      </c>
      <c r="AI41" s="12">
        <f>CEILING('Water Elemental'!$M$6/ IF('Water Elemental'!$O$6&lt; 10.8, Table13[[#This Row],[STR]], Table13[[#This Row],[STR]] / ('Water Elemental'!$O$6 / 10.8)), 1)</f>
        <v>10</v>
      </c>
      <c r="AJ41" s="12">
        <f>CEILING('Fire Elemental'!$M$4/ IF('Fire Elemental'!$O$4&lt; 10.8, Table13[[#This Row],[STR]], Table13[[#This Row],[STR]] / ('Fire Elemental'!$O$4 / 10.8)), 1)</f>
        <v>15</v>
      </c>
      <c r="AK41" s="15">
        <f>CEILING(Wyvern!$M$4/ IF(Wyvern!$O$4&lt; 10.8, Table13[[#This Row],[STR]], Table13[[#This Row],[STR]] / (Wyvern!$O$4 / 10.8)), 1)</f>
        <v>19</v>
      </c>
      <c r="AL41" s="15">
        <f>CEILING('Evolved Wyvern'!$M$4/ IF('Evolved Wyvern'!$O$4&lt; 10.8, Table13[[#This Row],[STR]], Table13[[#This Row],[STR]] / ('Evolved Wyvern'!$O$4 / 10.8)), 1)</f>
        <v>25</v>
      </c>
      <c r="AM41" s="15">
        <f>CEILING(Dragon!$M$4/ IF(Dragon!$O$4&lt; 10.8, Table13[[#This Row],[STR]], Table13[[#This Row],[STR]] / (Dragon!$O$4 / 10.8)), 1)</f>
        <v>41</v>
      </c>
      <c r="AO41" s="8">
        <f>CEILING('Blue Slime'!$Z$5/ IF('Blue Slime'!$X$5&lt; 10.8, Table13[[#This Row],[STR]], Table13[[#This Row],[STR]] / ('Blue Slime'!$X$5 / 10.8)), 1)</f>
        <v>1</v>
      </c>
      <c r="AP41" s="8">
        <f>CEILING('Green Slime'!$Z$5/ IF('Green Slime'!$X$5&lt; 10.8, Table13[[#This Row],[STR]], Table13[[#This Row],[STR]] / ('Green Slime'!$X$5 / 10.8)), 1)</f>
        <v>1</v>
      </c>
      <c r="AQ41" s="8">
        <f>CEILING(Wolf!$Z$6/ IF(Wolf!$X$6&lt; 10.8, Table13[[#This Row],[STR]], Table13[[#This Row],[STR]] / (Wolf!$X$6 / 10.8)), 1)</f>
        <v>3</v>
      </c>
      <c r="AR41" s="8">
        <f>CEILING('Horned Wolf'!$Z$5/ IF('Horned Wolf'!$X$5&lt; 10.8, Table13[[#This Row],[STR]], Table13[[#This Row],[STR]] / ('Horned Wolf'!$X$5 / 10.8)), 1)</f>
        <v>8</v>
      </c>
      <c r="AS41" s="8">
        <f>CEILING(Spider!$Z$7/ IF(Spider!$X$7&lt; 10.8, Table13[[#This Row],[STR]], Table13[[#This Row],[STR]] / (Spider!$X$7 / 10.8)), 1)</f>
        <v>7</v>
      </c>
      <c r="AT41" s="8">
        <f>CEILING('Evolved Spider'!$Z$8/ IF('Evolved Spider'!$X$8&lt; 10.8, Table13[[#This Row],[STR]], Table13[[#This Row],[STR]] / ('Evolved Spider'!$X$8 / 10.8)), 1)</f>
        <v>12</v>
      </c>
      <c r="AU41" s="8">
        <f>CEILING(Arachne!$Z$4/ IF(Arachne!$X$4&lt; 10.8, Table13[[#This Row],[STR]], Table13[[#This Row],[STR]] / (Arachne!$X$4 / 10.8)), 1)</f>
        <v>16</v>
      </c>
      <c r="AV41" s="12">
        <f>CEILING('Earth Elemental'!$Z$6/ IF('Earth Elemental'!$X$6&lt; 10.8, Table13[[#This Row],[STR]], Table13[[#This Row],[STR]] / ('Earth Elemental'!$X$6 / 10.8)), 1)</f>
        <v>13</v>
      </c>
      <c r="AW41" s="12">
        <f>CEILING('Wind Elemental'!$Z$6/ IF('Wind Elemental'!$X$6&lt; 10.8, Table13[[#This Row],[STR]], Table13[[#This Row],[STR]] / ('Wind Elemental'!$X$6 / 10.8)), 1)</f>
        <v>10</v>
      </c>
      <c r="AX41" s="12">
        <f>CEILING('Water Elemental'!$Z$6/ IF('Water Elemental'!$X$6&lt; 10.8, Table13[[#This Row],[STR]], Table13[[#This Row],[STR]] / ('Water Elemental'!$X$6 / 10.8)), 1)</f>
        <v>14</v>
      </c>
      <c r="AY41" s="12">
        <f>CEILING('Fire Elemental'!$Z$4/ IF('Fire Elemental'!$X$4&lt; 10.8, Table13[[#This Row],[STR]], Table13[[#This Row],[STR]] / ('Fire Elemental'!$X$4 / 10.8)), 1)</f>
        <v>23</v>
      </c>
      <c r="AZ41" s="15">
        <f>CEILING(Wyvern!$Z$4/ IF(Wyvern!$X$4&lt; 10.8, Table13[[#This Row],[STR]], Table13[[#This Row],[STR]] / (Wyvern!$X$4 / 10.8)), 1)</f>
        <v>27</v>
      </c>
      <c r="BA41" s="15">
        <f>CEILING('Evolved Wyvern'!$Z$4/ IF('Evolved Wyvern'!$X$4&lt; 10.8, Table13[[#This Row],[STR]], Table13[[#This Row],[STR]] / ('Evolved Wyvern'!$X$4 / 10.8)), 1)</f>
        <v>35</v>
      </c>
      <c r="BB41" s="15">
        <f>CEILING(Dragon!$Z$4/ IF(Dragon!$X$4&lt; 10.8, Table13[[#This Row],[STR]], Table13[[#This Row],[STR]] / (Dragon!$X$4 / 10.8)), 1)</f>
        <v>58</v>
      </c>
    </row>
    <row r="42" spans="1:54" x14ac:dyDescent="0.3">
      <c r="A42" s="1">
        <v>40</v>
      </c>
      <c r="B42" s="1">
        <f>$B$3 + ((Table13[[#This Row],[Level]] / 10) + $B$3 / 8) * Table13[[#This Row],[Level]] + Equipment!$Z$34</f>
        <v>322</v>
      </c>
      <c r="C42" s="1">
        <f>2 * Table13[[#This Row],[INT]]</f>
        <v>152</v>
      </c>
      <c r="D42" s="1">
        <f>$D$3 + ($D$3 / 4) * Table13[[#This Row],[Level]] + Equipment!$AA$34</f>
        <v>122</v>
      </c>
      <c r="E42" s="1">
        <f>$E$3 + ($E$3 / 4) * Table13[[#This Row],[Level]] + Equipment!$AB$34</f>
        <v>92</v>
      </c>
      <c r="F42" s="1">
        <f>$F$3 + ($F$3 / 4) * Table13[[#This Row],[Level]] + Equipment!$AC$34</f>
        <v>107</v>
      </c>
      <c r="G42" s="1">
        <f>$G$3 + ($G$3 / 4) * Table13[[#This Row],[Level]] + Equipment!$AD$34</f>
        <v>76</v>
      </c>
      <c r="H42" s="1">
        <f>$H$3 + ($H$3 / 4) * Table13[[#This Row],[Level]] + Equipment!$AE$34</f>
        <v>92</v>
      </c>
      <c r="I42" s="1">
        <f xml:space="preserve"> (4 * (Table13[[#This Row],[Level]] ^ 3))/7 + $I$3</f>
        <v>36671.428571428572</v>
      </c>
      <c r="K42" s="8">
        <f>CEILING('Blue Slime'!$B$5/ IF('Blue Slime'!$D$5&lt; 10.8, Table13[[#This Row],[STR]], Table13[[#This Row],[STR]] / ('Blue Slime'!$D$5 / 10.8)), 1)</f>
        <v>1</v>
      </c>
      <c r="L42" s="8">
        <f>CEILING('Green Slime'!$B$5/ IF('Green Slime'!$D$5&lt; 10.8, Table13[[#This Row],[STR]], Table13[[#This Row],[STR]] / ('Green Slime'!$D$5 / 10.8)), 1)</f>
        <v>1</v>
      </c>
      <c r="M42" s="8">
        <f>CEILING(Wolf!$B$6/ IF(Wolf!$D$6&lt; 10.8, Table13[[#This Row],[STR]], Table13[[#This Row],[STR]] / (Wolf!$D$6 / 10.8)), 1)</f>
        <v>1</v>
      </c>
      <c r="N42" s="8">
        <f>CEILING('Horned Wolf'!$B$5/ IF('Horned Wolf'!$D$5&lt; 10.8, Table13[[#This Row],[STR]], Table13[[#This Row],[STR]] / ('Horned Wolf'!$D$5 / 10.8)), 1)</f>
        <v>2</v>
      </c>
      <c r="O42" s="8">
        <f>CEILING(Spider!$B$7/ IF(Spider!$D$7&lt; 10.8, Table13[[#This Row],[STR]], Table13[[#This Row],[STR]] / (Spider!$D$7 / 10.8)), 1)</f>
        <v>2</v>
      </c>
      <c r="P42" s="8">
        <f>CEILING('Evolved Spider'!$B$8/ IF('Evolved Spider'!$D$8&lt; 10.8, Table13[[#This Row],[STR]], Table13[[#This Row],[STR]] / ('Evolved Spider'!$D$8 / 10.8)), 1)</f>
        <v>4</v>
      </c>
      <c r="Q42" s="8">
        <f>CEILING(Arachne!$B$4/ IF(Arachne!$D$4&lt; 10.8, Table13[[#This Row],[STR]], Table13[[#This Row],[STR]] / (Arachne!$D$4 / 10.8)), 1)</f>
        <v>5</v>
      </c>
      <c r="R42" s="12">
        <f>CEILING('Earth Elemental'!$B$6/ IF('Earth Elemental'!$D$6&lt; 10.8, Table13[[#This Row],[STR]], Table13[[#This Row],[STR]] / ('Earth Elemental'!$D$6 / 10.8)), 1)</f>
        <v>5</v>
      </c>
      <c r="S42" s="12">
        <f>CEILING('Wind Elemental'!$B$6/ IF('Wind Elemental'!$D$6&lt; 10.8, Table13[[#This Row],[STR]], Table13[[#This Row],[STR]] / ('Wind Elemental'!$D$6 / 10.8)), 1)</f>
        <v>5</v>
      </c>
      <c r="T42" s="12">
        <f>CEILING('Water Elemental'!$B$6/ IF('Water Elemental'!$D$6&lt; 10.8, Table13[[#This Row],[STR]], Table13[[#This Row],[STR]] / ('Water Elemental'!$D$6 / 10.8)), 1)</f>
        <v>7</v>
      </c>
      <c r="U42" s="12">
        <f>CEILING('Fire Elemental'!$B$4/ IF('Fire Elemental'!$D$4&lt; 10.8, Table13[[#This Row],[STR]], Table13[[#This Row],[STR]] / ('Fire Elemental'!$D$4 / 10.8)), 1)</f>
        <v>9</v>
      </c>
      <c r="V42" s="15">
        <f>CEILING(Wyvern!$B$4/ IF(Wyvern!$D$4&lt; 10.8, Table13[[#This Row],[STR]], Table13[[#This Row],[STR]] / (Wyvern!$D$4 / 10.8)), 1)</f>
        <v>11</v>
      </c>
      <c r="W42" s="15">
        <f>CEILING('Evolved Wyvern'!$B$4/ IF('Evolved Wyvern'!$D$4&lt; 10.8, Table13[[#This Row],[STR]], Table13[[#This Row],[STR]] / ('Evolved Wyvern'!$D$4 / 10.8)), 1)</f>
        <v>16</v>
      </c>
      <c r="X42" s="15">
        <f>CEILING(Dragon!$B$4/ IF(Dragon!$D$4&lt; 10.8, Table13[[#This Row],[STR]], Table13[[#This Row],[STR]] / (Dragon!$D$4 / 10.8)), 1)</f>
        <v>25</v>
      </c>
      <c r="Z42" s="8">
        <f>CEILING('Blue Slime'!$M$5/ IF('Blue Slime'!$O$5&lt; 10.8, Table13[[#This Row],[STR]], Table13[[#This Row],[STR]] / ('Blue Slime'!$O$5 / 10.8)), 1)</f>
        <v>1</v>
      </c>
      <c r="AA42" s="8">
        <f>CEILING('Green Slime'!$M$5/ IF('Green Slime'!$O$5&lt; 10.8, Table13[[#This Row],[STR]], Table13[[#This Row],[STR]] / ('Green Slime'!$O$5 / 10.8)), 1)</f>
        <v>1</v>
      </c>
      <c r="AB42" s="8">
        <f>CEILING(Wolf!$M$6/ IF(Wolf!$O$6&lt; 10.8, Table13[[#This Row],[STR]], Table13[[#This Row],[STR]] / (Wolf!$O$6 / 10.8)), 1)</f>
        <v>2</v>
      </c>
      <c r="AC42" s="8">
        <f>CEILING('Horned Wolf'!$M$5/ IF('Horned Wolf'!$O$5&lt; 10.8, Table13[[#This Row],[STR]], Table13[[#This Row],[STR]] / ('Horned Wolf'!$O$5 / 10.8)), 1)</f>
        <v>4</v>
      </c>
      <c r="AD42" s="8">
        <f>CEILING(Spider!$M$7/ IF(Spider!$O$7&lt; 10.8, Table13[[#This Row],[STR]], Table13[[#This Row],[STR]] / (Spider!$O$7 / 10.8)), 1)</f>
        <v>4</v>
      </c>
      <c r="AE42" s="8">
        <f>CEILING('Evolved Spider'!$M$8/ IF('Evolved Spider'!$O$8&lt; 10.8, Table13[[#This Row],[STR]], Table13[[#This Row],[STR]] / ('Evolved Spider'!$O$8 / 10.8)), 1)</f>
        <v>7</v>
      </c>
      <c r="AF42" s="8">
        <f>CEILING(Arachne!$M$4/ IF(Arachne!$O$4&lt; 10.8, Table13[[#This Row],[STR]], Table13[[#This Row],[STR]] / (Arachne!$O$4 / 10.8)), 1)</f>
        <v>10</v>
      </c>
      <c r="AG42" s="12">
        <f>CEILING('Earth Elemental'!$M$6/ IF('Earth Elemental'!$O$6&lt; 10.8, Table13[[#This Row],[STR]], Table13[[#This Row],[STR]] / ('Earth Elemental'!$O$6 / 10.8)), 1)</f>
        <v>9</v>
      </c>
      <c r="AH42" s="12">
        <f>CEILING('Wind Elemental'!$M$6/ IF('Wind Elemental'!$O$6&lt; 10.8, Table13[[#This Row],[STR]], Table13[[#This Row],[STR]] / ('Wind Elemental'!$O$6 / 10.8)), 1)</f>
        <v>7</v>
      </c>
      <c r="AI42" s="12">
        <f>CEILING('Water Elemental'!$M$6/ IF('Water Elemental'!$O$6&lt; 10.8, Table13[[#This Row],[STR]], Table13[[#This Row],[STR]] / ('Water Elemental'!$O$6 / 10.8)), 1)</f>
        <v>10</v>
      </c>
      <c r="AJ42" s="12">
        <f>CEILING('Fire Elemental'!$M$4/ IF('Fire Elemental'!$O$4&lt; 10.8, Table13[[#This Row],[STR]], Table13[[#This Row],[STR]] / ('Fire Elemental'!$O$4 / 10.8)), 1)</f>
        <v>15</v>
      </c>
      <c r="AK42" s="15">
        <f>CEILING(Wyvern!$M$4/ IF(Wyvern!$O$4&lt; 10.8, Table13[[#This Row],[STR]], Table13[[#This Row],[STR]] / (Wyvern!$O$4 / 10.8)), 1)</f>
        <v>19</v>
      </c>
      <c r="AL42" s="15">
        <f>CEILING('Evolved Wyvern'!$M$4/ IF('Evolved Wyvern'!$O$4&lt; 10.8, Table13[[#This Row],[STR]], Table13[[#This Row],[STR]] / ('Evolved Wyvern'!$O$4 / 10.8)), 1)</f>
        <v>25</v>
      </c>
      <c r="AM42" s="15">
        <f>CEILING(Dragon!$M$4/ IF(Dragon!$O$4&lt; 10.8, Table13[[#This Row],[STR]], Table13[[#This Row],[STR]] / (Dragon!$O$4 / 10.8)), 1)</f>
        <v>41</v>
      </c>
      <c r="AO42" s="8">
        <f>CEILING('Blue Slime'!$Z$5/ IF('Blue Slime'!$X$5&lt; 10.8, Table13[[#This Row],[STR]], Table13[[#This Row],[STR]] / ('Blue Slime'!$X$5 / 10.8)), 1)</f>
        <v>1</v>
      </c>
      <c r="AP42" s="8">
        <f>CEILING('Green Slime'!$Z$5/ IF('Green Slime'!$X$5&lt; 10.8, Table13[[#This Row],[STR]], Table13[[#This Row],[STR]] / ('Green Slime'!$X$5 / 10.8)), 1)</f>
        <v>1</v>
      </c>
      <c r="AQ42" s="8">
        <f>CEILING(Wolf!$Z$6/ IF(Wolf!$X$6&lt; 10.8, Table13[[#This Row],[STR]], Table13[[#This Row],[STR]] / (Wolf!$X$6 / 10.8)), 1)</f>
        <v>3</v>
      </c>
      <c r="AR42" s="8">
        <f>CEILING('Horned Wolf'!$Z$5/ IF('Horned Wolf'!$X$5&lt; 10.8, Table13[[#This Row],[STR]], Table13[[#This Row],[STR]] / ('Horned Wolf'!$X$5 / 10.8)), 1)</f>
        <v>7</v>
      </c>
      <c r="AS42" s="8">
        <f>CEILING(Spider!$Z$7/ IF(Spider!$X$7&lt; 10.8, Table13[[#This Row],[STR]], Table13[[#This Row],[STR]] / (Spider!$X$7 / 10.8)), 1)</f>
        <v>7</v>
      </c>
      <c r="AT42" s="8">
        <f>CEILING('Evolved Spider'!$Z$8/ IF('Evolved Spider'!$X$8&lt; 10.8, Table13[[#This Row],[STR]], Table13[[#This Row],[STR]] / ('Evolved Spider'!$X$8 / 10.8)), 1)</f>
        <v>11</v>
      </c>
      <c r="AU42" s="8">
        <f>CEILING(Arachne!$Z$4/ IF(Arachne!$X$4&lt; 10.8, Table13[[#This Row],[STR]], Table13[[#This Row],[STR]] / (Arachne!$X$4 / 10.8)), 1)</f>
        <v>15</v>
      </c>
      <c r="AV42" s="12">
        <f>CEILING('Earth Elemental'!$Z$6/ IF('Earth Elemental'!$X$6&lt; 10.8, Table13[[#This Row],[STR]], Table13[[#This Row],[STR]] / ('Earth Elemental'!$X$6 / 10.8)), 1)</f>
        <v>13</v>
      </c>
      <c r="AW42" s="12">
        <f>CEILING('Wind Elemental'!$Z$6/ IF('Wind Elemental'!$X$6&lt; 10.8, Table13[[#This Row],[STR]], Table13[[#This Row],[STR]] / ('Wind Elemental'!$X$6 / 10.8)), 1)</f>
        <v>10</v>
      </c>
      <c r="AX42" s="12">
        <f>CEILING('Water Elemental'!$Z$6/ IF('Water Elemental'!$X$6&lt; 10.8, Table13[[#This Row],[STR]], Table13[[#This Row],[STR]] / ('Water Elemental'!$X$6 / 10.8)), 1)</f>
        <v>14</v>
      </c>
      <c r="AY42" s="12">
        <f>CEILING('Fire Elemental'!$Z$4/ IF('Fire Elemental'!$X$4&lt; 10.8, Table13[[#This Row],[STR]], Table13[[#This Row],[STR]] / ('Fire Elemental'!$X$4 / 10.8)), 1)</f>
        <v>22</v>
      </c>
      <c r="AZ42" s="15">
        <f>CEILING(Wyvern!$Z$4/ IF(Wyvern!$X$4&lt; 10.8, Table13[[#This Row],[STR]], Table13[[#This Row],[STR]] / (Wyvern!$X$4 / 10.8)), 1)</f>
        <v>27</v>
      </c>
      <c r="BA42" s="15">
        <f>CEILING('Evolved Wyvern'!$Z$4/ IF('Evolved Wyvern'!$X$4&lt; 10.8, Table13[[#This Row],[STR]], Table13[[#This Row],[STR]] / ('Evolved Wyvern'!$X$4 / 10.8)), 1)</f>
        <v>34</v>
      </c>
      <c r="BB42" s="15">
        <f>CEILING(Dragon!$Z$4/ IF(Dragon!$X$4&lt; 10.8, Table13[[#This Row],[STR]], Table13[[#This Row],[STR]] / (Dragon!$X$4 / 10.8)), 1)</f>
        <v>57</v>
      </c>
    </row>
    <row r="43" spans="1:54" x14ac:dyDescent="0.3">
      <c r="A43" s="1">
        <v>41</v>
      </c>
      <c r="B43" s="1">
        <f>$B$3 + ((Table13[[#This Row],[Level]] / 10) + $B$3 / 8) * Table13[[#This Row],[Level]] + Equipment!$Z$34</f>
        <v>331.85</v>
      </c>
      <c r="C43" s="1">
        <f>2 * Table13[[#This Row],[INT]]</f>
        <v>154.5</v>
      </c>
      <c r="D43" s="1">
        <f>$D$3 + ($D$3 / 4) * Table13[[#This Row],[Level]] + Equipment!$AA$34</f>
        <v>124</v>
      </c>
      <c r="E43" s="1">
        <f>$E$3 + ($E$3 / 4) * Table13[[#This Row],[Level]] + Equipment!$AB$34</f>
        <v>93.5</v>
      </c>
      <c r="F43" s="1">
        <f>$F$3 + ($F$3 / 4) * Table13[[#This Row],[Level]] + Equipment!$AC$34</f>
        <v>108.75</v>
      </c>
      <c r="G43" s="1">
        <f>$G$3 + ($G$3 / 4) * Table13[[#This Row],[Level]] + Equipment!$AD$34</f>
        <v>77.25</v>
      </c>
      <c r="H43" s="1">
        <f>$H$3 + ($H$3 / 4) * Table13[[#This Row],[Level]] + Equipment!$AE$34</f>
        <v>93.5</v>
      </c>
      <c r="I43" s="1">
        <f xml:space="preserve"> (4 * (Table13[[#This Row],[Level]] ^ 3))/7 + $I$3</f>
        <v>39483.428571428572</v>
      </c>
      <c r="K43" s="8">
        <f>CEILING('Blue Slime'!$B$5/ IF('Blue Slime'!$D$5&lt; 10.8, Table13[[#This Row],[STR]], Table13[[#This Row],[STR]] / ('Blue Slime'!$D$5 / 10.8)), 1)</f>
        <v>1</v>
      </c>
      <c r="L43" s="8">
        <f>CEILING('Green Slime'!$B$5/ IF('Green Slime'!$D$5&lt; 10.8, Table13[[#This Row],[STR]], Table13[[#This Row],[STR]] / ('Green Slime'!$D$5 / 10.8)), 1)</f>
        <v>1</v>
      </c>
      <c r="M43" s="8">
        <f>CEILING(Wolf!$B$6/ IF(Wolf!$D$6&lt; 10.8, Table13[[#This Row],[STR]], Table13[[#This Row],[STR]] / (Wolf!$D$6 / 10.8)), 1)</f>
        <v>1</v>
      </c>
      <c r="N43" s="8">
        <f>CEILING('Horned Wolf'!$B$5/ IF('Horned Wolf'!$D$5&lt; 10.8, Table13[[#This Row],[STR]], Table13[[#This Row],[STR]] / ('Horned Wolf'!$D$5 / 10.8)), 1)</f>
        <v>2</v>
      </c>
      <c r="O43" s="8">
        <f>CEILING(Spider!$B$7/ IF(Spider!$D$7&lt; 10.8, Table13[[#This Row],[STR]], Table13[[#This Row],[STR]] / (Spider!$D$7 / 10.8)), 1)</f>
        <v>2</v>
      </c>
      <c r="P43" s="8">
        <f>CEILING('Evolved Spider'!$B$8/ IF('Evolved Spider'!$D$8&lt; 10.8, Table13[[#This Row],[STR]], Table13[[#This Row],[STR]] / ('Evolved Spider'!$D$8 / 10.8)), 1)</f>
        <v>4</v>
      </c>
      <c r="Q43" s="8">
        <f>CEILING(Arachne!$B$4/ IF(Arachne!$D$4&lt; 10.8, Table13[[#This Row],[STR]], Table13[[#This Row],[STR]] / (Arachne!$D$4 / 10.8)), 1)</f>
        <v>5</v>
      </c>
      <c r="R43" s="12">
        <f>CEILING('Earth Elemental'!$B$6/ IF('Earth Elemental'!$D$6&lt; 10.8, Table13[[#This Row],[STR]], Table13[[#This Row],[STR]] / ('Earth Elemental'!$D$6 / 10.8)), 1)</f>
        <v>5</v>
      </c>
      <c r="S43" s="12">
        <f>CEILING('Wind Elemental'!$B$6/ IF('Wind Elemental'!$D$6&lt; 10.8, Table13[[#This Row],[STR]], Table13[[#This Row],[STR]] / ('Wind Elemental'!$D$6 / 10.8)), 1)</f>
        <v>5</v>
      </c>
      <c r="T43" s="12">
        <f>CEILING('Water Elemental'!$B$6/ IF('Water Elemental'!$D$6&lt; 10.8, Table13[[#This Row],[STR]], Table13[[#This Row],[STR]] / ('Water Elemental'!$D$6 / 10.8)), 1)</f>
        <v>7</v>
      </c>
      <c r="U43" s="12">
        <f>CEILING('Fire Elemental'!$B$4/ IF('Fire Elemental'!$D$4&lt; 10.8, Table13[[#This Row],[STR]], Table13[[#This Row],[STR]] / ('Fire Elemental'!$D$4 / 10.8)), 1)</f>
        <v>8</v>
      </c>
      <c r="V43" s="15">
        <f>CEILING(Wyvern!$B$4/ IF(Wyvern!$D$4&lt; 10.8, Table13[[#This Row],[STR]], Table13[[#This Row],[STR]] / (Wyvern!$D$4 / 10.8)), 1)</f>
        <v>11</v>
      </c>
      <c r="W43" s="15">
        <f>CEILING('Evolved Wyvern'!$B$4/ IF('Evolved Wyvern'!$D$4&lt; 10.8, Table13[[#This Row],[STR]], Table13[[#This Row],[STR]] / ('Evolved Wyvern'!$D$4 / 10.8)), 1)</f>
        <v>15</v>
      </c>
      <c r="X43" s="15">
        <f>CEILING(Dragon!$B$4/ IF(Dragon!$D$4&lt; 10.8, Table13[[#This Row],[STR]], Table13[[#This Row],[STR]] / (Dragon!$D$4 / 10.8)), 1)</f>
        <v>25</v>
      </c>
      <c r="Z43" s="8">
        <f>CEILING('Blue Slime'!$M$5/ IF('Blue Slime'!$O$5&lt; 10.8, Table13[[#This Row],[STR]], Table13[[#This Row],[STR]] / ('Blue Slime'!$O$5 / 10.8)), 1)</f>
        <v>1</v>
      </c>
      <c r="AA43" s="8">
        <f>CEILING('Green Slime'!$M$5/ IF('Green Slime'!$O$5&lt; 10.8, Table13[[#This Row],[STR]], Table13[[#This Row],[STR]] / ('Green Slime'!$O$5 / 10.8)), 1)</f>
        <v>1</v>
      </c>
      <c r="AB43" s="8">
        <f>CEILING(Wolf!$M$6/ IF(Wolf!$O$6&lt; 10.8, Table13[[#This Row],[STR]], Table13[[#This Row],[STR]] / (Wolf!$O$6 / 10.8)), 1)</f>
        <v>2</v>
      </c>
      <c r="AC43" s="8">
        <f>CEILING('Horned Wolf'!$M$5/ IF('Horned Wolf'!$O$5&lt; 10.8, Table13[[#This Row],[STR]], Table13[[#This Row],[STR]] / ('Horned Wolf'!$O$5 / 10.8)), 1)</f>
        <v>4</v>
      </c>
      <c r="AD43" s="8">
        <f>CEILING(Spider!$M$7/ IF(Spider!$O$7&lt; 10.8, Table13[[#This Row],[STR]], Table13[[#This Row],[STR]] / (Spider!$O$7 / 10.8)), 1)</f>
        <v>4</v>
      </c>
      <c r="AE43" s="8">
        <f>CEILING('Evolved Spider'!$M$8/ IF('Evolved Spider'!$O$8&lt; 10.8, Table13[[#This Row],[STR]], Table13[[#This Row],[STR]] / ('Evolved Spider'!$O$8 / 10.8)), 1)</f>
        <v>7</v>
      </c>
      <c r="AF43" s="8">
        <f>CEILING(Arachne!$M$4/ IF(Arachne!$O$4&lt; 10.8, Table13[[#This Row],[STR]], Table13[[#This Row],[STR]] / (Arachne!$O$4 / 10.8)), 1)</f>
        <v>9</v>
      </c>
      <c r="AG43" s="12">
        <f>CEILING('Earth Elemental'!$M$6/ IF('Earth Elemental'!$O$6&lt; 10.8, Table13[[#This Row],[STR]], Table13[[#This Row],[STR]] / ('Earth Elemental'!$O$6 / 10.8)), 1)</f>
        <v>9</v>
      </c>
      <c r="AH43" s="12">
        <f>CEILING('Wind Elemental'!$M$6/ IF('Wind Elemental'!$O$6&lt; 10.8, Table13[[#This Row],[STR]], Table13[[#This Row],[STR]] / ('Wind Elemental'!$O$6 / 10.8)), 1)</f>
        <v>7</v>
      </c>
      <c r="AI43" s="12">
        <f>CEILING('Water Elemental'!$M$6/ IF('Water Elemental'!$O$6&lt; 10.8, Table13[[#This Row],[STR]], Table13[[#This Row],[STR]] / ('Water Elemental'!$O$6 / 10.8)), 1)</f>
        <v>10</v>
      </c>
      <c r="AJ43" s="12">
        <f>CEILING('Fire Elemental'!$M$4/ IF('Fire Elemental'!$O$4&lt; 10.8, Table13[[#This Row],[STR]], Table13[[#This Row],[STR]] / ('Fire Elemental'!$O$4 / 10.8)), 1)</f>
        <v>15</v>
      </c>
      <c r="AK43" s="15">
        <f>CEILING(Wyvern!$M$4/ IF(Wyvern!$O$4&lt; 10.8, Table13[[#This Row],[STR]], Table13[[#This Row],[STR]] / (Wyvern!$O$4 / 10.8)), 1)</f>
        <v>18</v>
      </c>
      <c r="AL43" s="15">
        <f>CEILING('Evolved Wyvern'!$M$4/ IF('Evolved Wyvern'!$O$4&lt; 10.8, Table13[[#This Row],[STR]], Table13[[#This Row],[STR]] / ('Evolved Wyvern'!$O$4 / 10.8)), 1)</f>
        <v>24</v>
      </c>
      <c r="AM43" s="15">
        <f>CEILING(Dragon!$M$4/ IF(Dragon!$O$4&lt; 10.8, Table13[[#This Row],[STR]], Table13[[#This Row],[STR]] / (Dragon!$O$4 / 10.8)), 1)</f>
        <v>40</v>
      </c>
      <c r="AO43" s="8">
        <f>CEILING('Blue Slime'!$Z$5/ IF('Blue Slime'!$X$5&lt; 10.8, Table13[[#This Row],[STR]], Table13[[#This Row],[STR]] / ('Blue Slime'!$X$5 / 10.8)), 1)</f>
        <v>1</v>
      </c>
      <c r="AP43" s="8">
        <f>CEILING('Green Slime'!$Z$5/ IF('Green Slime'!$X$5&lt; 10.8, Table13[[#This Row],[STR]], Table13[[#This Row],[STR]] / ('Green Slime'!$X$5 / 10.8)), 1)</f>
        <v>1</v>
      </c>
      <c r="AQ43" s="8">
        <f>CEILING(Wolf!$Z$6/ IF(Wolf!$X$6&lt; 10.8, Table13[[#This Row],[STR]], Table13[[#This Row],[STR]] / (Wolf!$X$6 / 10.8)), 1)</f>
        <v>3</v>
      </c>
      <c r="AR43" s="8">
        <f>CEILING('Horned Wolf'!$Z$5/ IF('Horned Wolf'!$X$5&lt; 10.8, Table13[[#This Row],[STR]], Table13[[#This Row],[STR]] / ('Horned Wolf'!$X$5 / 10.8)), 1)</f>
        <v>7</v>
      </c>
      <c r="AS43" s="8">
        <f>CEILING(Spider!$Z$7/ IF(Spider!$X$7&lt; 10.8, Table13[[#This Row],[STR]], Table13[[#This Row],[STR]] / (Spider!$X$7 / 10.8)), 1)</f>
        <v>6</v>
      </c>
      <c r="AT43" s="8">
        <f>CEILING('Evolved Spider'!$Z$8/ IF('Evolved Spider'!$X$8&lt; 10.8, Table13[[#This Row],[STR]], Table13[[#This Row],[STR]] / ('Evolved Spider'!$X$8 / 10.8)), 1)</f>
        <v>11</v>
      </c>
      <c r="AU43" s="8">
        <f>CEILING(Arachne!$Z$4/ IF(Arachne!$X$4&lt; 10.8, Table13[[#This Row],[STR]], Table13[[#This Row],[STR]] / (Arachne!$X$4 / 10.8)), 1)</f>
        <v>15</v>
      </c>
      <c r="AV43" s="12">
        <f>CEILING('Earth Elemental'!$Z$6/ IF('Earth Elemental'!$X$6&lt; 10.8, Table13[[#This Row],[STR]], Table13[[#This Row],[STR]] / ('Earth Elemental'!$X$6 / 10.8)), 1)</f>
        <v>13</v>
      </c>
      <c r="AW43" s="12">
        <f>CEILING('Wind Elemental'!$Z$6/ IF('Wind Elemental'!$X$6&lt; 10.8, Table13[[#This Row],[STR]], Table13[[#This Row],[STR]] / ('Wind Elemental'!$X$6 / 10.8)), 1)</f>
        <v>10</v>
      </c>
      <c r="AX43" s="12">
        <f>CEILING('Water Elemental'!$Z$6/ IF('Water Elemental'!$X$6&lt; 10.8, Table13[[#This Row],[STR]], Table13[[#This Row],[STR]] / ('Water Elemental'!$X$6 / 10.8)), 1)</f>
        <v>14</v>
      </c>
      <c r="AY43" s="12">
        <f>CEILING('Fire Elemental'!$Z$4/ IF('Fire Elemental'!$X$4&lt; 10.8, Table13[[#This Row],[STR]], Table13[[#This Row],[STR]] / ('Fire Elemental'!$X$4 / 10.8)), 1)</f>
        <v>22</v>
      </c>
      <c r="AZ43" s="15">
        <f>CEILING(Wyvern!$Z$4/ IF(Wyvern!$X$4&lt; 10.8, Table13[[#This Row],[STR]], Table13[[#This Row],[STR]] / (Wyvern!$X$4 / 10.8)), 1)</f>
        <v>26</v>
      </c>
      <c r="BA43" s="15">
        <f>CEILING('Evolved Wyvern'!$Z$4/ IF('Evolved Wyvern'!$X$4&lt; 10.8, Table13[[#This Row],[STR]], Table13[[#This Row],[STR]] / ('Evolved Wyvern'!$X$4 / 10.8)), 1)</f>
        <v>34</v>
      </c>
      <c r="BB43" s="15">
        <f>CEILING(Dragon!$Z$4/ IF(Dragon!$X$4&lt; 10.8, Table13[[#This Row],[STR]], Table13[[#This Row],[STR]] / (Dragon!$X$4 / 10.8)), 1)</f>
        <v>57</v>
      </c>
    </row>
    <row r="44" spans="1:54" x14ac:dyDescent="0.3">
      <c r="A44" s="1">
        <v>42</v>
      </c>
      <c r="B44" s="1">
        <f>$B$3 + ((Table13[[#This Row],[Level]] / 10) + $B$3 / 8) * Table13[[#This Row],[Level]] + Equipment!$Z$34</f>
        <v>341.9</v>
      </c>
      <c r="C44" s="1">
        <f>2 * Table13[[#This Row],[INT]]</f>
        <v>157</v>
      </c>
      <c r="D44" s="1">
        <f>$D$3 + ($D$3 / 4) * Table13[[#This Row],[Level]] + Equipment!$AA$34</f>
        <v>126</v>
      </c>
      <c r="E44" s="1">
        <f>$E$3 + ($E$3 / 4) * Table13[[#This Row],[Level]] + Equipment!$AB$34</f>
        <v>95</v>
      </c>
      <c r="F44" s="1">
        <f>$F$3 + ($F$3 / 4) * Table13[[#This Row],[Level]] + Equipment!$AC$34</f>
        <v>110.5</v>
      </c>
      <c r="G44" s="1">
        <f>$G$3 + ($G$3 / 4) * Table13[[#This Row],[Level]] + Equipment!$AD$34</f>
        <v>78.5</v>
      </c>
      <c r="H44" s="1">
        <f>$H$3 + ($H$3 / 4) * Table13[[#This Row],[Level]] + Equipment!$AE$34</f>
        <v>95</v>
      </c>
      <c r="I44" s="1">
        <f xml:space="preserve"> (4 * (Table13[[#This Row],[Level]] ^ 3))/7 + $I$3</f>
        <v>42436</v>
      </c>
      <c r="K44" s="8">
        <f>CEILING('Blue Slime'!$B$5/ IF('Blue Slime'!$D$5&lt; 10.8, Table13[[#This Row],[STR]], Table13[[#This Row],[STR]] / ('Blue Slime'!$D$5 / 10.8)), 1)</f>
        <v>1</v>
      </c>
      <c r="L44" s="8">
        <f>CEILING('Green Slime'!$B$5/ IF('Green Slime'!$D$5&lt; 10.8, Table13[[#This Row],[STR]], Table13[[#This Row],[STR]] / ('Green Slime'!$D$5 / 10.8)), 1)</f>
        <v>1</v>
      </c>
      <c r="M44" s="8">
        <f>CEILING(Wolf!$B$6/ IF(Wolf!$D$6&lt; 10.8, Table13[[#This Row],[STR]], Table13[[#This Row],[STR]] / (Wolf!$D$6 / 10.8)), 1)</f>
        <v>1</v>
      </c>
      <c r="N44" s="8">
        <f>CEILING('Horned Wolf'!$B$5/ IF('Horned Wolf'!$D$5&lt; 10.8, Table13[[#This Row],[STR]], Table13[[#This Row],[STR]] / ('Horned Wolf'!$D$5 / 10.8)), 1)</f>
        <v>2</v>
      </c>
      <c r="O44" s="8">
        <f>CEILING(Spider!$B$7/ IF(Spider!$D$7&lt; 10.8, Table13[[#This Row],[STR]], Table13[[#This Row],[STR]] / (Spider!$D$7 / 10.8)), 1)</f>
        <v>2</v>
      </c>
      <c r="P44" s="8">
        <f>CEILING('Evolved Spider'!$B$8/ IF('Evolved Spider'!$D$8&lt; 10.8, Table13[[#This Row],[STR]], Table13[[#This Row],[STR]] / ('Evolved Spider'!$D$8 / 10.8)), 1)</f>
        <v>4</v>
      </c>
      <c r="Q44" s="8">
        <f>CEILING(Arachne!$B$4/ IF(Arachne!$D$4&lt; 10.8, Table13[[#This Row],[STR]], Table13[[#This Row],[STR]] / (Arachne!$D$4 / 10.8)), 1)</f>
        <v>5</v>
      </c>
      <c r="R44" s="12">
        <f>CEILING('Earth Elemental'!$B$6/ IF('Earth Elemental'!$D$6&lt; 10.8, Table13[[#This Row],[STR]], Table13[[#This Row],[STR]] / ('Earth Elemental'!$D$6 / 10.8)), 1)</f>
        <v>5</v>
      </c>
      <c r="S44" s="12">
        <f>CEILING('Wind Elemental'!$B$6/ IF('Wind Elemental'!$D$6&lt; 10.8, Table13[[#This Row],[STR]], Table13[[#This Row],[STR]] / ('Wind Elemental'!$D$6 / 10.8)), 1)</f>
        <v>5</v>
      </c>
      <c r="T44" s="12">
        <f>CEILING('Water Elemental'!$B$6/ IF('Water Elemental'!$D$6&lt; 10.8, Table13[[#This Row],[STR]], Table13[[#This Row],[STR]] / ('Water Elemental'!$D$6 / 10.8)), 1)</f>
        <v>7</v>
      </c>
      <c r="U44" s="12">
        <f>CEILING('Fire Elemental'!$B$4/ IF('Fire Elemental'!$D$4&lt; 10.8, Table13[[#This Row],[STR]], Table13[[#This Row],[STR]] / ('Fire Elemental'!$D$4 / 10.8)), 1)</f>
        <v>8</v>
      </c>
      <c r="V44" s="15">
        <f>CEILING(Wyvern!$B$4/ IF(Wyvern!$D$4&lt; 10.8, Table13[[#This Row],[STR]], Table13[[#This Row],[STR]] / (Wyvern!$D$4 / 10.8)), 1)</f>
        <v>11</v>
      </c>
      <c r="W44" s="15">
        <f>CEILING('Evolved Wyvern'!$B$4/ IF('Evolved Wyvern'!$D$4&lt; 10.8, Table13[[#This Row],[STR]], Table13[[#This Row],[STR]] / ('Evolved Wyvern'!$D$4 / 10.8)), 1)</f>
        <v>15</v>
      </c>
      <c r="X44" s="15">
        <f>CEILING(Dragon!$B$4/ IF(Dragon!$D$4&lt; 10.8, Table13[[#This Row],[STR]], Table13[[#This Row],[STR]] / (Dragon!$D$4 / 10.8)), 1)</f>
        <v>25</v>
      </c>
      <c r="Z44" s="8">
        <f>CEILING('Blue Slime'!$M$5/ IF('Blue Slime'!$O$5&lt; 10.8, Table13[[#This Row],[STR]], Table13[[#This Row],[STR]] / ('Blue Slime'!$O$5 / 10.8)), 1)</f>
        <v>1</v>
      </c>
      <c r="AA44" s="8">
        <f>CEILING('Green Slime'!$M$5/ IF('Green Slime'!$O$5&lt; 10.8, Table13[[#This Row],[STR]], Table13[[#This Row],[STR]] / ('Green Slime'!$O$5 / 10.8)), 1)</f>
        <v>1</v>
      </c>
      <c r="AB44" s="8">
        <f>CEILING(Wolf!$M$6/ IF(Wolf!$O$6&lt; 10.8, Table13[[#This Row],[STR]], Table13[[#This Row],[STR]] / (Wolf!$O$6 / 10.8)), 1)</f>
        <v>2</v>
      </c>
      <c r="AC44" s="8">
        <f>CEILING('Horned Wolf'!$M$5/ IF('Horned Wolf'!$O$5&lt; 10.8, Table13[[#This Row],[STR]], Table13[[#This Row],[STR]] / ('Horned Wolf'!$O$5 / 10.8)), 1)</f>
        <v>4</v>
      </c>
      <c r="AD44" s="8">
        <f>CEILING(Spider!$M$7/ IF(Spider!$O$7&lt; 10.8, Table13[[#This Row],[STR]], Table13[[#This Row],[STR]] / (Spider!$O$7 / 10.8)), 1)</f>
        <v>4</v>
      </c>
      <c r="AE44" s="8">
        <f>CEILING('Evolved Spider'!$M$8/ IF('Evolved Spider'!$O$8&lt; 10.8, Table13[[#This Row],[STR]], Table13[[#This Row],[STR]] / ('Evolved Spider'!$O$8 / 10.8)), 1)</f>
        <v>7</v>
      </c>
      <c r="AF44" s="8">
        <f>CEILING(Arachne!$M$4/ IF(Arachne!$O$4&lt; 10.8, Table13[[#This Row],[STR]], Table13[[#This Row],[STR]] / (Arachne!$O$4 / 10.8)), 1)</f>
        <v>9</v>
      </c>
      <c r="AG44" s="12">
        <f>CEILING('Earth Elemental'!$M$6/ IF('Earth Elemental'!$O$6&lt; 10.8, Table13[[#This Row],[STR]], Table13[[#This Row],[STR]] / ('Earth Elemental'!$O$6 / 10.8)), 1)</f>
        <v>8</v>
      </c>
      <c r="AH44" s="12">
        <f>CEILING('Wind Elemental'!$M$6/ IF('Wind Elemental'!$O$6&lt; 10.8, Table13[[#This Row],[STR]], Table13[[#This Row],[STR]] / ('Wind Elemental'!$O$6 / 10.8)), 1)</f>
        <v>7</v>
      </c>
      <c r="AI44" s="12">
        <f>CEILING('Water Elemental'!$M$6/ IF('Water Elemental'!$O$6&lt; 10.8, Table13[[#This Row],[STR]], Table13[[#This Row],[STR]] / ('Water Elemental'!$O$6 / 10.8)), 1)</f>
        <v>10</v>
      </c>
      <c r="AJ44" s="12">
        <f>CEILING('Fire Elemental'!$M$4/ IF('Fire Elemental'!$O$4&lt; 10.8, Table13[[#This Row],[STR]], Table13[[#This Row],[STR]] / ('Fire Elemental'!$O$4 / 10.8)), 1)</f>
        <v>14</v>
      </c>
      <c r="AK44" s="15">
        <f>CEILING(Wyvern!$M$4/ IF(Wyvern!$O$4&lt; 10.8, Table13[[#This Row],[STR]], Table13[[#This Row],[STR]] / (Wyvern!$O$4 / 10.8)), 1)</f>
        <v>18</v>
      </c>
      <c r="AL44" s="15">
        <f>CEILING('Evolved Wyvern'!$M$4/ IF('Evolved Wyvern'!$O$4&lt; 10.8, Table13[[#This Row],[STR]], Table13[[#This Row],[STR]] / ('Evolved Wyvern'!$O$4 / 10.8)), 1)</f>
        <v>24</v>
      </c>
      <c r="AM44" s="15">
        <f>CEILING(Dragon!$M$4/ IF(Dragon!$O$4&lt; 10.8, Table13[[#This Row],[STR]], Table13[[#This Row],[STR]] / (Dragon!$O$4 / 10.8)), 1)</f>
        <v>39</v>
      </c>
      <c r="AO44" s="8">
        <f>CEILING('Blue Slime'!$Z$5/ IF('Blue Slime'!$X$5&lt; 10.8, Table13[[#This Row],[STR]], Table13[[#This Row],[STR]] / ('Blue Slime'!$X$5 / 10.8)), 1)</f>
        <v>1</v>
      </c>
      <c r="AP44" s="8">
        <f>CEILING('Green Slime'!$Z$5/ IF('Green Slime'!$X$5&lt; 10.8, Table13[[#This Row],[STR]], Table13[[#This Row],[STR]] / ('Green Slime'!$X$5 / 10.8)), 1)</f>
        <v>1</v>
      </c>
      <c r="AQ44" s="8">
        <f>CEILING(Wolf!$Z$6/ IF(Wolf!$X$6&lt; 10.8, Table13[[#This Row],[STR]], Table13[[#This Row],[STR]] / (Wolf!$X$6 / 10.8)), 1)</f>
        <v>3</v>
      </c>
      <c r="AR44" s="8">
        <f>CEILING('Horned Wolf'!$Z$5/ IF('Horned Wolf'!$X$5&lt; 10.8, Table13[[#This Row],[STR]], Table13[[#This Row],[STR]] / ('Horned Wolf'!$X$5 / 10.8)), 1)</f>
        <v>7</v>
      </c>
      <c r="AS44" s="8">
        <f>CEILING(Spider!$Z$7/ IF(Spider!$X$7&lt; 10.8, Table13[[#This Row],[STR]], Table13[[#This Row],[STR]] / (Spider!$X$7 / 10.8)), 1)</f>
        <v>6</v>
      </c>
      <c r="AT44" s="8">
        <f>CEILING('Evolved Spider'!$Z$8/ IF('Evolved Spider'!$X$8&lt; 10.8, Table13[[#This Row],[STR]], Table13[[#This Row],[STR]] / ('Evolved Spider'!$X$8 / 10.8)), 1)</f>
        <v>11</v>
      </c>
      <c r="AU44" s="8">
        <f>CEILING(Arachne!$Z$4/ IF(Arachne!$X$4&lt; 10.8, Table13[[#This Row],[STR]], Table13[[#This Row],[STR]] / (Arachne!$X$4 / 10.8)), 1)</f>
        <v>15</v>
      </c>
      <c r="AV44" s="12">
        <f>CEILING('Earth Elemental'!$Z$6/ IF('Earth Elemental'!$X$6&lt; 10.8, Table13[[#This Row],[STR]], Table13[[#This Row],[STR]] / ('Earth Elemental'!$X$6 / 10.8)), 1)</f>
        <v>13</v>
      </c>
      <c r="AW44" s="12">
        <f>CEILING('Wind Elemental'!$Z$6/ IF('Wind Elemental'!$X$6&lt; 10.8, Table13[[#This Row],[STR]], Table13[[#This Row],[STR]] / ('Wind Elemental'!$X$6 / 10.8)), 1)</f>
        <v>10</v>
      </c>
      <c r="AX44" s="12">
        <f>CEILING('Water Elemental'!$Z$6/ IF('Water Elemental'!$X$6&lt; 10.8, Table13[[#This Row],[STR]], Table13[[#This Row],[STR]] / ('Water Elemental'!$X$6 / 10.8)), 1)</f>
        <v>13</v>
      </c>
      <c r="AY44" s="12">
        <f>CEILING('Fire Elemental'!$Z$4/ IF('Fire Elemental'!$X$4&lt; 10.8, Table13[[#This Row],[STR]], Table13[[#This Row],[STR]] / ('Fire Elemental'!$X$4 / 10.8)), 1)</f>
        <v>22</v>
      </c>
      <c r="AZ44" s="15">
        <f>CEILING(Wyvern!$Z$4/ IF(Wyvern!$X$4&lt; 10.8, Table13[[#This Row],[STR]], Table13[[#This Row],[STR]] / (Wyvern!$X$4 / 10.8)), 1)</f>
        <v>26</v>
      </c>
      <c r="BA44" s="15">
        <f>CEILING('Evolved Wyvern'!$Z$4/ IF('Evolved Wyvern'!$X$4&lt; 10.8, Table13[[#This Row],[STR]], Table13[[#This Row],[STR]] / ('Evolved Wyvern'!$X$4 / 10.8)), 1)</f>
        <v>33</v>
      </c>
      <c r="BB44" s="15">
        <f>CEILING(Dragon!$Z$4/ IF(Dragon!$X$4&lt; 10.8, Table13[[#This Row],[STR]], Table13[[#This Row],[STR]] / (Dragon!$X$4 / 10.8)), 1)</f>
        <v>56</v>
      </c>
    </row>
    <row r="45" spans="1:54" x14ac:dyDescent="0.3">
      <c r="A45" s="1">
        <v>43</v>
      </c>
      <c r="B45" s="1">
        <f>$B$3 + ((Table13[[#This Row],[Level]] / 10) + $B$3 / 8) * Table13[[#This Row],[Level]] + Equipment!$Z$34</f>
        <v>352.15</v>
      </c>
      <c r="C45" s="1">
        <f>2 * Table13[[#This Row],[INT]]</f>
        <v>159.5</v>
      </c>
      <c r="D45" s="1">
        <f>$D$3 + ($D$3 / 4) * Table13[[#This Row],[Level]] + Equipment!$AA$34</f>
        <v>128</v>
      </c>
      <c r="E45" s="1">
        <f>$E$3 + ($E$3 / 4) * Table13[[#This Row],[Level]] + Equipment!$AB$34</f>
        <v>96.5</v>
      </c>
      <c r="F45" s="1">
        <f>$F$3 + ($F$3 / 4) * Table13[[#This Row],[Level]] + Equipment!$AC$34</f>
        <v>112.25</v>
      </c>
      <c r="G45" s="1">
        <f>$G$3 + ($G$3 / 4) * Table13[[#This Row],[Level]] + Equipment!$AD$34</f>
        <v>79.75</v>
      </c>
      <c r="H45" s="1">
        <f>$H$3 + ($H$3 / 4) * Table13[[#This Row],[Level]] + Equipment!$AE$34</f>
        <v>96.5</v>
      </c>
      <c r="I45" s="1">
        <f xml:space="preserve"> (4 * (Table13[[#This Row],[Level]] ^ 3))/7 + $I$3</f>
        <v>45532.571428571428</v>
      </c>
      <c r="K45" s="8">
        <f>CEILING('Blue Slime'!$B$5/ IF('Blue Slime'!$D$5&lt; 10.8, Table13[[#This Row],[STR]], Table13[[#This Row],[STR]] / ('Blue Slime'!$D$5 / 10.8)), 1)</f>
        <v>1</v>
      </c>
      <c r="L45" s="8">
        <f>CEILING('Green Slime'!$B$5/ IF('Green Slime'!$D$5&lt; 10.8, Table13[[#This Row],[STR]], Table13[[#This Row],[STR]] / ('Green Slime'!$D$5 / 10.8)), 1)</f>
        <v>1</v>
      </c>
      <c r="M45" s="8">
        <f>CEILING(Wolf!$B$6/ IF(Wolf!$D$6&lt; 10.8, Table13[[#This Row],[STR]], Table13[[#This Row],[STR]] / (Wolf!$D$6 / 10.8)), 1)</f>
        <v>1</v>
      </c>
      <c r="N45" s="8">
        <f>CEILING('Horned Wolf'!$B$5/ IF('Horned Wolf'!$D$5&lt; 10.8, Table13[[#This Row],[STR]], Table13[[#This Row],[STR]] / ('Horned Wolf'!$D$5 / 10.8)), 1)</f>
        <v>2</v>
      </c>
      <c r="O45" s="8">
        <f>CEILING(Spider!$B$7/ IF(Spider!$D$7&lt; 10.8, Table13[[#This Row],[STR]], Table13[[#This Row],[STR]] / (Spider!$D$7 / 10.8)), 1)</f>
        <v>2</v>
      </c>
      <c r="P45" s="8">
        <f>CEILING('Evolved Spider'!$B$8/ IF('Evolved Spider'!$D$8&lt; 10.8, Table13[[#This Row],[STR]], Table13[[#This Row],[STR]] / ('Evolved Spider'!$D$8 / 10.8)), 1)</f>
        <v>4</v>
      </c>
      <c r="Q45" s="8">
        <f>CEILING(Arachne!$B$4/ IF(Arachne!$D$4&lt; 10.8, Table13[[#This Row],[STR]], Table13[[#This Row],[STR]] / (Arachne!$D$4 / 10.8)), 1)</f>
        <v>5</v>
      </c>
      <c r="R45" s="12">
        <f>CEILING('Earth Elemental'!$B$6/ IF('Earth Elemental'!$D$6&lt; 10.8, Table13[[#This Row],[STR]], Table13[[#This Row],[STR]] / ('Earth Elemental'!$D$6 / 10.8)), 1)</f>
        <v>5</v>
      </c>
      <c r="S45" s="12">
        <f>CEILING('Wind Elemental'!$B$6/ IF('Wind Elemental'!$D$6&lt; 10.8, Table13[[#This Row],[STR]], Table13[[#This Row],[STR]] / ('Wind Elemental'!$D$6 / 10.8)), 1)</f>
        <v>4</v>
      </c>
      <c r="T45" s="12">
        <f>CEILING('Water Elemental'!$B$6/ IF('Water Elemental'!$D$6&lt; 10.8, Table13[[#This Row],[STR]], Table13[[#This Row],[STR]] / ('Water Elemental'!$D$6 / 10.8)), 1)</f>
        <v>7</v>
      </c>
      <c r="U45" s="12">
        <f>CEILING('Fire Elemental'!$B$4/ IF('Fire Elemental'!$D$4&lt; 10.8, Table13[[#This Row],[STR]], Table13[[#This Row],[STR]] / ('Fire Elemental'!$D$4 / 10.8)), 1)</f>
        <v>8</v>
      </c>
      <c r="V45" s="15">
        <f>CEILING(Wyvern!$B$4/ IF(Wyvern!$D$4&lt; 10.8, Table13[[#This Row],[STR]], Table13[[#This Row],[STR]] / (Wyvern!$D$4 / 10.8)), 1)</f>
        <v>11</v>
      </c>
      <c r="W45" s="15">
        <f>CEILING('Evolved Wyvern'!$B$4/ IF('Evolved Wyvern'!$D$4&lt; 10.8, Table13[[#This Row],[STR]], Table13[[#This Row],[STR]] / ('Evolved Wyvern'!$D$4 / 10.8)), 1)</f>
        <v>15</v>
      </c>
      <c r="X45" s="15">
        <f>CEILING(Dragon!$B$4/ IF(Dragon!$D$4&lt; 10.8, Table13[[#This Row],[STR]], Table13[[#This Row],[STR]] / (Dragon!$D$4 / 10.8)), 1)</f>
        <v>24</v>
      </c>
      <c r="Z45" s="8">
        <f>CEILING('Blue Slime'!$M$5/ IF('Blue Slime'!$O$5&lt; 10.8, Table13[[#This Row],[STR]], Table13[[#This Row],[STR]] / ('Blue Slime'!$O$5 / 10.8)), 1)</f>
        <v>1</v>
      </c>
      <c r="AA45" s="8">
        <f>CEILING('Green Slime'!$M$5/ IF('Green Slime'!$O$5&lt; 10.8, Table13[[#This Row],[STR]], Table13[[#This Row],[STR]] / ('Green Slime'!$O$5 / 10.8)), 1)</f>
        <v>1</v>
      </c>
      <c r="AB45" s="8">
        <f>CEILING(Wolf!$M$6/ IF(Wolf!$O$6&lt; 10.8, Table13[[#This Row],[STR]], Table13[[#This Row],[STR]] / (Wolf!$O$6 / 10.8)), 1)</f>
        <v>2</v>
      </c>
      <c r="AC45" s="8">
        <f>CEILING('Horned Wolf'!$M$5/ IF('Horned Wolf'!$O$5&lt; 10.8, Table13[[#This Row],[STR]], Table13[[#This Row],[STR]] / ('Horned Wolf'!$O$5 / 10.8)), 1)</f>
        <v>4</v>
      </c>
      <c r="AD45" s="8">
        <f>CEILING(Spider!$M$7/ IF(Spider!$O$7&lt; 10.8, Table13[[#This Row],[STR]], Table13[[#This Row],[STR]] / (Spider!$O$7 / 10.8)), 1)</f>
        <v>4</v>
      </c>
      <c r="AE45" s="8">
        <f>CEILING('Evolved Spider'!$M$8/ IF('Evolved Spider'!$O$8&lt; 10.8, Table13[[#This Row],[STR]], Table13[[#This Row],[STR]] / ('Evolved Spider'!$O$8 / 10.8)), 1)</f>
        <v>7</v>
      </c>
      <c r="AF45" s="8">
        <f>CEILING(Arachne!$M$4/ IF(Arachne!$O$4&lt; 10.8, Table13[[#This Row],[STR]], Table13[[#This Row],[STR]] / (Arachne!$O$4 / 10.8)), 1)</f>
        <v>9</v>
      </c>
      <c r="AG45" s="12">
        <f>CEILING('Earth Elemental'!$M$6/ IF('Earth Elemental'!$O$6&lt; 10.8, Table13[[#This Row],[STR]], Table13[[#This Row],[STR]] / ('Earth Elemental'!$O$6 / 10.8)), 1)</f>
        <v>8</v>
      </c>
      <c r="AH45" s="12">
        <f>CEILING('Wind Elemental'!$M$6/ IF('Wind Elemental'!$O$6&lt; 10.8, Table13[[#This Row],[STR]], Table13[[#This Row],[STR]] / ('Wind Elemental'!$O$6 / 10.8)), 1)</f>
        <v>7</v>
      </c>
      <c r="AI45" s="12">
        <f>CEILING('Water Elemental'!$M$6/ IF('Water Elemental'!$O$6&lt; 10.8, Table13[[#This Row],[STR]], Table13[[#This Row],[STR]] / ('Water Elemental'!$O$6 / 10.8)), 1)</f>
        <v>10</v>
      </c>
      <c r="AJ45" s="12">
        <f>CEILING('Fire Elemental'!$M$4/ IF('Fire Elemental'!$O$4&lt; 10.8, Table13[[#This Row],[STR]], Table13[[#This Row],[STR]] / ('Fire Elemental'!$O$4 / 10.8)), 1)</f>
        <v>14</v>
      </c>
      <c r="AK45" s="15">
        <f>CEILING(Wyvern!$M$4/ IF(Wyvern!$O$4&lt; 10.8, Table13[[#This Row],[STR]], Table13[[#This Row],[STR]] / (Wyvern!$O$4 / 10.8)), 1)</f>
        <v>18</v>
      </c>
      <c r="AL45" s="15">
        <f>CEILING('Evolved Wyvern'!$M$4/ IF('Evolved Wyvern'!$O$4&lt; 10.8, Table13[[#This Row],[STR]], Table13[[#This Row],[STR]] / ('Evolved Wyvern'!$O$4 / 10.8)), 1)</f>
        <v>23</v>
      </c>
      <c r="AM45" s="15">
        <f>CEILING(Dragon!$M$4/ IF(Dragon!$O$4&lt; 10.8, Table13[[#This Row],[STR]], Table13[[#This Row],[STR]] / (Dragon!$O$4 / 10.8)), 1)</f>
        <v>39</v>
      </c>
      <c r="AO45" s="8">
        <f>CEILING('Blue Slime'!$Z$5/ IF('Blue Slime'!$X$5&lt; 10.8, Table13[[#This Row],[STR]], Table13[[#This Row],[STR]] / ('Blue Slime'!$X$5 / 10.8)), 1)</f>
        <v>1</v>
      </c>
      <c r="AP45" s="8">
        <f>CEILING('Green Slime'!$Z$5/ IF('Green Slime'!$X$5&lt; 10.8, Table13[[#This Row],[STR]], Table13[[#This Row],[STR]] / ('Green Slime'!$X$5 / 10.8)), 1)</f>
        <v>1</v>
      </c>
      <c r="AQ45" s="8">
        <f>CEILING(Wolf!$Z$6/ IF(Wolf!$X$6&lt; 10.8, Table13[[#This Row],[STR]], Table13[[#This Row],[STR]] / (Wolf!$X$6 / 10.8)), 1)</f>
        <v>3</v>
      </c>
      <c r="AR45" s="8">
        <f>CEILING('Horned Wolf'!$Z$5/ IF('Horned Wolf'!$X$5&lt; 10.8, Table13[[#This Row],[STR]], Table13[[#This Row],[STR]] / ('Horned Wolf'!$X$5 / 10.8)), 1)</f>
        <v>7</v>
      </c>
      <c r="AS45" s="8">
        <f>CEILING(Spider!$Z$7/ IF(Spider!$X$7&lt; 10.8, Table13[[#This Row],[STR]], Table13[[#This Row],[STR]] / (Spider!$X$7 / 10.8)), 1)</f>
        <v>6</v>
      </c>
      <c r="AT45" s="8">
        <f>CEILING('Evolved Spider'!$Z$8/ IF('Evolved Spider'!$X$8&lt; 10.8, Table13[[#This Row],[STR]], Table13[[#This Row],[STR]] / ('Evolved Spider'!$X$8 / 10.8)), 1)</f>
        <v>11</v>
      </c>
      <c r="AU45" s="8">
        <f>CEILING(Arachne!$Z$4/ IF(Arachne!$X$4&lt; 10.8, Table13[[#This Row],[STR]], Table13[[#This Row],[STR]] / (Arachne!$X$4 / 10.8)), 1)</f>
        <v>15</v>
      </c>
      <c r="AV45" s="12">
        <f>CEILING('Earth Elemental'!$Z$6/ IF('Earth Elemental'!$X$6&lt; 10.8, Table13[[#This Row],[STR]], Table13[[#This Row],[STR]] / ('Earth Elemental'!$X$6 / 10.8)), 1)</f>
        <v>12</v>
      </c>
      <c r="AW45" s="12">
        <f>CEILING('Wind Elemental'!$Z$6/ IF('Wind Elemental'!$X$6&lt; 10.8, Table13[[#This Row],[STR]], Table13[[#This Row],[STR]] / ('Wind Elemental'!$X$6 / 10.8)), 1)</f>
        <v>10</v>
      </c>
      <c r="AX45" s="12">
        <f>CEILING('Water Elemental'!$Z$6/ IF('Water Elemental'!$X$6&lt; 10.8, Table13[[#This Row],[STR]], Table13[[#This Row],[STR]] / ('Water Elemental'!$X$6 / 10.8)), 1)</f>
        <v>13</v>
      </c>
      <c r="AY45" s="12">
        <f>CEILING('Fire Elemental'!$Z$4/ IF('Fire Elemental'!$X$4&lt; 10.8, Table13[[#This Row],[STR]], Table13[[#This Row],[STR]] / ('Fire Elemental'!$X$4 / 10.8)), 1)</f>
        <v>21</v>
      </c>
      <c r="AZ45" s="15">
        <f>CEILING(Wyvern!$Z$4/ IF(Wyvern!$X$4&lt; 10.8, Table13[[#This Row],[STR]], Table13[[#This Row],[STR]] / (Wyvern!$X$4 / 10.8)), 1)</f>
        <v>26</v>
      </c>
      <c r="BA45" s="15">
        <f>CEILING('Evolved Wyvern'!$Z$4/ IF('Evolved Wyvern'!$X$4&lt; 10.8, Table13[[#This Row],[STR]], Table13[[#This Row],[STR]] / ('Evolved Wyvern'!$X$4 / 10.8)), 1)</f>
        <v>33</v>
      </c>
      <c r="BB45" s="15">
        <f>CEILING(Dragon!$Z$4/ IF(Dragon!$X$4&lt; 10.8, Table13[[#This Row],[STR]], Table13[[#This Row],[STR]] / (Dragon!$X$4 / 10.8)), 1)</f>
        <v>55</v>
      </c>
    </row>
    <row r="46" spans="1:54" x14ac:dyDescent="0.3">
      <c r="A46" s="30">
        <v>44</v>
      </c>
      <c r="B46" s="30">
        <f>$B$3 + ((Table13[[#This Row],[Level]] / 10) + $B$3 / 8) * Table13[[#This Row],[Level]] + Equipment!$Z$34</f>
        <v>362.6</v>
      </c>
      <c r="C46" s="30">
        <f>2 * Table13[[#This Row],[INT]]</f>
        <v>162</v>
      </c>
      <c r="D46" s="30">
        <f>$D$3 + ($D$3 / 4) * Table13[[#This Row],[Level]] + Equipment!$AA$34</f>
        <v>130</v>
      </c>
      <c r="E46" s="30">
        <f>$E$3 + ($E$3 / 4) * Table13[[#This Row],[Level]] + Equipment!$AB$34</f>
        <v>98</v>
      </c>
      <c r="F46" s="30">
        <f>$F$3 + ($F$3 / 4) * Table13[[#This Row],[Level]] + Equipment!$AC$34</f>
        <v>114</v>
      </c>
      <c r="G46" s="30">
        <f>$G$3 + ($G$3 / 4) * Table13[[#This Row],[Level]] + Equipment!$AD$34</f>
        <v>81</v>
      </c>
      <c r="H46" s="30">
        <f>$H$3 + ($H$3 / 4) * Table13[[#This Row],[Level]] + Equipment!$AE$34</f>
        <v>98</v>
      </c>
      <c r="I46" s="30">
        <f xml:space="preserve"> (4 * (Table13[[#This Row],[Level]] ^ 3))/7 + $I$3</f>
        <v>48776.571428571428</v>
      </c>
      <c r="K46" s="8">
        <f>CEILING('Blue Slime'!$B$5/ IF('Blue Slime'!$D$5&lt; 10.8, Table13[[#This Row],[STR]], Table13[[#This Row],[STR]] / ('Blue Slime'!$D$5 / 10.8)), 1)</f>
        <v>1</v>
      </c>
      <c r="L46" s="8">
        <f>CEILING('Green Slime'!$B$5/ IF('Green Slime'!$D$5&lt; 10.8, Table13[[#This Row],[STR]], Table13[[#This Row],[STR]] / ('Green Slime'!$D$5 / 10.8)), 1)</f>
        <v>1</v>
      </c>
      <c r="M46" s="8">
        <f>CEILING(Wolf!$B$6/ IF(Wolf!$D$6&lt; 10.8, Table13[[#This Row],[STR]], Table13[[#This Row],[STR]] / (Wolf!$D$6 / 10.8)), 1)</f>
        <v>1</v>
      </c>
      <c r="N46" s="8">
        <f>CEILING('Horned Wolf'!$B$5/ IF('Horned Wolf'!$D$5&lt; 10.8, Table13[[#This Row],[STR]], Table13[[#This Row],[STR]] / ('Horned Wolf'!$D$5 / 10.8)), 1)</f>
        <v>2</v>
      </c>
      <c r="O46" s="8">
        <f>CEILING(Spider!$B$7/ IF(Spider!$D$7&lt; 10.8, Table13[[#This Row],[STR]], Table13[[#This Row],[STR]] / (Spider!$D$7 / 10.8)), 1)</f>
        <v>2</v>
      </c>
      <c r="P46" s="8">
        <f>CEILING('Evolved Spider'!$B$8/ IF('Evolved Spider'!$D$8&lt; 10.8, Table13[[#This Row],[STR]], Table13[[#This Row],[STR]] / ('Evolved Spider'!$D$8 / 10.8)), 1)</f>
        <v>4</v>
      </c>
      <c r="Q46" s="8">
        <f>CEILING(Arachne!$B$4/ IF(Arachne!$D$4&lt; 10.8, Table13[[#This Row],[STR]], Table13[[#This Row],[STR]] / (Arachne!$D$4 / 10.8)), 1)</f>
        <v>5</v>
      </c>
      <c r="R46" s="12">
        <f>CEILING('Earth Elemental'!$B$6/ IF('Earth Elemental'!$D$6&lt; 10.8, Table13[[#This Row],[STR]], Table13[[#This Row],[STR]] / ('Earth Elemental'!$D$6 / 10.8)), 1)</f>
        <v>5</v>
      </c>
      <c r="S46" s="12">
        <f>CEILING('Wind Elemental'!$B$6/ IF('Wind Elemental'!$D$6&lt; 10.8, Table13[[#This Row],[STR]], Table13[[#This Row],[STR]] / ('Wind Elemental'!$D$6 / 10.8)), 1)</f>
        <v>4</v>
      </c>
      <c r="T46" s="12">
        <f>CEILING('Water Elemental'!$B$6/ IF('Water Elemental'!$D$6&lt; 10.8, Table13[[#This Row],[STR]], Table13[[#This Row],[STR]] / ('Water Elemental'!$D$6 / 10.8)), 1)</f>
        <v>6</v>
      </c>
      <c r="U46" s="12">
        <f>CEILING('Fire Elemental'!$B$4/ IF('Fire Elemental'!$D$4&lt; 10.8, Table13[[#This Row],[STR]], Table13[[#This Row],[STR]] / ('Fire Elemental'!$D$4 / 10.8)), 1)</f>
        <v>8</v>
      </c>
      <c r="V46" s="15">
        <f>CEILING(Wyvern!$B$4/ IF(Wyvern!$D$4&lt; 10.8, Table13[[#This Row],[STR]], Table13[[#This Row],[STR]] / (Wyvern!$D$4 / 10.8)), 1)</f>
        <v>11</v>
      </c>
      <c r="W46" s="15">
        <f>CEILING('Evolved Wyvern'!$B$4/ IF('Evolved Wyvern'!$D$4&lt; 10.8, Table13[[#This Row],[STR]], Table13[[#This Row],[STR]] / ('Evolved Wyvern'!$D$4 / 10.8)), 1)</f>
        <v>15</v>
      </c>
      <c r="X46" s="15">
        <f>CEILING(Dragon!$B$4/ IF(Dragon!$D$4&lt; 10.8, Table13[[#This Row],[STR]], Table13[[#This Row],[STR]] / (Dragon!$D$4 / 10.8)), 1)</f>
        <v>24</v>
      </c>
      <c r="Z46" s="8">
        <f>CEILING('Blue Slime'!$M$5/ IF('Blue Slime'!$O$5&lt; 10.8, Table13[[#This Row],[STR]], Table13[[#This Row],[STR]] / ('Blue Slime'!$O$5 / 10.8)), 1)</f>
        <v>1</v>
      </c>
      <c r="AA46" s="8">
        <f>CEILING('Green Slime'!$M$5/ IF('Green Slime'!$O$5&lt; 10.8, Table13[[#This Row],[STR]], Table13[[#This Row],[STR]] / ('Green Slime'!$O$5 / 10.8)), 1)</f>
        <v>1</v>
      </c>
      <c r="AB46" s="8">
        <f>CEILING(Wolf!$M$6/ IF(Wolf!$O$6&lt; 10.8, Table13[[#This Row],[STR]], Table13[[#This Row],[STR]] / (Wolf!$O$6 / 10.8)), 1)</f>
        <v>2</v>
      </c>
      <c r="AC46" s="8">
        <f>CEILING('Horned Wolf'!$M$5/ IF('Horned Wolf'!$O$5&lt; 10.8, Table13[[#This Row],[STR]], Table13[[#This Row],[STR]] / ('Horned Wolf'!$O$5 / 10.8)), 1)</f>
        <v>4</v>
      </c>
      <c r="AD46" s="8">
        <f>CEILING(Spider!$M$7/ IF(Spider!$O$7&lt; 10.8, Table13[[#This Row],[STR]], Table13[[#This Row],[STR]] / (Spider!$O$7 / 10.8)), 1)</f>
        <v>4</v>
      </c>
      <c r="AE46" s="8">
        <f>CEILING('Evolved Spider'!$M$8/ IF('Evolved Spider'!$O$8&lt; 10.8, Table13[[#This Row],[STR]], Table13[[#This Row],[STR]] / ('Evolved Spider'!$O$8 / 10.8)), 1)</f>
        <v>7</v>
      </c>
      <c r="AF46" s="8">
        <f>CEILING(Arachne!$M$4/ IF(Arachne!$O$4&lt; 10.8, Table13[[#This Row],[STR]], Table13[[#This Row],[STR]] / (Arachne!$O$4 / 10.8)), 1)</f>
        <v>9</v>
      </c>
      <c r="AG46" s="12">
        <f>CEILING('Earth Elemental'!$M$6/ IF('Earth Elemental'!$O$6&lt; 10.8, Table13[[#This Row],[STR]], Table13[[#This Row],[STR]] / ('Earth Elemental'!$O$6 / 10.8)), 1)</f>
        <v>8</v>
      </c>
      <c r="AH46" s="12">
        <f>CEILING('Wind Elemental'!$M$6/ IF('Wind Elemental'!$O$6&lt; 10.8, Table13[[#This Row],[STR]], Table13[[#This Row],[STR]] / ('Wind Elemental'!$O$6 / 10.8)), 1)</f>
        <v>7</v>
      </c>
      <c r="AI46" s="12">
        <f>CEILING('Water Elemental'!$M$6/ IF('Water Elemental'!$O$6&lt; 10.8, Table13[[#This Row],[STR]], Table13[[#This Row],[STR]] / ('Water Elemental'!$O$6 / 10.8)), 1)</f>
        <v>10</v>
      </c>
      <c r="AJ46" s="12">
        <f>CEILING('Fire Elemental'!$M$4/ IF('Fire Elemental'!$O$4&lt; 10.8, Table13[[#This Row],[STR]], Table13[[#This Row],[STR]] / ('Fire Elemental'!$O$4 / 10.8)), 1)</f>
        <v>14</v>
      </c>
      <c r="AK46" s="15">
        <f>CEILING(Wyvern!$M$4/ IF(Wyvern!$O$4&lt; 10.8, Table13[[#This Row],[STR]], Table13[[#This Row],[STR]] / (Wyvern!$O$4 / 10.8)), 1)</f>
        <v>17</v>
      </c>
      <c r="AL46" s="15">
        <f>CEILING('Evolved Wyvern'!$M$4/ IF('Evolved Wyvern'!$O$4&lt; 10.8, Table13[[#This Row],[STR]], Table13[[#This Row],[STR]] / ('Evolved Wyvern'!$O$4 / 10.8)), 1)</f>
        <v>23</v>
      </c>
      <c r="AM46" s="15">
        <f>CEILING(Dragon!$M$4/ IF(Dragon!$O$4&lt; 10.8, Table13[[#This Row],[STR]], Table13[[#This Row],[STR]] / (Dragon!$O$4 / 10.8)), 1)</f>
        <v>38</v>
      </c>
      <c r="AO46" s="8">
        <f>CEILING('Blue Slime'!$Z$5/ IF('Blue Slime'!$X$5&lt; 10.8, Table13[[#This Row],[STR]], Table13[[#This Row],[STR]] / ('Blue Slime'!$X$5 / 10.8)), 1)</f>
        <v>1</v>
      </c>
      <c r="AP46" s="8">
        <f>CEILING('Green Slime'!$Z$5/ IF('Green Slime'!$X$5&lt; 10.8, Table13[[#This Row],[STR]], Table13[[#This Row],[STR]] / ('Green Slime'!$X$5 / 10.8)), 1)</f>
        <v>1</v>
      </c>
      <c r="AQ46" s="8">
        <f>CEILING(Wolf!$Z$6/ IF(Wolf!$X$6&lt; 10.8, Table13[[#This Row],[STR]], Table13[[#This Row],[STR]] / (Wolf!$X$6 / 10.8)), 1)</f>
        <v>3</v>
      </c>
      <c r="AR46" s="8">
        <f>CEILING('Horned Wolf'!$Z$5/ IF('Horned Wolf'!$X$5&lt; 10.8, Table13[[#This Row],[STR]], Table13[[#This Row],[STR]] / ('Horned Wolf'!$X$5 / 10.8)), 1)</f>
        <v>7</v>
      </c>
      <c r="AS46" s="8">
        <f>CEILING(Spider!$Z$7/ IF(Spider!$X$7&lt; 10.8, Table13[[#This Row],[STR]], Table13[[#This Row],[STR]] / (Spider!$X$7 / 10.8)), 1)</f>
        <v>6</v>
      </c>
      <c r="AT46" s="8">
        <f>CEILING('Evolved Spider'!$Z$8/ IF('Evolved Spider'!$X$8&lt; 10.8, Table13[[#This Row],[STR]], Table13[[#This Row],[STR]] / ('Evolved Spider'!$X$8 / 10.8)), 1)</f>
        <v>11</v>
      </c>
      <c r="AU46" s="8">
        <f>CEILING(Arachne!$Z$4/ IF(Arachne!$X$4&lt; 10.8, Table13[[#This Row],[STR]], Table13[[#This Row],[STR]] / (Arachne!$X$4 / 10.8)), 1)</f>
        <v>15</v>
      </c>
      <c r="AV46" s="12">
        <f>CEILING('Earth Elemental'!$Z$6/ IF('Earth Elemental'!$X$6&lt; 10.8, Table13[[#This Row],[STR]], Table13[[#This Row],[STR]] / ('Earth Elemental'!$X$6 / 10.8)), 1)</f>
        <v>12</v>
      </c>
      <c r="AW46" s="12">
        <f>CEILING('Wind Elemental'!$Z$6/ IF('Wind Elemental'!$X$6&lt; 10.8, Table13[[#This Row],[STR]], Table13[[#This Row],[STR]] / ('Wind Elemental'!$X$6 / 10.8)), 1)</f>
        <v>10</v>
      </c>
      <c r="AX46" s="12">
        <f>CEILING('Water Elemental'!$Z$6/ IF('Water Elemental'!$X$6&lt; 10.8, Table13[[#This Row],[STR]], Table13[[#This Row],[STR]] / ('Water Elemental'!$X$6 / 10.8)), 1)</f>
        <v>13</v>
      </c>
      <c r="AY46" s="12">
        <f>CEILING('Fire Elemental'!$Z$4/ IF('Fire Elemental'!$X$4&lt; 10.8, Table13[[#This Row],[STR]], Table13[[#This Row],[STR]] / ('Fire Elemental'!$X$4 / 10.8)), 1)</f>
        <v>21</v>
      </c>
      <c r="AZ46" s="15">
        <f>CEILING(Wyvern!$Z$4/ IF(Wyvern!$X$4&lt; 10.8, Table13[[#This Row],[STR]], Table13[[#This Row],[STR]] / (Wyvern!$X$4 / 10.8)), 1)</f>
        <v>25</v>
      </c>
      <c r="BA46" s="15">
        <f>CEILING('Evolved Wyvern'!$Z$4/ IF('Evolved Wyvern'!$X$4&lt; 10.8, Table13[[#This Row],[STR]], Table13[[#This Row],[STR]] / ('Evolved Wyvern'!$X$4 / 10.8)), 1)</f>
        <v>32</v>
      </c>
      <c r="BB46" s="15">
        <f>CEILING(Dragon!$Z$4/ IF(Dragon!$X$4&lt; 10.8, Table13[[#This Row],[STR]], Table13[[#This Row],[STR]] / (Dragon!$X$4 / 10.8)), 1)</f>
        <v>54</v>
      </c>
    </row>
    <row r="47" spans="1:54" x14ac:dyDescent="0.3">
      <c r="A47" s="1">
        <v>45</v>
      </c>
      <c r="B47" s="1">
        <f>$B$3 + ((Table13[[#This Row],[Level]] / 10) + $B$3 / 8) * Table13[[#This Row],[Level]] + Equipment!$Z$42</f>
        <v>417.25</v>
      </c>
      <c r="C47" s="1">
        <f>2 * Table13[[#This Row],[INT]]</f>
        <v>178.5</v>
      </c>
      <c r="D47" s="1">
        <f>$D$3 + ($D$3 / 4) * Table13[[#This Row],[Level]] + Equipment!$AA$42</f>
        <v>142</v>
      </c>
      <c r="E47" s="1">
        <f>$E$3 + ($E$3 / 4) * Table13[[#This Row],[Level]] + Equipment!$AB$42</f>
        <v>106.5</v>
      </c>
      <c r="F47" s="1">
        <f>$F$3 + ($F$3 / 4) * Table13[[#This Row],[Level]] + Equipment!$AC$42</f>
        <v>124.75</v>
      </c>
      <c r="G47" s="1">
        <f>$G$3 + ($G$3 / 4) * Table13[[#This Row],[Level]] + Equipment!$AD$42</f>
        <v>89.25</v>
      </c>
      <c r="H47" s="1">
        <f>$H$3 + ($H$3 / 4) * Table13[[#This Row],[Level]] + Equipment!$AE$42</f>
        <v>106.5</v>
      </c>
      <c r="I47" s="1">
        <f xml:space="preserve"> (4 * (Table13[[#This Row],[Level]] ^ 3))/7 + $I$3</f>
        <v>52171.428571428572</v>
      </c>
      <c r="K47" s="8">
        <f>CEILING('Blue Slime'!$B$5/ IF('Blue Slime'!$D$5&lt; 10.8, Table13[[#This Row],[STR]], Table13[[#This Row],[STR]] / ('Blue Slime'!$D$5 / 10.8)), 1)</f>
        <v>1</v>
      </c>
      <c r="L47" s="8">
        <f>CEILING('Green Slime'!$B$5/ IF('Green Slime'!$D$5&lt; 10.8, Table13[[#This Row],[STR]], Table13[[#This Row],[STR]] / ('Green Slime'!$D$5 / 10.8)), 1)</f>
        <v>1</v>
      </c>
      <c r="M47" s="8">
        <f>CEILING(Wolf!$B$6/ IF(Wolf!$D$6&lt; 10.8, Table13[[#This Row],[STR]], Table13[[#This Row],[STR]] / (Wolf!$D$6 / 10.8)), 1)</f>
        <v>1</v>
      </c>
      <c r="N47" s="8">
        <f>CEILING('Horned Wolf'!$B$5/ IF('Horned Wolf'!$D$5&lt; 10.8, Table13[[#This Row],[STR]], Table13[[#This Row],[STR]] / ('Horned Wolf'!$D$5 / 10.8)), 1)</f>
        <v>2</v>
      </c>
      <c r="O47" s="8">
        <f>CEILING(Spider!$B$7/ IF(Spider!$D$7&lt; 10.8, Table13[[#This Row],[STR]], Table13[[#This Row],[STR]] / (Spider!$D$7 / 10.8)), 1)</f>
        <v>2</v>
      </c>
      <c r="P47" s="8">
        <f>CEILING('Evolved Spider'!$B$8/ IF('Evolved Spider'!$D$8&lt; 10.8, Table13[[#This Row],[STR]], Table13[[#This Row],[STR]] / ('Evolved Spider'!$D$8 / 10.8)), 1)</f>
        <v>3</v>
      </c>
      <c r="Q47" s="8">
        <f>CEILING(Arachne!$B$4/ IF(Arachne!$D$4&lt; 10.8, Table13[[#This Row],[STR]], Table13[[#This Row],[STR]] / (Arachne!$D$4 / 10.8)), 1)</f>
        <v>4</v>
      </c>
      <c r="R47" s="12">
        <f>CEILING('Earth Elemental'!$B$6/ IF('Earth Elemental'!$D$6&lt; 10.8, Table13[[#This Row],[STR]], Table13[[#This Row],[STR]] / ('Earth Elemental'!$D$6 / 10.8)), 1)</f>
        <v>5</v>
      </c>
      <c r="S47" s="12">
        <f>CEILING('Wind Elemental'!$B$6/ IF('Wind Elemental'!$D$6&lt; 10.8, Table13[[#This Row],[STR]], Table13[[#This Row],[STR]] / ('Wind Elemental'!$D$6 / 10.8)), 1)</f>
        <v>4</v>
      </c>
      <c r="T47" s="12">
        <f>CEILING('Water Elemental'!$B$6/ IF('Water Elemental'!$D$6&lt; 10.8, Table13[[#This Row],[STR]], Table13[[#This Row],[STR]] / ('Water Elemental'!$D$6 / 10.8)), 1)</f>
        <v>6</v>
      </c>
      <c r="U47" s="12">
        <f>CEILING('Fire Elemental'!$B$4/ IF('Fire Elemental'!$D$4&lt; 10.8, Table13[[#This Row],[STR]], Table13[[#This Row],[STR]] / ('Fire Elemental'!$D$4 / 10.8)), 1)</f>
        <v>7</v>
      </c>
      <c r="V47" s="15">
        <f>CEILING(Wyvern!$B$4/ IF(Wyvern!$D$4&lt; 10.8, Table13[[#This Row],[STR]], Table13[[#This Row],[STR]] / (Wyvern!$D$4 / 10.8)), 1)</f>
        <v>10</v>
      </c>
      <c r="W47" s="15">
        <f>CEILING('Evolved Wyvern'!$B$4/ IF('Evolved Wyvern'!$D$4&lt; 10.8, Table13[[#This Row],[STR]], Table13[[#This Row],[STR]] / ('Evolved Wyvern'!$D$4 / 10.8)), 1)</f>
        <v>14</v>
      </c>
      <c r="X47" s="15">
        <f>CEILING(Dragon!$B$4/ IF(Dragon!$D$4&lt; 10.8, Table13[[#This Row],[STR]], Table13[[#This Row],[STR]] / (Dragon!$D$4 / 10.8)), 1)</f>
        <v>22</v>
      </c>
      <c r="Z47" s="8">
        <f>CEILING('Blue Slime'!$M$5/ IF('Blue Slime'!$O$5&lt; 10.8, Table13[[#This Row],[STR]], Table13[[#This Row],[STR]] / ('Blue Slime'!$O$5 / 10.8)), 1)</f>
        <v>1</v>
      </c>
      <c r="AA47" s="8">
        <f>CEILING('Green Slime'!$M$5/ IF('Green Slime'!$O$5&lt; 10.8, Table13[[#This Row],[STR]], Table13[[#This Row],[STR]] / ('Green Slime'!$O$5 / 10.8)), 1)</f>
        <v>1</v>
      </c>
      <c r="AB47" s="8">
        <f>CEILING(Wolf!$M$6/ IF(Wolf!$O$6&lt; 10.8, Table13[[#This Row],[STR]], Table13[[#This Row],[STR]] / (Wolf!$O$6 / 10.8)), 1)</f>
        <v>2</v>
      </c>
      <c r="AC47" s="8">
        <f>CEILING('Horned Wolf'!$M$5/ IF('Horned Wolf'!$O$5&lt; 10.8, Table13[[#This Row],[STR]], Table13[[#This Row],[STR]] / ('Horned Wolf'!$O$5 / 10.8)), 1)</f>
        <v>4</v>
      </c>
      <c r="AD47" s="8">
        <f>CEILING(Spider!$M$7/ IF(Spider!$O$7&lt; 10.8, Table13[[#This Row],[STR]], Table13[[#This Row],[STR]] / (Spider!$O$7 / 10.8)), 1)</f>
        <v>4</v>
      </c>
      <c r="AE47" s="8">
        <f>CEILING('Evolved Spider'!$M$8/ IF('Evolved Spider'!$O$8&lt; 10.8, Table13[[#This Row],[STR]], Table13[[#This Row],[STR]] / ('Evolved Spider'!$O$8 / 10.8)), 1)</f>
        <v>6</v>
      </c>
      <c r="AF47" s="8">
        <f>CEILING(Arachne!$M$4/ IF(Arachne!$O$4&lt; 10.8, Table13[[#This Row],[STR]], Table13[[#This Row],[STR]] / (Arachne!$O$4 / 10.8)), 1)</f>
        <v>8</v>
      </c>
      <c r="AG47" s="12">
        <f>CEILING('Earth Elemental'!$M$6/ IF('Earth Elemental'!$O$6&lt; 10.8, Table13[[#This Row],[STR]], Table13[[#This Row],[STR]] / ('Earth Elemental'!$O$6 / 10.8)), 1)</f>
        <v>8</v>
      </c>
      <c r="AH47" s="12">
        <f>CEILING('Wind Elemental'!$M$6/ IF('Wind Elemental'!$O$6&lt; 10.8, Table13[[#This Row],[STR]], Table13[[#This Row],[STR]] / ('Wind Elemental'!$O$6 / 10.8)), 1)</f>
        <v>6</v>
      </c>
      <c r="AI47" s="12">
        <f>CEILING('Water Elemental'!$M$6/ IF('Water Elemental'!$O$6&lt; 10.8, Table13[[#This Row],[STR]], Table13[[#This Row],[STR]] / ('Water Elemental'!$O$6 / 10.8)), 1)</f>
        <v>9</v>
      </c>
      <c r="AJ47" s="12">
        <f>CEILING('Fire Elemental'!$M$4/ IF('Fire Elemental'!$O$4&lt; 10.8, Table13[[#This Row],[STR]], Table13[[#This Row],[STR]] / ('Fire Elemental'!$O$4 / 10.8)), 1)</f>
        <v>13</v>
      </c>
      <c r="AK47" s="15">
        <f>CEILING(Wyvern!$M$4/ IF(Wyvern!$O$4&lt; 10.8, Table13[[#This Row],[STR]], Table13[[#This Row],[STR]] / (Wyvern!$O$4 / 10.8)), 1)</f>
        <v>16</v>
      </c>
      <c r="AL47" s="15">
        <f>CEILING('Evolved Wyvern'!$M$4/ IF('Evolved Wyvern'!$O$4&lt; 10.8, Table13[[#This Row],[STR]], Table13[[#This Row],[STR]] / ('Evolved Wyvern'!$O$4 / 10.8)), 1)</f>
        <v>21</v>
      </c>
      <c r="AM47" s="15">
        <f>CEILING(Dragon!$M$4/ IF(Dragon!$O$4&lt; 10.8, Table13[[#This Row],[STR]], Table13[[#This Row],[STR]] / (Dragon!$O$4 / 10.8)), 1)</f>
        <v>35</v>
      </c>
      <c r="AO47" s="8">
        <f>CEILING('Blue Slime'!$Z$5/ IF('Blue Slime'!$X$5&lt; 10.8, Table13[[#This Row],[STR]], Table13[[#This Row],[STR]] / ('Blue Slime'!$X$5 / 10.8)), 1)</f>
        <v>1</v>
      </c>
      <c r="AP47" s="8">
        <f>CEILING('Green Slime'!$Z$5/ IF('Green Slime'!$X$5&lt; 10.8, Table13[[#This Row],[STR]], Table13[[#This Row],[STR]] / ('Green Slime'!$X$5 / 10.8)), 1)</f>
        <v>1</v>
      </c>
      <c r="AQ47" s="8">
        <f>CEILING(Wolf!$Z$6/ IF(Wolf!$X$6&lt; 10.8, Table13[[#This Row],[STR]], Table13[[#This Row],[STR]] / (Wolf!$X$6 / 10.8)), 1)</f>
        <v>3</v>
      </c>
      <c r="AR47" s="8">
        <f>CEILING('Horned Wolf'!$Z$5/ IF('Horned Wolf'!$X$5&lt; 10.8, Table13[[#This Row],[STR]], Table13[[#This Row],[STR]] / ('Horned Wolf'!$X$5 / 10.8)), 1)</f>
        <v>6</v>
      </c>
      <c r="AS47" s="8">
        <f>CEILING(Spider!$Z$7/ IF(Spider!$X$7&lt; 10.8, Table13[[#This Row],[STR]], Table13[[#This Row],[STR]] / (Spider!$X$7 / 10.8)), 1)</f>
        <v>6</v>
      </c>
      <c r="AT47" s="8">
        <f>CEILING('Evolved Spider'!$Z$8/ IF('Evolved Spider'!$X$8&lt; 10.8, Table13[[#This Row],[STR]], Table13[[#This Row],[STR]] / ('Evolved Spider'!$X$8 / 10.8)), 1)</f>
        <v>10</v>
      </c>
      <c r="AU47" s="8">
        <f>CEILING(Arachne!$Z$4/ IF(Arachne!$X$4&lt; 10.8, Table13[[#This Row],[STR]], Table13[[#This Row],[STR]] / (Arachne!$X$4 / 10.8)), 1)</f>
        <v>13</v>
      </c>
      <c r="AV47" s="12">
        <f>CEILING('Earth Elemental'!$Z$6/ IF('Earth Elemental'!$X$6&lt; 10.8, Table13[[#This Row],[STR]], Table13[[#This Row],[STR]] / ('Earth Elemental'!$X$6 / 10.8)), 1)</f>
        <v>11</v>
      </c>
      <c r="AW47" s="12">
        <f>CEILING('Wind Elemental'!$Z$6/ IF('Wind Elemental'!$X$6&lt; 10.8, Table13[[#This Row],[STR]], Table13[[#This Row],[STR]] / ('Wind Elemental'!$X$6 / 10.8)), 1)</f>
        <v>9</v>
      </c>
      <c r="AX47" s="12">
        <f>CEILING('Water Elemental'!$Z$6/ IF('Water Elemental'!$X$6&lt; 10.8, Table13[[#This Row],[STR]], Table13[[#This Row],[STR]] / ('Water Elemental'!$X$6 / 10.8)), 1)</f>
        <v>12</v>
      </c>
      <c r="AY47" s="12">
        <f>CEILING('Fire Elemental'!$Z$4/ IF('Fire Elemental'!$X$4&lt; 10.8, Table13[[#This Row],[STR]], Table13[[#This Row],[STR]] / ('Fire Elemental'!$X$4 / 10.8)), 1)</f>
        <v>19</v>
      </c>
      <c r="AZ47" s="15">
        <f>CEILING(Wyvern!$Z$4/ IF(Wyvern!$X$4&lt; 10.8, Table13[[#This Row],[STR]], Table13[[#This Row],[STR]] / (Wyvern!$X$4 / 10.8)), 1)</f>
        <v>23</v>
      </c>
      <c r="BA47" s="15">
        <f>CEILING('Evolved Wyvern'!$Z$4/ IF('Evolved Wyvern'!$X$4&lt; 10.8, Table13[[#This Row],[STR]], Table13[[#This Row],[STR]] / ('Evolved Wyvern'!$X$4 / 10.8)), 1)</f>
        <v>29</v>
      </c>
      <c r="BB47" s="15">
        <f>CEILING(Dragon!$Z$4/ IF(Dragon!$X$4&lt; 10.8, Table13[[#This Row],[STR]], Table13[[#This Row],[STR]] / (Dragon!$X$4 / 10.8)), 1)</f>
        <v>49</v>
      </c>
    </row>
    <row r="48" spans="1:54" x14ac:dyDescent="0.3">
      <c r="A48" s="1">
        <v>46</v>
      </c>
      <c r="B48" s="1">
        <f>$B$3 + ((Table13[[#This Row],[Level]] / 10) + $B$3 / 8) * Table13[[#This Row],[Level]] + Equipment!$Z$42</f>
        <v>428.09999999999997</v>
      </c>
      <c r="C48" s="1">
        <f>2 * Table13[[#This Row],[INT]]</f>
        <v>181</v>
      </c>
      <c r="D48" s="1">
        <f>$D$3 + ($D$3 / 4) * Table13[[#This Row],[Level]] + Equipment!$AA$42</f>
        <v>144</v>
      </c>
      <c r="E48" s="1">
        <f>$E$3 + ($E$3 / 4) * Table13[[#This Row],[Level]] + Equipment!$AB$42</f>
        <v>108</v>
      </c>
      <c r="F48" s="1">
        <f>$F$3 + ($F$3 / 4) * Table13[[#This Row],[Level]] + Equipment!$AC$42</f>
        <v>126.5</v>
      </c>
      <c r="G48" s="1">
        <f>$G$3 + ($G$3 / 4) * Table13[[#This Row],[Level]] + Equipment!$AD$42</f>
        <v>90.5</v>
      </c>
      <c r="H48" s="1">
        <f>$H$3 + ($H$3 / 4) * Table13[[#This Row],[Level]] + Equipment!$AE$42</f>
        <v>108</v>
      </c>
      <c r="I48" s="1">
        <f xml:space="preserve"> (4 * (Table13[[#This Row],[Level]] ^ 3))/7 + $I$3</f>
        <v>55720.571428571428</v>
      </c>
      <c r="K48" s="8">
        <f>CEILING('Blue Slime'!$B$5/ IF('Blue Slime'!$D$5&lt; 10.8, Table13[[#This Row],[STR]], Table13[[#This Row],[STR]] / ('Blue Slime'!$D$5 / 10.8)), 1)</f>
        <v>1</v>
      </c>
      <c r="L48" s="8">
        <f>CEILING('Green Slime'!$B$5/ IF('Green Slime'!$D$5&lt; 10.8, Table13[[#This Row],[STR]], Table13[[#This Row],[STR]] / ('Green Slime'!$D$5 / 10.8)), 1)</f>
        <v>1</v>
      </c>
      <c r="M48" s="8">
        <f>CEILING(Wolf!$B$6/ IF(Wolf!$D$6&lt; 10.8, Table13[[#This Row],[STR]], Table13[[#This Row],[STR]] / (Wolf!$D$6 / 10.8)), 1)</f>
        <v>1</v>
      </c>
      <c r="N48" s="8">
        <f>CEILING('Horned Wolf'!$B$5/ IF('Horned Wolf'!$D$5&lt; 10.8, Table13[[#This Row],[STR]], Table13[[#This Row],[STR]] / ('Horned Wolf'!$D$5 / 10.8)), 1)</f>
        <v>2</v>
      </c>
      <c r="O48" s="8">
        <f>CEILING(Spider!$B$7/ IF(Spider!$D$7&lt; 10.8, Table13[[#This Row],[STR]], Table13[[#This Row],[STR]] / (Spider!$D$7 / 10.8)), 1)</f>
        <v>2</v>
      </c>
      <c r="P48" s="8">
        <f>CEILING('Evolved Spider'!$B$8/ IF('Evolved Spider'!$D$8&lt; 10.8, Table13[[#This Row],[STR]], Table13[[#This Row],[STR]] / ('Evolved Spider'!$D$8 / 10.8)), 1)</f>
        <v>3</v>
      </c>
      <c r="Q48" s="8">
        <f>CEILING(Arachne!$B$4/ IF(Arachne!$D$4&lt; 10.8, Table13[[#This Row],[STR]], Table13[[#This Row],[STR]] / (Arachne!$D$4 / 10.8)), 1)</f>
        <v>4</v>
      </c>
      <c r="R48" s="12">
        <f>CEILING('Earth Elemental'!$B$6/ IF('Earth Elemental'!$D$6&lt; 10.8, Table13[[#This Row],[STR]], Table13[[#This Row],[STR]] / ('Earth Elemental'!$D$6 / 10.8)), 1)</f>
        <v>4</v>
      </c>
      <c r="S48" s="12">
        <f>CEILING('Wind Elemental'!$B$6/ IF('Wind Elemental'!$D$6&lt; 10.8, Table13[[#This Row],[STR]], Table13[[#This Row],[STR]] / ('Wind Elemental'!$D$6 / 10.8)), 1)</f>
        <v>4</v>
      </c>
      <c r="T48" s="12">
        <f>CEILING('Water Elemental'!$B$6/ IF('Water Elemental'!$D$6&lt; 10.8, Table13[[#This Row],[STR]], Table13[[#This Row],[STR]] / ('Water Elemental'!$D$6 / 10.8)), 1)</f>
        <v>6</v>
      </c>
      <c r="U48" s="12">
        <f>CEILING('Fire Elemental'!$B$4/ IF('Fire Elemental'!$D$4&lt; 10.8, Table13[[#This Row],[STR]], Table13[[#This Row],[STR]] / ('Fire Elemental'!$D$4 / 10.8)), 1)</f>
        <v>7</v>
      </c>
      <c r="V48" s="15">
        <f>CEILING(Wyvern!$B$4/ IF(Wyvern!$D$4&lt; 10.8, Table13[[#This Row],[STR]], Table13[[#This Row],[STR]] / (Wyvern!$D$4 / 10.8)), 1)</f>
        <v>10</v>
      </c>
      <c r="W48" s="15">
        <f>CEILING('Evolved Wyvern'!$B$4/ IF('Evolved Wyvern'!$D$4&lt; 10.8, Table13[[#This Row],[STR]], Table13[[#This Row],[STR]] / ('Evolved Wyvern'!$D$4 / 10.8)), 1)</f>
        <v>13</v>
      </c>
      <c r="X48" s="15">
        <f>CEILING(Dragon!$B$4/ IF(Dragon!$D$4&lt; 10.8, Table13[[#This Row],[STR]], Table13[[#This Row],[STR]] / (Dragon!$D$4 / 10.8)), 1)</f>
        <v>22</v>
      </c>
      <c r="Z48" s="8">
        <f>CEILING('Blue Slime'!$M$5/ IF('Blue Slime'!$O$5&lt; 10.8, Table13[[#This Row],[STR]], Table13[[#This Row],[STR]] / ('Blue Slime'!$O$5 / 10.8)), 1)</f>
        <v>1</v>
      </c>
      <c r="AA48" s="8">
        <f>CEILING('Green Slime'!$M$5/ IF('Green Slime'!$O$5&lt; 10.8, Table13[[#This Row],[STR]], Table13[[#This Row],[STR]] / ('Green Slime'!$O$5 / 10.8)), 1)</f>
        <v>1</v>
      </c>
      <c r="AB48" s="8">
        <f>CEILING(Wolf!$M$6/ IF(Wolf!$O$6&lt; 10.8, Table13[[#This Row],[STR]], Table13[[#This Row],[STR]] / (Wolf!$O$6 / 10.8)), 1)</f>
        <v>2</v>
      </c>
      <c r="AC48" s="8">
        <f>CEILING('Horned Wolf'!$M$5/ IF('Horned Wolf'!$O$5&lt; 10.8, Table13[[#This Row],[STR]], Table13[[#This Row],[STR]] / ('Horned Wolf'!$O$5 / 10.8)), 1)</f>
        <v>4</v>
      </c>
      <c r="AD48" s="8">
        <f>CEILING(Spider!$M$7/ IF(Spider!$O$7&lt; 10.8, Table13[[#This Row],[STR]], Table13[[#This Row],[STR]] / (Spider!$O$7 / 10.8)), 1)</f>
        <v>4</v>
      </c>
      <c r="AE48" s="8">
        <f>CEILING('Evolved Spider'!$M$8/ IF('Evolved Spider'!$O$8&lt; 10.8, Table13[[#This Row],[STR]], Table13[[#This Row],[STR]] / ('Evolved Spider'!$O$8 / 10.8)), 1)</f>
        <v>6</v>
      </c>
      <c r="AF48" s="8">
        <f>CEILING(Arachne!$M$4/ IF(Arachne!$O$4&lt; 10.8, Table13[[#This Row],[STR]], Table13[[#This Row],[STR]] / (Arachne!$O$4 / 10.8)), 1)</f>
        <v>8</v>
      </c>
      <c r="AG48" s="12">
        <f>CEILING('Earth Elemental'!$M$6/ IF('Earth Elemental'!$O$6&lt; 10.8, Table13[[#This Row],[STR]], Table13[[#This Row],[STR]] / ('Earth Elemental'!$O$6 / 10.8)), 1)</f>
        <v>7</v>
      </c>
      <c r="AH48" s="12">
        <f>CEILING('Wind Elemental'!$M$6/ IF('Wind Elemental'!$O$6&lt; 10.8, Table13[[#This Row],[STR]], Table13[[#This Row],[STR]] / ('Wind Elemental'!$O$6 / 10.8)), 1)</f>
        <v>6</v>
      </c>
      <c r="AI48" s="12">
        <f>CEILING('Water Elemental'!$M$6/ IF('Water Elemental'!$O$6&lt; 10.8, Table13[[#This Row],[STR]], Table13[[#This Row],[STR]] / ('Water Elemental'!$O$6 / 10.8)), 1)</f>
        <v>9</v>
      </c>
      <c r="AJ48" s="12">
        <f>CEILING('Fire Elemental'!$M$4/ IF('Fire Elemental'!$O$4&lt; 10.8, Table13[[#This Row],[STR]], Table13[[#This Row],[STR]] / ('Fire Elemental'!$O$4 / 10.8)), 1)</f>
        <v>13</v>
      </c>
      <c r="AK48" s="15">
        <f>CEILING(Wyvern!$M$4/ IF(Wyvern!$O$4&lt; 10.8, Table13[[#This Row],[STR]], Table13[[#This Row],[STR]] / (Wyvern!$O$4 / 10.8)), 1)</f>
        <v>16</v>
      </c>
      <c r="AL48" s="15">
        <f>CEILING('Evolved Wyvern'!$M$4/ IF('Evolved Wyvern'!$O$4&lt; 10.8, Table13[[#This Row],[STR]], Table13[[#This Row],[STR]] / ('Evolved Wyvern'!$O$4 / 10.8)), 1)</f>
        <v>21</v>
      </c>
      <c r="AM48" s="15">
        <f>CEILING(Dragon!$M$4/ IF(Dragon!$O$4&lt; 10.8, Table13[[#This Row],[STR]], Table13[[#This Row],[STR]] / (Dragon!$O$4 / 10.8)), 1)</f>
        <v>34</v>
      </c>
      <c r="AO48" s="8">
        <f>CEILING('Blue Slime'!$Z$5/ IF('Blue Slime'!$X$5&lt; 10.8, Table13[[#This Row],[STR]], Table13[[#This Row],[STR]] / ('Blue Slime'!$X$5 / 10.8)), 1)</f>
        <v>1</v>
      </c>
      <c r="AP48" s="8">
        <f>CEILING('Green Slime'!$Z$5/ IF('Green Slime'!$X$5&lt; 10.8, Table13[[#This Row],[STR]], Table13[[#This Row],[STR]] / ('Green Slime'!$X$5 / 10.8)), 1)</f>
        <v>1</v>
      </c>
      <c r="AQ48" s="8">
        <f>CEILING(Wolf!$Z$6/ IF(Wolf!$X$6&lt; 10.8, Table13[[#This Row],[STR]], Table13[[#This Row],[STR]] / (Wolf!$X$6 / 10.8)), 1)</f>
        <v>3</v>
      </c>
      <c r="AR48" s="8">
        <f>CEILING('Horned Wolf'!$Z$5/ IF('Horned Wolf'!$X$5&lt; 10.8, Table13[[#This Row],[STR]], Table13[[#This Row],[STR]] / ('Horned Wolf'!$X$5 / 10.8)), 1)</f>
        <v>6</v>
      </c>
      <c r="AS48" s="8">
        <f>CEILING(Spider!$Z$7/ IF(Spider!$X$7&lt; 10.8, Table13[[#This Row],[STR]], Table13[[#This Row],[STR]] / (Spider!$X$7 / 10.8)), 1)</f>
        <v>6</v>
      </c>
      <c r="AT48" s="8">
        <f>CEILING('Evolved Spider'!$Z$8/ IF('Evolved Spider'!$X$8&lt; 10.8, Table13[[#This Row],[STR]], Table13[[#This Row],[STR]] / ('Evolved Spider'!$X$8 / 10.8)), 1)</f>
        <v>10</v>
      </c>
      <c r="AU48" s="8">
        <f>CEILING(Arachne!$Z$4/ IF(Arachne!$X$4&lt; 10.8, Table13[[#This Row],[STR]], Table13[[#This Row],[STR]] / (Arachne!$X$4 / 10.8)), 1)</f>
        <v>13</v>
      </c>
      <c r="AV48" s="12">
        <f>CEILING('Earth Elemental'!$Z$6/ IF('Earth Elemental'!$X$6&lt; 10.8, Table13[[#This Row],[STR]], Table13[[#This Row],[STR]] / ('Earth Elemental'!$X$6 / 10.8)), 1)</f>
        <v>11</v>
      </c>
      <c r="AW48" s="12">
        <f>CEILING('Wind Elemental'!$Z$6/ IF('Wind Elemental'!$X$6&lt; 10.8, Table13[[#This Row],[STR]], Table13[[#This Row],[STR]] / ('Wind Elemental'!$X$6 / 10.8)), 1)</f>
        <v>9</v>
      </c>
      <c r="AX48" s="12">
        <f>CEILING('Water Elemental'!$Z$6/ IF('Water Elemental'!$X$6&lt; 10.8, Table13[[#This Row],[STR]], Table13[[#This Row],[STR]] / ('Water Elemental'!$X$6 / 10.8)), 1)</f>
        <v>12</v>
      </c>
      <c r="AY48" s="12">
        <f>CEILING('Fire Elemental'!$Z$4/ IF('Fire Elemental'!$X$4&lt; 10.8, Table13[[#This Row],[STR]], Table13[[#This Row],[STR]] / ('Fire Elemental'!$X$4 / 10.8)), 1)</f>
        <v>19</v>
      </c>
      <c r="AZ48" s="15">
        <f>CEILING(Wyvern!$Z$4/ IF(Wyvern!$X$4&lt; 10.8, Table13[[#This Row],[STR]], Table13[[#This Row],[STR]] / (Wyvern!$X$4 / 10.8)), 1)</f>
        <v>23</v>
      </c>
      <c r="BA48" s="15">
        <f>CEILING('Evolved Wyvern'!$Z$4/ IF('Evolved Wyvern'!$X$4&lt; 10.8, Table13[[#This Row],[STR]], Table13[[#This Row],[STR]] / ('Evolved Wyvern'!$X$4 / 10.8)), 1)</f>
        <v>29</v>
      </c>
      <c r="BB48" s="15">
        <f>CEILING(Dragon!$Z$4/ IF(Dragon!$X$4&lt; 10.8, Table13[[#This Row],[STR]], Table13[[#This Row],[STR]] / (Dragon!$X$4 / 10.8)), 1)</f>
        <v>49</v>
      </c>
    </row>
    <row r="49" spans="1:54" x14ac:dyDescent="0.3">
      <c r="A49" s="1">
        <v>47</v>
      </c>
      <c r="B49" s="1">
        <f>$B$3 + ((Table13[[#This Row],[Level]] / 10) + $B$3 / 8) * Table13[[#This Row],[Level]] + Equipment!$Z$42</f>
        <v>439.15000000000003</v>
      </c>
      <c r="C49" s="1">
        <f>2 * Table13[[#This Row],[INT]]</f>
        <v>183.5</v>
      </c>
      <c r="D49" s="1">
        <f>$D$3 + ($D$3 / 4) * Table13[[#This Row],[Level]] + Equipment!$AA$42</f>
        <v>146</v>
      </c>
      <c r="E49" s="1">
        <f>$E$3 + ($E$3 / 4) * Table13[[#This Row],[Level]] + Equipment!$AB$42</f>
        <v>109.5</v>
      </c>
      <c r="F49" s="1">
        <f>$F$3 + ($F$3 / 4) * Table13[[#This Row],[Level]] + Equipment!$AC$42</f>
        <v>128.25</v>
      </c>
      <c r="G49" s="1">
        <f>$G$3 + ($G$3 / 4) * Table13[[#This Row],[Level]] + Equipment!$AD$42</f>
        <v>91.75</v>
      </c>
      <c r="H49" s="1">
        <f>$H$3 + ($H$3 / 4) * Table13[[#This Row],[Level]] + Equipment!$AE$42</f>
        <v>109.5</v>
      </c>
      <c r="I49" s="1">
        <f xml:space="preserve"> (4 * (Table13[[#This Row],[Level]] ^ 3))/7 + $I$3</f>
        <v>59427.428571428572</v>
      </c>
      <c r="K49" s="8">
        <f>CEILING('Blue Slime'!$B$5/ IF('Blue Slime'!$D$5&lt; 10.8, Table13[[#This Row],[STR]], Table13[[#This Row],[STR]] / ('Blue Slime'!$D$5 / 10.8)), 1)</f>
        <v>1</v>
      </c>
      <c r="L49" s="8">
        <f>CEILING('Green Slime'!$B$5/ IF('Green Slime'!$D$5&lt; 10.8, Table13[[#This Row],[STR]], Table13[[#This Row],[STR]] / ('Green Slime'!$D$5 / 10.8)), 1)</f>
        <v>1</v>
      </c>
      <c r="M49" s="8">
        <f>CEILING(Wolf!$B$6/ IF(Wolf!$D$6&lt; 10.8, Table13[[#This Row],[STR]], Table13[[#This Row],[STR]] / (Wolf!$D$6 / 10.8)), 1)</f>
        <v>1</v>
      </c>
      <c r="N49" s="8">
        <f>CEILING('Horned Wolf'!$B$5/ IF('Horned Wolf'!$D$5&lt; 10.8, Table13[[#This Row],[STR]], Table13[[#This Row],[STR]] / ('Horned Wolf'!$D$5 / 10.8)), 1)</f>
        <v>2</v>
      </c>
      <c r="O49" s="8">
        <f>CEILING(Spider!$B$7/ IF(Spider!$D$7&lt; 10.8, Table13[[#This Row],[STR]], Table13[[#This Row],[STR]] / (Spider!$D$7 / 10.8)), 1)</f>
        <v>2</v>
      </c>
      <c r="P49" s="8">
        <f>CEILING('Evolved Spider'!$B$8/ IF('Evolved Spider'!$D$8&lt; 10.8, Table13[[#This Row],[STR]], Table13[[#This Row],[STR]] / ('Evolved Spider'!$D$8 / 10.8)), 1)</f>
        <v>3</v>
      </c>
      <c r="Q49" s="8">
        <f>CEILING(Arachne!$B$4/ IF(Arachne!$D$4&lt; 10.8, Table13[[#This Row],[STR]], Table13[[#This Row],[STR]] / (Arachne!$D$4 / 10.8)), 1)</f>
        <v>4</v>
      </c>
      <c r="R49" s="12">
        <f>CEILING('Earth Elemental'!$B$6/ IF('Earth Elemental'!$D$6&lt; 10.8, Table13[[#This Row],[STR]], Table13[[#This Row],[STR]] / ('Earth Elemental'!$D$6 / 10.8)), 1)</f>
        <v>4</v>
      </c>
      <c r="S49" s="12">
        <f>CEILING('Wind Elemental'!$B$6/ IF('Wind Elemental'!$D$6&lt; 10.8, Table13[[#This Row],[STR]], Table13[[#This Row],[STR]] / ('Wind Elemental'!$D$6 / 10.8)), 1)</f>
        <v>4</v>
      </c>
      <c r="T49" s="12">
        <f>CEILING('Water Elemental'!$B$6/ IF('Water Elemental'!$D$6&lt; 10.8, Table13[[#This Row],[STR]], Table13[[#This Row],[STR]] / ('Water Elemental'!$D$6 / 10.8)), 1)</f>
        <v>6</v>
      </c>
      <c r="U49" s="12">
        <f>CEILING('Fire Elemental'!$B$4/ IF('Fire Elemental'!$D$4&lt; 10.8, Table13[[#This Row],[STR]], Table13[[#This Row],[STR]] / ('Fire Elemental'!$D$4 / 10.8)), 1)</f>
        <v>7</v>
      </c>
      <c r="V49" s="15">
        <f>CEILING(Wyvern!$B$4/ IF(Wyvern!$D$4&lt; 10.8, Table13[[#This Row],[STR]], Table13[[#This Row],[STR]] / (Wyvern!$D$4 / 10.8)), 1)</f>
        <v>10</v>
      </c>
      <c r="W49" s="15">
        <f>CEILING('Evolved Wyvern'!$B$4/ IF('Evolved Wyvern'!$D$4&lt; 10.8, Table13[[#This Row],[STR]], Table13[[#This Row],[STR]] / ('Evolved Wyvern'!$D$4 / 10.8)), 1)</f>
        <v>13</v>
      </c>
      <c r="X49" s="15">
        <f>CEILING(Dragon!$B$4/ IF(Dragon!$D$4&lt; 10.8, Table13[[#This Row],[STR]], Table13[[#This Row],[STR]] / (Dragon!$D$4 / 10.8)), 1)</f>
        <v>21</v>
      </c>
      <c r="Z49" s="8">
        <f>CEILING('Blue Slime'!$M$5/ IF('Blue Slime'!$O$5&lt; 10.8, Table13[[#This Row],[STR]], Table13[[#This Row],[STR]] / ('Blue Slime'!$O$5 / 10.8)), 1)</f>
        <v>1</v>
      </c>
      <c r="AA49" s="8">
        <f>CEILING('Green Slime'!$M$5/ IF('Green Slime'!$O$5&lt; 10.8, Table13[[#This Row],[STR]], Table13[[#This Row],[STR]] / ('Green Slime'!$O$5 / 10.8)), 1)</f>
        <v>1</v>
      </c>
      <c r="AB49" s="8">
        <f>CEILING(Wolf!$M$6/ IF(Wolf!$O$6&lt; 10.8, Table13[[#This Row],[STR]], Table13[[#This Row],[STR]] / (Wolf!$O$6 / 10.8)), 1)</f>
        <v>2</v>
      </c>
      <c r="AC49" s="8">
        <f>CEILING('Horned Wolf'!$M$5/ IF('Horned Wolf'!$O$5&lt; 10.8, Table13[[#This Row],[STR]], Table13[[#This Row],[STR]] / ('Horned Wolf'!$O$5 / 10.8)), 1)</f>
        <v>4</v>
      </c>
      <c r="AD49" s="8">
        <f>CEILING(Spider!$M$7/ IF(Spider!$O$7&lt; 10.8, Table13[[#This Row],[STR]], Table13[[#This Row],[STR]] / (Spider!$O$7 / 10.8)), 1)</f>
        <v>3</v>
      </c>
      <c r="AE49" s="8">
        <f>CEILING('Evolved Spider'!$M$8/ IF('Evolved Spider'!$O$8&lt; 10.8, Table13[[#This Row],[STR]], Table13[[#This Row],[STR]] / ('Evolved Spider'!$O$8 / 10.8)), 1)</f>
        <v>6</v>
      </c>
      <c r="AF49" s="8">
        <f>CEILING(Arachne!$M$4/ IF(Arachne!$O$4&lt; 10.8, Table13[[#This Row],[STR]], Table13[[#This Row],[STR]] / (Arachne!$O$4 / 10.8)), 1)</f>
        <v>8</v>
      </c>
      <c r="AG49" s="12">
        <f>CEILING('Earth Elemental'!$M$6/ IF('Earth Elemental'!$O$6&lt; 10.8, Table13[[#This Row],[STR]], Table13[[#This Row],[STR]] / ('Earth Elemental'!$O$6 / 10.8)), 1)</f>
        <v>7</v>
      </c>
      <c r="AH49" s="12">
        <f>CEILING('Wind Elemental'!$M$6/ IF('Wind Elemental'!$O$6&lt; 10.8, Table13[[#This Row],[STR]], Table13[[#This Row],[STR]] / ('Wind Elemental'!$O$6 / 10.8)), 1)</f>
        <v>6</v>
      </c>
      <c r="AI49" s="12">
        <f>CEILING('Water Elemental'!$M$6/ IF('Water Elemental'!$O$6&lt; 10.8, Table13[[#This Row],[STR]], Table13[[#This Row],[STR]] / ('Water Elemental'!$O$6 / 10.8)), 1)</f>
        <v>9</v>
      </c>
      <c r="AJ49" s="12">
        <f>CEILING('Fire Elemental'!$M$4/ IF('Fire Elemental'!$O$4&lt; 10.8, Table13[[#This Row],[STR]], Table13[[#This Row],[STR]] / ('Fire Elemental'!$O$4 / 10.8)), 1)</f>
        <v>12</v>
      </c>
      <c r="AK49" s="15">
        <f>CEILING(Wyvern!$M$4/ IF(Wyvern!$O$4&lt; 10.8, Table13[[#This Row],[STR]], Table13[[#This Row],[STR]] / (Wyvern!$O$4 / 10.8)), 1)</f>
        <v>16</v>
      </c>
      <c r="AL49" s="15">
        <f>CEILING('Evolved Wyvern'!$M$4/ IF('Evolved Wyvern'!$O$4&lt; 10.8, Table13[[#This Row],[STR]], Table13[[#This Row],[STR]] / ('Evolved Wyvern'!$O$4 / 10.8)), 1)</f>
        <v>21</v>
      </c>
      <c r="AM49" s="15">
        <f>CEILING(Dragon!$M$4/ IF(Dragon!$O$4&lt; 10.8, Table13[[#This Row],[STR]], Table13[[#This Row],[STR]] / (Dragon!$O$4 / 10.8)), 1)</f>
        <v>34</v>
      </c>
      <c r="AO49" s="8">
        <f>CEILING('Blue Slime'!$Z$5/ IF('Blue Slime'!$X$5&lt; 10.8, Table13[[#This Row],[STR]], Table13[[#This Row],[STR]] / ('Blue Slime'!$X$5 / 10.8)), 1)</f>
        <v>1</v>
      </c>
      <c r="AP49" s="8">
        <f>CEILING('Green Slime'!$Z$5/ IF('Green Slime'!$X$5&lt; 10.8, Table13[[#This Row],[STR]], Table13[[#This Row],[STR]] / ('Green Slime'!$X$5 / 10.8)), 1)</f>
        <v>1</v>
      </c>
      <c r="AQ49" s="8">
        <f>CEILING(Wolf!$Z$6/ IF(Wolf!$X$6&lt; 10.8, Table13[[#This Row],[STR]], Table13[[#This Row],[STR]] / (Wolf!$X$6 / 10.8)), 1)</f>
        <v>3</v>
      </c>
      <c r="AR49" s="8">
        <f>CEILING('Horned Wolf'!$Z$5/ IF('Horned Wolf'!$X$5&lt; 10.8, Table13[[#This Row],[STR]], Table13[[#This Row],[STR]] / ('Horned Wolf'!$X$5 / 10.8)), 1)</f>
        <v>6</v>
      </c>
      <c r="AS49" s="8">
        <f>CEILING(Spider!$Z$7/ IF(Spider!$X$7&lt; 10.8, Table13[[#This Row],[STR]], Table13[[#This Row],[STR]] / (Spider!$X$7 / 10.8)), 1)</f>
        <v>6</v>
      </c>
      <c r="AT49" s="8">
        <f>CEILING('Evolved Spider'!$Z$8/ IF('Evolved Spider'!$X$8&lt; 10.8, Table13[[#This Row],[STR]], Table13[[#This Row],[STR]] / ('Evolved Spider'!$X$8 / 10.8)), 1)</f>
        <v>10</v>
      </c>
      <c r="AU49" s="8">
        <f>CEILING(Arachne!$Z$4/ IF(Arachne!$X$4&lt; 10.8, Table13[[#This Row],[STR]], Table13[[#This Row],[STR]] / (Arachne!$X$4 / 10.8)), 1)</f>
        <v>13</v>
      </c>
      <c r="AV49" s="12">
        <f>CEILING('Earth Elemental'!$Z$6/ IF('Earth Elemental'!$X$6&lt; 10.8, Table13[[#This Row],[STR]], Table13[[#This Row],[STR]] / ('Earth Elemental'!$X$6 / 10.8)), 1)</f>
        <v>11</v>
      </c>
      <c r="AW49" s="12">
        <f>CEILING('Wind Elemental'!$Z$6/ IF('Wind Elemental'!$X$6&lt; 10.8, Table13[[#This Row],[STR]], Table13[[#This Row],[STR]] / ('Wind Elemental'!$X$6 / 10.8)), 1)</f>
        <v>9</v>
      </c>
      <c r="AX49" s="12">
        <f>CEILING('Water Elemental'!$Z$6/ IF('Water Elemental'!$X$6&lt; 10.8, Table13[[#This Row],[STR]], Table13[[#This Row],[STR]] / ('Water Elemental'!$X$6 / 10.8)), 1)</f>
        <v>12</v>
      </c>
      <c r="AY49" s="12">
        <f>CEILING('Fire Elemental'!$Z$4/ IF('Fire Elemental'!$X$4&lt; 10.8, Table13[[#This Row],[STR]], Table13[[#This Row],[STR]] / ('Fire Elemental'!$X$4 / 10.8)), 1)</f>
        <v>19</v>
      </c>
      <c r="AZ49" s="15">
        <f>CEILING(Wyvern!$Z$4/ IF(Wyvern!$X$4&lt; 10.8, Table13[[#This Row],[STR]], Table13[[#This Row],[STR]] / (Wyvern!$X$4 / 10.8)), 1)</f>
        <v>22</v>
      </c>
      <c r="BA49" s="15">
        <f>CEILING('Evolved Wyvern'!$Z$4/ IF('Evolved Wyvern'!$X$4&lt; 10.8, Table13[[#This Row],[STR]], Table13[[#This Row],[STR]] / ('Evolved Wyvern'!$X$4 / 10.8)), 1)</f>
        <v>29</v>
      </c>
      <c r="BB49" s="15">
        <f>CEILING(Dragon!$Z$4/ IF(Dragon!$X$4&lt; 10.8, Table13[[#This Row],[STR]], Table13[[#This Row],[STR]] / (Dragon!$X$4 / 10.8)), 1)</f>
        <v>48</v>
      </c>
    </row>
    <row r="50" spans="1:54" x14ac:dyDescent="0.3">
      <c r="A50" s="1">
        <v>48</v>
      </c>
      <c r="B50" s="1">
        <f>$B$3 + ((Table13[[#This Row],[Level]] / 10) + $B$3 / 8) * Table13[[#This Row],[Level]] + Equipment!$Z$42</f>
        <v>450.4</v>
      </c>
      <c r="C50" s="1">
        <f>2 * Table13[[#This Row],[INT]]</f>
        <v>186</v>
      </c>
      <c r="D50" s="1">
        <f>$D$3 + ($D$3 / 4) * Table13[[#This Row],[Level]] + Equipment!$AA$42</f>
        <v>148</v>
      </c>
      <c r="E50" s="1">
        <f>$E$3 + ($E$3 / 4) * Table13[[#This Row],[Level]] + Equipment!$AB$42</f>
        <v>111</v>
      </c>
      <c r="F50" s="1">
        <f>$F$3 + ($F$3 / 4) * Table13[[#This Row],[Level]] + Equipment!$AC$42</f>
        <v>130</v>
      </c>
      <c r="G50" s="1">
        <f>$G$3 + ($G$3 / 4) * Table13[[#This Row],[Level]] + Equipment!$AD$42</f>
        <v>93</v>
      </c>
      <c r="H50" s="1">
        <f>$H$3 + ($H$3 / 4) * Table13[[#This Row],[Level]] + Equipment!$AE$42</f>
        <v>111</v>
      </c>
      <c r="I50" s="1">
        <f xml:space="preserve"> (4 * (Table13[[#This Row],[Level]] ^ 3))/7 + $I$3</f>
        <v>63295.428571428572</v>
      </c>
      <c r="K50" s="8">
        <f>CEILING('Blue Slime'!$B$5/ IF('Blue Slime'!$D$5&lt; 10.8, Table13[[#This Row],[STR]], Table13[[#This Row],[STR]] / ('Blue Slime'!$D$5 / 10.8)), 1)</f>
        <v>1</v>
      </c>
      <c r="L50" s="8">
        <f>CEILING('Green Slime'!$B$5/ IF('Green Slime'!$D$5&lt; 10.8, Table13[[#This Row],[STR]], Table13[[#This Row],[STR]] / ('Green Slime'!$D$5 / 10.8)), 1)</f>
        <v>1</v>
      </c>
      <c r="M50" s="8">
        <f>CEILING(Wolf!$B$6/ IF(Wolf!$D$6&lt; 10.8, Table13[[#This Row],[STR]], Table13[[#This Row],[STR]] / (Wolf!$D$6 / 10.8)), 1)</f>
        <v>1</v>
      </c>
      <c r="N50" s="8">
        <f>CEILING('Horned Wolf'!$B$5/ IF('Horned Wolf'!$D$5&lt; 10.8, Table13[[#This Row],[STR]], Table13[[#This Row],[STR]] / ('Horned Wolf'!$D$5 / 10.8)), 1)</f>
        <v>2</v>
      </c>
      <c r="O50" s="8">
        <f>CEILING(Spider!$B$7/ IF(Spider!$D$7&lt; 10.8, Table13[[#This Row],[STR]], Table13[[#This Row],[STR]] / (Spider!$D$7 / 10.8)), 1)</f>
        <v>2</v>
      </c>
      <c r="P50" s="8">
        <f>CEILING('Evolved Spider'!$B$8/ IF('Evolved Spider'!$D$8&lt; 10.8, Table13[[#This Row],[STR]], Table13[[#This Row],[STR]] / ('Evolved Spider'!$D$8 / 10.8)), 1)</f>
        <v>3</v>
      </c>
      <c r="Q50" s="8">
        <f>CEILING(Arachne!$B$4/ IF(Arachne!$D$4&lt; 10.8, Table13[[#This Row],[STR]], Table13[[#This Row],[STR]] / (Arachne!$D$4 / 10.8)), 1)</f>
        <v>4</v>
      </c>
      <c r="R50" s="12">
        <f>CEILING('Earth Elemental'!$B$6/ IF('Earth Elemental'!$D$6&lt; 10.8, Table13[[#This Row],[STR]], Table13[[#This Row],[STR]] / ('Earth Elemental'!$D$6 / 10.8)), 1)</f>
        <v>4</v>
      </c>
      <c r="S50" s="12">
        <f>CEILING('Wind Elemental'!$B$6/ IF('Wind Elemental'!$D$6&lt; 10.8, Table13[[#This Row],[STR]], Table13[[#This Row],[STR]] / ('Wind Elemental'!$D$6 / 10.8)), 1)</f>
        <v>4</v>
      </c>
      <c r="T50" s="12">
        <f>CEILING('Water Elemental'!$B$6/ IF('Water Elemental'!$D$6&lt; 10.8, Table13[[#This Row],[STR]], Table13[[#This Row],[STR]] / ('Water Elemental'!$D$6 / 10.8)), 1)</f>
        <v>6</v>
      </c>
      <c r="U50" s="12">
        <f>CEILING('Fire Elemental'!$B$4/ IF('Fire Elemental'!$D$4&lt; 10.8, Table13[[#This Row],[STR]], Table13[[#This Row],[STR]] / ('Fire Elemental'!$D$4 / 10.8)), 1)</f>
        <v>7</v>
      </c>
      <c r="V50" s="15">
        <f>CEILING(Wyvern!$B$4/ IF(Wyvern!$D$4&lt; 10.8, Table13[[#This Row],[STR]], Table13[[#This Row],[STR]] / (Wyvern!$D$4 / 10.8)), 1)</f>
        <v>10</v>
      </c>
      <c r="W50" s="15">
        <f>CEILING('Evolved Wyvern'!$B$4/ IF('Evolved Wyvern'!$D$4&lt; 10.8, Table13[[#This Row],[STR]], Table13[[#This Row],[STR]] / ('Evolved Wyvern'!$D$4 / 10.8)), 1)</f>
        <v>13</v>
      </c>
      <c r="X50" s="15">
        <f>CEILING(Dragon!$B$4/ IF(Dragon!$D$4&lt; 10.8, Table13[[#This Row],[STR]], Table13[[#This Row],[STR]] / (Dragon!$D$4 / 10.8)), 1)</f>
        <v>21</v>
      </c>
      <c r="Z50" s="8">
        <f>CEILING('Blue Slime'!$M$5/ IF('Blue Slime'!$O$5&lt; 10.8, Table13[[#This Row],[STR]], Table13[[#This Row],[STR]] / ('Blue Slime'!$O$5 / 10.8)), 1)</f>
        <v>1</v>
      </c>
      <c r="AA50" s="8">
        <f>CEILING('Green Slime'!$M$5/ IF('Green Slime'!$O$5&lt; 10.8, Table13[[#This Row],[STR]], Table13[[#This Row],[STR]] / ('Green Slime'!$O$5 / 10.8)), 1)</f>
        <v>1</v>
      </c>
      <c r="AB50" s="8">
        <f>CEILING(Wolf!$M$6/ IF(Wolf!$O$6&lt; 10.8, Table13[[#This Row],[STR]], Table13[[#This Row],[STR]] / (Wolf!$O$6 / 10.8)), 1)</f>
        <v>2</v>
      </c>
      <c r="AC50" s="8">
        <f>CEILING('Horned Wolf'!$M$5/ IF('Horned Wolf'!$O$5&lt; 10.8, Table13[[#This Row],[STR]], Table13[[#This Row],[STR]] / ('Horned Wolf'!$O$5 / 10.8)), 1)</f>
        <v>4</v>
      </c>
      <c r="AD50" s="8">
        <f>CEILING(Spider!$M$7/ IF(Spider!$O$7&lt; 10.8, Table13[[#This Row],[STR]], Table13[[#This Row],[STR]] / (Spider!$O$7 / 10.8)), 1)</f>
        <v>3</v>
      </c>
      <c r="AE50" s="8">
        <f>CEILING('Evolved Spider'!$M$8/ IF('Evolved Spider'!$O$8&lt; 10.8, Table13[[#This Row],[STR]], Table13[[#This Row],[STR]] / ('Evolved Spider'!$O$8 / 10.8)), 1)</f>
        <v>6</v>
      </c>
      <c r="AF50" s="8">
        <f>CEILING(Arachne!$M$4/ IF(Arachne!$O$4&lt; 10.8, Table13[[#This Row],[STR]], Table13[[#This Row],[STR]] / (Arachne!$O$4 / 10.8)), 1)</f>
        <v>8</v>
      </c>
      <c r="AG50" s="12">
        <f>CEILING('Earth Elemental'!$M$6/ IF('Earth Elemental'!$O$6&lt; 10.8, Table13[[#This Row],[STR]], Table13[[#This Row],[STR]] / ('Earth Elemental'!$O$6 / 10.8)), 1)</f>
        <v>7</v>
      </c>
      <c r="AH50" s="12">
        <f>CEILING('Wind Elemental'!$M$6/ IF('Wind Elemental'!$O$6&lt; 10.8, Table13[[#This Row],[STR]], Table13[[#This Row],[STR]] / ('Wind Elemental'!$O$6 / 10.8)), 1)</f>
        <v>6</v>
      </c>
      <c r="AI50" s="12">
        <f>CEILING('Water Elemental'!$M$6/ IF('Water Elemental'!$O$6&lt; 10.8, Table13[[#This Row],[STR]], Table13[[#This Row],[STR]] / ('Water Elemental'!$O$6 / 10.8)), 1)</f>
        <v>9</v>
      </c>
      <c r="AJ50" s="12">
        <f>CEILING('Fire Elemental'!$M$4/ IF('Fire Elemental'!$O$4&lt; 10.8, Table13[[#This Row],[STR]], Table13[[#This Row],[STR]] / ('Fire Elemental'!$O$4 / 10.8)), 1)</f>
        <v>12</v>
      </c>
      <c r="AK50" s="15">
        <f>CEILING(Wyvern!$M$4/ IF(Wyvern!$O$4&lt; 10.8, Table13[[#This Row],[STR]], Table13[[#This Row],[STR]] / (Wyvern!$O$4 / 10.8)), 1)</f>
        <v>15</v>
      </c>
      <c r="AL50" s="15">
        <f>CEILING('Evolved Wyvern'!$M$4/ IF('Evolved Wyvern'!$O$4&lt; 10.8, Table13[[#This Row],[STR]], Table13[[#This Row],[STR]] / ('Evolved Wyvern'!$O$4 / 10.8)), 1)</f>
        <v>20</v>
      </c>
      <c r="AM50" s="15">
        <f>CEILING(Dragon!$M$4/ IF(Dragon!$O$4&lt; 10.8, Table13[[#This Row],[STR]], Table13[[#This Row],[STR]] / (Dragon!$O$4 / 10.8)), 1)</f>
        <v>34</v>
      </c>
      <c r="AO50" s="8">
        <f>CEILING('Blue Slime'!$Z$5/ IF('Blue Slime'!$X$5&lt; 10.8, Table13[[#This Row],[STR]], Table13[[#This Row],[STR]] / ('Blue Slime'!$X$5 / 10.8)), 1)</f>
        <v>1</v>
      </c>
      <c r="AP50" s="8">
        <f>CEILING('Green Slime'!$Z$5/ IF('Green Slime'!$X$5&lt; 10.8, Table13[[#This Row],[STR]], Table13[[#This Row],[STR]] / ('Green Slime'!$X$5 / 10.8)), 1)</f>
        <v>1</v>
      </c>
      <c r="AQ50" s="8">
        <f>CEILING(Wolf!$Z$6/ IF(Wolf!$X$6&lt; 10.8, Table13[[#This Row],[STR]], Table13[[#This Row],[STR]] / (Wolf!$X$6 / 10.8)), 1)</f>
        <v>3</v>
      </c>
      <c r="AR50" s="8">
        <f>CEILING('Horned Wolf'!$Z$5/ IF('Horned Wolf'!$X$5&lt; 10.8, Table13[[#This Row],[STR]], Table13[[#This Row],[STR]] / ('Horned Wolf'!$X$5 / 10.8)), 1)</f>
        <v>6</v>
      </c>
      <c r="AS50" s="8">
        <f>CEILING(Spider!$Z$7/ IF(Spider!$X$7&lt; 10.8, Table13[[#This Row],[STR]], Table13[[#This Row],[STR]] / (Spider!$X$7 / 10.8)), 1)</f>
        <v>5</v>
      </c>
      <c r="AT50" s="8">
        <f>CEILING('Evolved Spider'!$Z$8/ IF('Evolved Spider'!$X$8&lt; 10.8, Table13[[#This Row],[STR]], Table13[[#This Row],[STR]] / ('Evolved Spider'!$X$8 / 10.8)), 1)</f>
        <v>10</v>
      </c>
      <c r="AU50" s="8">
        <f>CEILING(Arachne!$Z$4/ IF(Arachne!$X$4&lt; 10.8, Table13[[#This Row],[STR]], Table13[[#This Row],[STR]] / (Arachne!$X$4 / 10.8)), 1)</f>
        <v>13</v>
      </c>
      <c r="AV50" s="12">
        <f>CEILING('Earth Elemental'!$Z$6/ IF('Earth Elemental'!$X$6&lt; 10.8, Table13[[#This Row],[STR]], Table13[[#This Row],[STR]] / ('Earth Elemental'!$X$6 / 10.8)), 1)</f>
        <v>11</v>
      </c>
      <c r="AW50" s="12">
        <f>CEILING('Wind Elemental'!$Z$6/ IF('Wind Elemental'!$X$6&lt; 10.8, Table13[[#This Row],[STR]], Table13[[#This Row],[STR]] / ('Wind Elemental'!$X$6 / 10.8)), 1)</f>
        <v>8</v>
      </c>
      <c r="AX50" s="12">
        <f>CEILING('Water Elemental'!$Z$6/ IF('Water Elemental'!$X$6&lt; 10.8, Table13[[#This Row],[STR]], Table13[[#This Row],[STR]] / ('Water Elemental'!$X$6 / 10.8)), 1)</f>
        <v>11</v>
      </c>
      <c r="AY50" s="12">
        <f>CEILING('Fire Elemental'!$Z$4/ IF('Fire Elemental'!$X$4&lt; 10.8, Table13[[#This Row],[STR]], Table13[[#This Row],[STR]] / ('Fire Elemental'!$X$4 / 10.8)), 1)</f>
        <v>18</v>
      </c>
      <c r="AZ50" s="15">
        <f>CEILING(Wyvern!$Z$4/ IF(Wyvern!$X$4&lt; 10.8, Table13[[#This Row],[STR]], Table13[[#This Row],[STR]] / (Wyvern!$X$4 / 10.8)), 1)</f>
        <v>22</v>
      </c>
      <c r="BA50" s="15">
        <f>CEILING('Evolved Wyvern'!$Z$4/ IF('Evolved Wyvern'!$X$4&lt; 10.8, Table13[[#This Row],[STR]], Table13[[#This Row],[STR]] / ('Evolved Wyvern'!$X$4 / 10.8)), 1)</f>
        <v>28</v>
      </c>
      <c r="BB50" s="15">
        <f>CEILING(Dragon!$Z$4/ IF(Dragon!$X$4&lt; 10.8, Table13[[#This Row],[STR]], Table13[[#This Row],[STR]] / (Dragon!$X$4 / 10.8)), 1)</f>
        <v>47</v>
      </c>
    </row>
    <row r="51" spans="1:54" x14ac:dyDescent="0.3">
      <c r="A51" s="1">
        <v>49</v>
      </c>
      <c r="B51" s="1">
        <f>$B$3 + ((Table13[[#This Row],[Level]] / 10) + $B$3 / 8) * Table13[[#This Row],[Level]] + Equipment!$Z$42</f>
        <v>461.85</v>
      </c>
      <c r="C51" s="1">
        <f>2 * Table13[[#This Row],[INT]]</f>
        <v>188.5</v>
      </c>
      <c r="D51" s="1">
        <f>$D$3 + ($D$3 / 4) * Table13[[#This Row],[Level]] + Equipment!$AA$42</f>
        <v>150</v>
      </c>
      <c r="E51" s="1">
        <f>$E$3 + ($E$3 / 4) * Table13[[#This Row],[Level]] + Equipment!$AB$42</f>
        <v>112.5</v>
      </c>
      <c r="F51" s="1">
        <f>$F$3 + ($F$3 / 4) * Table13[[#This Row],[Level]] + Equipment!$AC$42</f>
        <v>131.75</v>
      </c>
      <c r="G51" s="1">
        <f>$G$3 + ($G$3 / 4) * Table13[[#This Row],[Level]] + Equipment!$AD$42</f>
        <v>94.25</v>
      </c>
      <c r="H51" s="1">
        <f>$H$3 + ($H$3 / 4) * Table13[[#This Row],[Level]] + Equipment!$AE$42</f>
        <v>112.5</v>
      </c>
      <c r="I51" s="1">
        <f xml:space="preserve"> (4 * (Table13[[#This Row],[Level]] ^ 3))/7 + $I$3</f>
        <v>67328</v>
      </c>
      <c r="K51" s="8">
        <f>CEILING('Blue Slime'!$B$5/ IF('Blue Slime'!$D$5&lt; 10.8, Table13[[#This Row],[STR]], Table13[[#This Row],[STR]] / ('Blue Slime'!$D$5 / 10.8)), 1)</f>
        <v>1</v>
      </c>
      <c r="L51" s="8">
        <f>CEILING('Green Slime'!$B$5/ IF('Green Slime'!$D$5&lt; 10.8, Table13[[#This Row],[STR]], Table13[[#This Row],[STR]] / ('Green Slime'!$D$5 / 10.8)), 1)</f>
        <v>1</v>
      </c>
      <c r="M51" s="8">
        <f>CEILING(Wolf!$B$6/ IF(Wolf!$D$6&lt; 10.8, Table13[[#This Row],[STR]], Table13[[#This Row],[STR]] / (Wolf!$D$6 / 10.8)), 1)</f>
        <v>1</v>
      </c>
      <c r="N51" s="8">
        <f>CEILING('Horned Wolf'!$B$5/ IF('Horned Wolf'!$D$5&lt; 10.8, Table13[[#This Row],[STR]], Table13[[#This Row],[STR]] / ('Horned Wolf'!$D$5 / 10.8)), 1)</f>
        <v>2</v>
      </c>
      <c r="O51" s="8">
        <f>CEILING(Spider!$B$7/ IF(Spider!$D$7&lt; 10.8, Table13[[#This Row],[STR]], Table13[[#This Row],[STR]] / (Spider!$D$7 / 10.8)), 1)</f>
        <v>2</v>
      </c>
      <c r="P51" s="8">
        <f>CEILING('Evolved Spider'!$B$8/ IF('Evolved Spider'!$D$8&lt; 10.8, Table13[[#This Row],[STR]], Table13[[#This Row],[STR]] / ('Evolved Spider'!$D$8 / 10.8)), 1)</f>
        <v>3</v>
      </c>
      <c r="Q51" s="8">
        <f>CEILING(Arachne!$B$4/ IF(Arachne!$D$4&lt; 10.8, Table13[[#This Row],[STR]], Table13[[#This Row],[STR]] / (Arachne!$D$4 / 10.8)), 1)</f>
        <v>4</v>
      </c>
      <c r="R51" s="12">
        <f>CEILING('Earth Elemental'!$B$6/ IF('Earth Elemental'!$D$6&lt; 10.8, Table13[[#This Row],[STR]], Table13[[#This Row],[STR]] / ('Earth Elemental'!$D$6 / 10.8)), 1)</f>
        <v>4</v>
      </c>
      <c r="S51" s="12">
        <f>CEILING('Wind Elemental'!$B$6/ IF('Wind Elemental'!$D$6&lt; 10.8, Table13[[#This Row],[STR]], Table13[[#This Row],[STR]] / ('Wind Elemental'!$D$6 / 10.8)), 1)</f>
        <v>4</v>
      </c>
      <c r="T51" s="12">
        <f>CEILING('Water Elemental'!$B$6/ IF('Water Elemental'!$D$6&lt; 10.8, Table13[[#This Row],[STR]], Table13[[#This Row],[STR]] / ('Water Elemental'!$D$6 / 10.8)), 1)</f>
        <v>6</v>
      </c>
      <c r="U51" s="12">
        <f>CEILING('Fire Elemental'!$B$4/ IF('Fire Elemental'!$D$4&lt; 10.8, Table13[[#This Row],[STR]], Table13[[#This Row],[STR]] / ('Fire Elemental'!$D$4 / 10.8)), 1)</f>
        <v>7</v>
      </c>
      <c r="V51" s="15">
        <f>CEILING(Wyvern!$B$4/ IF(Wyvern!$D$4&lt; 10.8, Table13[[#This Row],[STR]], Table13[[#This Row],[STR]] / (Wyvern!$D$4 / 10.8)), 1)</f>
        <v>9</v>
      </c>
      <c r="W51" s="15">
        <f>CEILING('Evolved Wyvern'!$B$4/ IF('Evolved Wyvern'!$D$4&lt; 10.8, Table13[[#This Row],[STR]], Table13[[#This Row],[STR]] / ('Evolved Wyvern'!$D$4 / 10.8)), 1)</f>
        <v>13</v>
      </c>
      <c r="X51" s="15">
        <f>CEILING(Dragon!$B$4/ IF(Dragon!$D$4&lt; 10.8, Table13[[#This Row],[STR]], Table13[[#This Row],[STR]] / (Dragon!$D$4 / 10.8)), 1)</f>
        <v>21</v>
      </c>
      <c r="Z51" s="8">
        <f>CEILING('Blue Slime'!$M$5/ IF('Blue Slime'!$O$5&lt; 10.8, Table13[[#This Row],[STR]], Table13[[#This Row],[STR]] / ('Blue Slime'!$O$5 / 10.8)), 1)</f>
        <v>1</v>
      </c>
      <c r="AA51" s="8">
        <f>CEILING('Green Slime'!$M$5/ IF('Green Slime'!$O$5&lt; 10.8, Table13[[#This Row],[STR]], Table13[[#This Row],[STR]] / ('Green Slime'!$O$5 / 10.8)), 1)</f>
        <v>1</v>
      </c>
      <c r="AB51" s="8">
        <f>CEILING(Wolf!$M$6/ IF(Wolf!$O$6&lt; 10.8, Table13[[#This Row],[STR]], Table13[[#This Row],[STR]] / (Wolf!$O$6 / 10.8)), 1)</f>
        <v>2</v>
      </c>
      <c r="AC51" s="8">
        <f>CEILING('Horned Wolf'!$M$5/ IF('Horned Wolf'!$O$5&lt; 10.8, Table13[[#This Row],[STR]], Table13[[#This Row],[STR]] / ('Horned Wolf'!$O$5 / 10.8)), 1)</f>
        <v>4</v>
      </c>
      <c r="AD51" s="8">
        <f>CEILING(Spider!$M$7/ IF(Spider!$O$7&lt; 10.8, Table13[[#This Row],[STR]], Table13[[#This Row],[STR]] / (Spider!$O$7 / 10.8)), 1)</f>
        <v>3</v>
      </c>
      <c r="AE51" s="8">
        <f>CEILING('Evolved Spider'!$M$8/ IF('Evolved Spider'!$O$8&lt; 10.8, Table13[[#This Row],[STR]], Table13[[#This Row],[STR]] / ('Evolved Spider'!$O$8 / 10.8)), 1)</f>
        <v>6</v>
      </c>
      <c r="AF51" s="8">
        <f>CEILING(Arachne!$M$4/ IF(Arachne!$O$4&lt; 10.8, Table13[[#This Row],[STR]], Table13[[#This Row],[STR]] / (Arachne!$O$4 / 10.8)), 1)</f>
        <v>8</v>
      </c>
      <c r="AG51" s="12">
        <f>CEILING('Earth Elemental'!$M$6/ IF('Earth Elemental'!$O$6&lt; 10.8, Table13[[#This Row],[STR]], Table13[[#This Row],[STR]] / ('Earth Elemental'!$O$6 / 10.8)), 1)</f>
        <v>7</v>
      </c>
      <c r="AH51" s="12">
        <f>CEILING('Wind Elemental'!$M$6/ IF('Wind Elemental'!$O$6&lt; 10.8, Table13[[#This Row],[STR]], Table13[[#This Row],[STR]] / ('Wind Elemental'!$O$6 / 10.8)), 1)</f>
        <v>6</v>
      </c>
      <c r="AI51" s="12">
        <f>CEILING('Water Elemental'!$M$6/ IF('Water Elemental'!$O$6&lt; 10.8, Table13[[#This Row],[STR]], Table13[[#This Row],[STR]] / ('Water Elemental'!$O$6 / 10.8)), 1)</f>
        <v>8</v>
      </c>
      <c r="AJ51" s="12">
        <f>CEILING('Fire Elemental'!$M$4/ IF('Fire Elemental'!$O$4&lt; 10.8, Table13[[#This Row],[STR]], Table13[[#This Row],[STR]] / ('Fire Elemental'!$O$4 / 10.8)), 1)</f>
        <v>12</v>
      </c>
      <c r="AK51" s="15">
        <f>CEILING(Wyvern!$M$4/ IF(Wyvern!$O$4&lt; 10.8, Table13[[#This Row],[STR]], Table13[[#This Row],[STR]] / (Wyvern!$O$4 / 10.8)), 1)</f>
        <v>15</v>
      </c>
      <c r="AL51" s="15">
        <f>CEILING('Evolved Wyvern'!$M$4/ IF('Evolved Wyvern'!$O$4&lt; 10.8, Table13[[#This Row],[STR]], Table13[[#This Row],[STR]] / ('Evolved Wyvern'!$O$4 / 10.8)), 1)</f>
        <v>20</v>
      </c>
      <c r="AM51" s="15">
        <f>CEILING(Dragon!$M$4/ IF(Dragon!$O$4&lt; 10.8, Table13[[#This Row],[STR]], Table13[[#This Row],[STR]] / (Dragon!$O$4 / 10.8)), 1)</f>
        <v>33</v>
      </c>
      <c r="AO51" s="8">
        <f>CEILING('Blue Slime'!$Z$5/ IF('Blue Slime'!$X$5&lt; 10.8, Table13[[#This Row],[STR]], Table13[[#This Row],[STR]] / ('Blue Slime'!$X$5 / 10.8)), 1)</f>
        <v>1</v>
      </c>
      <c r="AP51" s="8">
        <f>CEILING('Green Slime'!$Z$5/ IF('Green Slime'!$X$5&lt; 10.8, Table13[[#This Row],[STR]], Table13[[#This Row],[STR]] / ('Green Slime'!$X$5 / 10.8)), 1)</f>
        <v>1</v>
      </c>
      <c r="AQ51" s="8">
        <f>CEILING(Wolf!$Z$6/ IF(Wolf!$X$6&lt; 10.8, Table13[[#This Row],[STR]], Table13[[#This Row],[STR]] / (Wolf!$X$6 / 10.8)), 1)</f>
        <v>2</v>
      </c>
      <c r="AR51" s="8">
        <f>CEILING('Horned Wolf'!$Z$5/ IF('Horned Wolf'!$X$5&lt; 10.8, Table13[[#This Row],[STR]], Table13[[#This Row],[STR]] / ('Horned Wolf'!$X$5 / 10.8)), 1)</f>
        <v>6</v>
      </c>
      <c r="AS51" s="8">
        <f>CEILING(Spider!$Z$7/ IF(Spider!$X$7&lt; 10.8, Table13[[#This Row],[STR]], Table13[[#This Row],[STR]] / (Spider!$X$7 / 10.8)), 1)</f>
        <v>5</v>
      </c>
      <c r="AT51" s="8">
        <f>CEILING('Evolved Spider'!$Z$8/ IF('Evolved Spider'!$X$8&lt; 10.8, Table13[[#This Row],[STR]], Table13[[#This Row],[STR]] / ('Evolved Spider'!$X$8 / 10.8)), 1)</f>
        <v>9</v>
      </c>
      <c r="AU51" s="8">
        <f>CEILING(Arachne!$Z$4/ IF(Arachne!$X$4&lt; 10.8, Table13[[#This Row],[STR]], Table13[[#This Row],[STR]] / (Arachne!$X$4 / 10.8)), 1)</f>
        <v>13</v>
      </c>
      <c r="AV51" s="12">
        <f>CEILING('Earth Elemental'!$Z$6/ IF('Earth Elemental'!$X$6&lt; 10.8, Table13[[#This Row],[STR]], Table13[[#This Row],[STR]] / ('Earth Elemental'!$X$6 / 10.8)), 1)</f>
        <v>11</v>
      </c>
      <c r="AW51" s="12">
        <f>CEILING('Wind Elemental'!$Z$6/ IF('Wind Elemental'!$X$6&lt; 10.8, Table13[[#This Row],[STR]], Table13[[#This Row],[STR]] / ('Wind Elemental'!$X$6 / 10.8)), 1)</f>
        <v>8</v>
      </c>
      <c r="AX51" s="12">
        <f>CEILING('Water Elemental'!$Z$6/ IF('Water Elemental'!$X$6&lt; 10.8, Table13[[#This Row],[STR]], Table13[[#This Row],[STR]] / ('Water Elemental'!$X$6 / 10.8)), 1)</f>
        <v>11</v>
      </c>
      <c r="AY51" s="12">
        <f>CEILING('Fire Elemental'!$Z$4/ IF('Fire Elemental'!$X$4&lt; 10.8, Table13[[#This Row],[STR]], Table13[[#This Row],[STR]] / ('Fire Elemental'!$X$4 / 10.8)), 1)</f>
        <v>18</v>
      </c>
      <c r="AZ51" s="15">
        <f>CEILING(Wyvern!$Z$4/ IF(Wyvern!$X$4&lt; 10.8, Table13[[#This Row],[STR]], Table13[[#This Row],[STR]] / (Wyvern!$X$4 / 10.8)), 1)</f>
        <v>22</v>
      </c>
      <c r="BA51" s="15">
        <f>CEILING('Evolved Wyvern'!$Z$4/ IF('Evolved Wyvern'!$X$4&lt; 10.8, Table13[[#This Row],[STR]], Table13[[#This Row],[STR]] / ('Evolved Wyvern'!$X$4 / 10.8)), 1)</f>
        <v>28</v>
      </c>
      <c r="BB51" s="15">
        <f>CEILING(Dragon!$Z$4/ IF(Dragon!$X$4&lt; 10.8, Table13[[#This Row],[STR]], Table13[[#This Row],[STR]] / (Dragon!$X$4 / 10.8)), 1)</f>
        <v>47</v>
      </c>
    </row>
    <row r="52" spans="1:54" x14ac:dyDescent="0.3">
      <c r="A52" s="1">
        <v>50</v>
      </c>
      <c r="B52" s="1">
        <f>$B$3 + ((Table13[[#This Row],[Level]] / 10) + $B$3 / 8) * Table13[[#This Row],[Level]] + Equipment!$Z$42</f>
        <v>473.5</v>
      </c>
      <c r="C52" s="1">
        <f>2 * Table13[[#This Row],[INT]]</f>
        <v>191</v>
      </c>
      <c r="D52" s="1">
        <f>$D$3 + ($D$3 / 4) * Table13[[#This Row],[Level]] + Equipment!$AA$42</f>
        <v>152</v>
      </c>
      <c r="E52" s="1">
        <f>$E$3 + ($E$3 / 4) * Table13[[#This Row],[Level]] + Equipment!$AB$42</f>
        <v>114</v>
      </c>
      <c r="F52" s="1">
        <f>$F$3 + ($F$3 / 4) * Table13[[#This Row],[Level]] + Equipment!$AC$42</f>
        <v>133.5</v>
      </c>
      <c r="G52" s="1">
        <f>$G$3 + ($G$3 / 4) * Table13[[#This Row],[Level]] + Equipment!$AD$42</f>
        <v>95.5</v>
      </c>
      <c r="H52" s="1">
        <f>$H$3 + ($H$3 / 4) * Table13[[#This Row],[Level]] + Equipment!$AE$42</f>
        <v>114</v>
      </c>
      <c r="I52" s="1">
        <f xml:space="preserve"> (4 * (Table13[[#This Row],[Level]] ^ 3))/7 + $I$3</f>
        <v>71528.571428571435</v>
      </c>
      <c r="K52" s="8">
        <f>CEILING('Blue Slime'!$B$5/ IF('Blue Slime'!$D$5&lt; 10.8, Table13[[#This Row],[STR]], Table13[[#This Row],[STR]] / ('Blue Slime'!$D$5 / 10.8)), 1)</f>
        <v>1</v>
      </c>
      <c r="L52" s="8">
        <f>CEILING('Green Slime'!$B$5/ IF('Green Slime'!$D$5&lt; 10.8, Table13[[#This Row],[STR]], Table13[[#This Row],[STR]] / ('Green Slime'!$D$5 / 10.8)), 1)</f>
        <v>1</v>
      </c>
      <c r="M52" s="8">
        <f>CEILING(Wolf!$B$6/ IF(Wolf!$D$6&lt; 10.8, Table13[[#This Row],[STR]], Table13[[#This Row],[STR]] / (Wolf!$D$6 / 10.8)), 1)</f>
        <v>1</v>
      </c>
      <c r="N52" s="8">
        <f>CEILING('Horned Wolf'!$B$5/ IF('Horned Wolf'!$D$5&lt; 10.8, Table13[[#This Row],[STR]], Table13[[#This Row],[STR]] / ('Horned Wolf'!$D$5 / 10.8)), 1)</f>
        <v>2</v>
      </c>
      <c r="O52" s="8">
        <f>CEILING(Spider!$B$7/ IF(Spider!$D$7&lt; 10.8, Table13[[#This Row],[STR]], Table13[[#This Row],[STR]] / (Spider!$D$7 / 10.8)), 1)</f>
        <v>2</v>
      </c>
      <c r="P52" s="8">
        <f>CEILING('Evolved Spider'!$B$8/ IF('Evolved Spider'!$D$8&lt; 10.8, Table13[[#This Row],[STR]], Table13[[#This Row],[STR]] / ('Evolved Spider'!$D$8 / 10.8)), 1)</f>
        <v>3</v>
      </c>
      <c r="Q52" s="8">
        <f>CEILING(Arachne!$B$4/ IF(Arachne!$D$4&lt; 10.8, Table13[[#This Row],[STR]], Table13[[#This Row],[STR]] / (Arachne!$D$4 / 10.8)), 1)</f>
        <v>4</v>
      </c>
      <c r="R52" s="12">
        <f>CEILING('Earth Elemental'!$B$6/ IF('Earth Elemental'!$D$6&lt; 10.8, Table13[[#This Row],[STR]], Table13[[#This Row],[STR]] / ('Earth Elemental'!$D$6 / 10.8)), 1)</f>
        <v>4</v>
      </c>
      <c r="S52" s="12">
        <f>CEILING('Wind Elemental'!$B$6/ IF('Wind Elemental'!$D$6&lt; 10.8, Table13[[#This Row],[STR]], Table13[[#This Row],[STR]] / ('Wind Elemental'!$D$6 / 10.8)), 1)</f>
        <v>4</v>
      </c>
      <c r="T52" s="12">
        <f>CEILING('Water Elemental'!$B$6/ IF('Water Elemental'!$D$6&lt; 10.8, Table13[[#This Row],[STR]], Table13[[#This Row],[STR]] / ('Water Elemental'!$D$6 / 10.8)), 1)</f>
        <v>6</v>
      </c>
      <c r="U52" s="12">
        <f>CEILING('Fire Elemental'!$B$4/ IF('Fire Elemental'!$D$4&lt; 10.8, Table13[[#This Row],[STR]], Table13[[#This Row],[STR]] / ('Fire Elemental'!$D$4 / 10.8)), 1)</f>
        <v>7</v>
      </c>
      <c r="V52" s="15">
        <f>CEILING(Wyvern!$B$4/ IF(Wyvern!$D$4&lt; 10.8, Table13[[#This Row],[STR]], Table13[[#This Row],[STR]] / (Wyvern!$D$4 / 10.8)), 1)</f>
        <v>9</v>
      </c>
      <c r="W52" s="15">
        <f>CEILING('Evolved Wyvern'!$B$4/ IF('Evolved Wyvern'!$D$4&lt; 10.8, Table13[[#This Row],[STR]], Table13[[#This Row],[STR]] / ('Evolved Wyvern'!$D$4 / 10.8)), 1)</f>
        <v>13</v>
      </c>
      <c r="X52" s="15">
        <f>CEILING(Dragon!$B$4/ IF(Dragon!$D$4&lt; 10.8, Table13[[#This Row],[STR]], Table13[[#This Row],[STR]] / (Dragon!$D$4 / 10.8)), 1)</f>
        <v>21</v>
      </c>
      <c r="Z52" s="8">
        <f>CEILING('Blue Slime'!$M$5/ IF('Blue Slime'!$O$5&lt; 10.8, Table13[[#This Row],[STR]], Table13[[#This Row],[STR]] / ('Blue Slime'!$O$5 / 10.8)), 1)</f>
        <v>1</v>
      </c>
      <c r="AA52" s="8">
        <f>CEILING('Green Slime'!$M$5/ IF('Green Slime'!$O$5&lt; 10.8, Table13[[#This Row],[STR]], Table13[[#This Row],[STR]] / ('Green Slime'!$O$5 / 10.8)), 1)</f>
        <v>1</v>
      </c>
      <c r="AB52" s="8">
        <f>CEILING(Wolf!$M$6/ IF(Wolf!$O$6&lt; 10.8, Table13[[#This Row],[STR]], Table13[[#This Row],[STR]] / (Wolf!$O$6 / 10.8)), 1)</f>
        <v>2</v>
      </c>
      <c r="AC52" s="8">
        <f>CEILING('Horned Wolf'!$M$5/ IF('Horned Wolf'!$O$5&lt; 10.8, Table13[[#This Row],[STR]], Table13[[#This Row],[STR]] / ('Horned Wolf'!$O$5 / 10.8)), 1)</f>
        <v>4</v>
      </c>
      <c r="AD52" s="8">
        <f>CEILING(Spider!$M$7/ IF(Spider!$O$7&lt; 10.8, Table13[[#This Row],[STR]], Table13[[#This Row],[STR]] / (Spider!$O$7 / 10.8)), 1)</f>
        <v>3</v>
      </c>
      <c r="AE52" s="8">
        <f>CEILING('Evolved Spider'!$M$8/ IF('Evolved Spider'!$O$8&lt; 10.8, Table13[[#This Row],[STR]], Table13[[#This Row],[STR]] / ('Evolved Spider'!$O$8 / 10.8)), 1)</f>
        <v>6</v>
      </c>
      <c r="AF52" s="8">
        <f>CEILING(Arachne!$M$4/ IF(Arachne!$O$4&lt; 10.8, Table13[[#This Row],[STR]], Table13[[#This Row],[STR]] / (Arachne!$O$4 / 10.8)), 1)</f>
        <v>8</v>
      </c>
      <c r="AG52" s="12">
        <f>CEILING('Earth Elemental'!$M$6/ IF('Earth Elemental'!$O$6&lt; 10.8, Table13[[#This Row],[STR]], Table13[[#This Row],[STR]] / ('Earth Elemental'!$O$6 / 10.8)), 1)</f>
        <v>7</v>
      </c>
      <c r="AH52" s="12">
        <f>CEILING('Wind Elemental'!$M$6/ IF('Wind Elemental'!$O$6&lt; 10.8, Table13[[#This Row],[STR]], Table13[[#This Row],[STR]] / ('Wind Elemental'!$O$6 / 10.8)), 1)</f>
        <v>6</v>
      </c>
      <c r="AI52" s="12">
        <f>CEILING('Water Elemental'!$M$6/ IF('Water Elemental'!$O$6&lt; 10.8, Table13[[#This Row],[STR]], Table13[[#This Row],[STR]] / ('Water Elemental'!$O$6 / 10.8)), 1)</f>
        <v>8</v>
      </c>
      <c r="AJ52" s="12">
        <f>CEILING('Fire Elemental'!$M$4/ IF('Fire Elemental'!$O$4&lt; 10.8, Table13[[#This Row],[STR]], Table13[[#This Row],[STR]] / ('Fire Elemental'!$O$4 / 10.8)), 1)</f>
        <v>12</v>
      </c>
      <c r="AK52" s="15">
        <f>CEILING(Wyvern!$M$4/ IF(Wyvern!$O$4&lt; 10.8, Table13[[#This Row],[STR]], Table13[[#This Row],[STR]] / (Wyvern!$O$4 / 10.8)), 1)</f>
        <v>15</v>
      </c>
      <c r="AL52" s="15">
        <f>CEILING('Evolved Wyvern'!$M$4/ IF('Evolved Wyvern'!$O$4&lt; 10.8, Table13[[#This Row],[STR]], Table13[[#This Row],[STR]] / ('Evolved Wyvern'!$O$4 / 10.8)), 1)</f>
        <v>20</v>
      </c>
      <c r="AM52" s="15">
        <f>CEILING(Dragon!$M$4/ IF(Dragon!$O$4&lt; 10.8, Table13[[#This Row],[STR]], Table13[[#This Row],[STR]] / (Dragon!$O$4 / 10.8)), 1)</f>
        <v>33</v>
      </c>
      <c r="AO52" s="8">
        <f>CEILING('Blue Slime'!$Z$5/ IF('Blue Slime'!$X$5&lt; 10.8, Table13[[#This Row],[STR]], Table13[[#This Row],[STR]] / ('Blue Slime'!$X$5 / 10.8)), 1)</f>
        <v>1</v>
      </c>
      <c r="AP52" s="8">
        <f>CEILING('Green Slime'!$Z$5/ IF('Green Slime'!$X$5&lt; 10.8, Table13[[#This Row],[STR]], Table13[[#This Row],[STR]] / ('Green Slime'!$X$5 / 10.8)), 1)</f>
        <v>1</v>
      </c>
      <c r="AQ52" s="8">
        <f>CEILING(Wolf!$Z$6/ IF(Wolf!$X$6&lt; 10.8, Table13[[#This Row],[STR]], Table13[[#This Row],[STR]] / (Wolf!$X$6 / 10.8)), 1)</f>
        <v>2</v>
      </c>
      <c r="AR52" s="8">
        <f>CEILING('Horned Wolf'!$Z$5/ IF('Horned Wolf'!$X$5&lt; 10.8, Table13[[#This Row],[STR]], Table13[[#This Row],[STR]] / ('Horned Wolf'!$X$5 / 10.8)), 1)</f>
        <v>6</v>
      </c>
      <c r="AS52" s="8">
        <f>CEILING(Spider!$Z$7/ IF(Spider!$X$7&lt; 10.8, Table13[[#This Row],[STR]], Table13[[#This Row],[STR]] / (Spider!$X$7 / 10.8)), 1)</f>
        <v>5</v>
      </c>
      <c r="AT52" s="8">
        <f>CEILING('Evolved Spider'!$Z$8/ IF('Evolved Spider'!$X$8&lt; 10.8, Table13[[#This Row],[STR]], Table13[[#This Row],[STR]] / ('Evolved Spider'!$X$8 / 10.8)), 1)</f>
        <v>9</v>
      </c>
      <c r="AU52" s="8">
        <f>CEILING(Arachne!$Z$4/ IF(Arachne!$X$4&lt; 10.8, Table13[[#This Row],[STR]], Table13[[#This Row],[STR]] / (Arachne!$X$4 / 10.8)), 1)</f>
        <v>12</v>
      </c>
      <c r="AV52" s="12">
        <f>CEILING('Earth Elemental'!$Z$6/ IF('Earth Elemental'!$X$6&lt; 10.8, Table13[[#This Row],[STR]], Table13[[#This Row],[STR]] / ('Earth Elemental'!$X$6 / 10.8)), 1)</f>
        <v>11</v>
      </c>
      <c r="AW52" s="12">
        <f>CEILING('Wind Elemental'!$Z$6/ IF('Wind Elemental'!$X$6&lt; 10.8, Table13[[#This Row],[STR]], Table13[[#This Row],[STR]] / ('Wind Elemental'!$X$6 / 10.8)), 1)</f>
        <v>8</v>
      </c>
      <c r="AX52" s="12">
        <f>CEILING('Water Elemental'!$Z$6/ IF('Water Elemental'!$X$6&lt; 10.8, Table13[[#This Row],[STR]], Table13[[#This Row],[STR]] / ('Water Elemental'!$X$6 / 10.8)), 1)</f>
        <v>11</v>
      </c>
      <c r="AY52" s="12">
        <f>CEILING('Fire Elemental'!$Z$4/ IF('Fire Elemental'!$X$4&lt; 10.8, Table13[[#This Row],[STR]], Table13[[#This Row],[STR]] / ('Fire Elemental'!$X$4 / 10.8)), 1)</f>
        <v>18</v>
      </c>
      <c r="AZ52" s="15">
        <f>CEILING(Wyvern!$Z$4/ IF(Wyvern!$X$4&lt; 10.8, Table13[[#This Row],[STR]], Table13[[#This Row],[STR]] / (Wyvern!$X$4 / 10.8)), 1)</f>
        <v>22</v>
      </c>
      <c r="BA52" s="15">
        <f>CEILING('Evolved Wyvern'!$Z$4/ IF('Evolved Wyvern'!$X$4&lt; 10.8, Table13[[#This Row],[STR]], Table13[[#This Row],[STR]] / ('Evolved Wyvern'!$X$4 / 10.8)), 1)</f>
        <v>28</v>
      </c>
      <c r="BB52" s="15">
        <f>CEILING(Dragon!$Z$4/ IF(Dragon!$X$4&lt; 10.8, Table13[[#This Row],[STR]], Table13[[#This Row],[STR]] / (Dragon!$X$4 / 10.8)), 1)</f>
        <v>46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489E-5E8F-4D8A-B30E-A118D5C80A75}">
  <dimension ref="A1:BB54"/>
  <sheetViews>
    <sheetView zoomScale="60" zoomScaleNormal="60" workbookViewId="0">
      <pane xSplit="1" topLeftCell="B1" activePane="topRight" state="frozen"/>
      <selection pane="topRight" sqref="A1:A1048576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9.77734375" style="1" customWidth="1"/>
    <col min="11" max="11" width="16.88671875" style="1" customWidth="1"/>
    <col min="12" max="12" width="18.88671875" style="1" customWidth="1"/>
    <col min="13" max="13" width="9.77734375" style="1" customWidth="1"/>
    <col min="14" max="14" width="19.5546875" style="1" customWidth="1"/>
    <col min="15" max="15" width="11.5546875" style="1" customWidth="1"/>
    <col min="16" max="16" width="22.44140625" style="1" customWidth="1"/>
    <col min="17" max="17" width="13.6640625" style="1" customWidth="1"/>
    <col min="18" max="18" width="23.21875" style="1" customWidth="1"/>
    <col min="19" max="19" width="23.5546875" style="1" customWidth="1"/>
    <col min="20" max="20" width="24.109375" style="1" customWidth="1"/>
    <col min="21" max="21" width="21.44140625" style="1" customWidth="1"/>
    <col min="22" max="22" width="13.44140625" style="1" customWidth="1"/>
    <col min="23" max="23" width="23.33203125" style="1" customWidth="1"/>
    <col min="24" max="24" width="13.44140625" style="1" customWidth="1"/>
    <col min="25" max="25" width="8.88671875" style="1"/>
    <col min="26" max="26" width="16.44140625" style="1" customWidth="1"/>
    <col min="27" max="27" width="18.5546875" style="1" customWidth="1"/>
    <col min="28" max="28" width="9.33203125" style="1" customWidth="1"/>
    <col min="29" max="29" width="19.77734375" style="1" customWidth="1"/>
    <col min="30" max="30" width="11.6640625" style="1" customWidth="1"/>
    <col min="31" max="31" width="22.21875" style="1" customWidth="1"/>
    <col min="32" max="32" width="13.44140625" style="1" customWidth="1"/>
    <col min="33" max="33" width="23.33203125" style="1" customWidth="1"/>
    <col min="34" max="34" width="22.88671875" style="1" customWidth="1"/>
    <col min="35" max="35" width="24.33203125" style="1" customWidth="1"/>
    <col min="36" max="36" width="21.109375" style="1" customWidth="1"/>
    <col min="37" max="37" width="13.21875" style="1" customWidth="1"/>
    <col min="38" max="38" width="24.21875" style="1" customWidth="1"/>
    <col min="39" max="39" width="12.77734375" style="1" customWidth="1"/>
    <col min="40" max="40" width="8.88671875" style="1"/>
    <col min="41" max="41" width="16.6640625" style="1" customWidth="1"/>
    <col min="42" max="42" width="18.6640625" style="1" customWidth="1"/>
    <col min="43" max="43" width="9.6640625" style="1" customWidth="1"/>
    <col min="44" max="44" width="19.109375" style="1" customWidth="1"/>
    <col min="45" max="45" width="11.21875" style="1" customWidth="1"/>
    <col min="46" max="46" width="21.6640625" style="1" customWidth="1"/>
    <col min="47" max="47" width="14.21875" style="1" customWidth="1"/>
    <col min="48" max="48" width="22.77734375" style="1" customWidth="1"/>
    <col min="49" max="49" width="22.6640625" style="1" customWidth="1"/>
    <col min="50" max="50" width="23.88671875" style="1" customWidth="1"/>
    <col min="51" max="51" width="21.6640625" style="1" customWidth="1"/>
    <col min="52" max="52" width="12.77734375" style="1" customWidth="1"/>
    <col min="53" max="53" width="24" style="1" customWidth="1"/>
    <col min="54" max="54" width="13.332031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10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0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12</v>
      </c>
      <c r="C3" s="34">
        <f xml:space="preserve"> 2*Table1[[#This Row],[INT]]</f>
        <v>12</v>
      </c>
      <c r="D3" s="34">
        <v>6</v>
      </c>
      <c r="E3" s="34">
        <v>5</v>
      </c>
      <c r="F3" s="34">
        <v>8</v>
      </c>
      <c r="G3" s="34">
        <v>6</v>
      </c>
      <c r="H3" s="34">
        <v>7</v>
      </c>
      <c r="I3" s="34">
        <v>100</v>
      </c>
      <c r="K3" s="14">
        <f>CEILING('Blue Slime'!$B$5/ IF('Blue Slime'!$D$5&lt; 10.8, Table1[[#This Row],[STR]], Table1[[#This Row],[STR]] / ('Blue Slime'!$D$5 / 10.8)), 1)</f>
        <v>3</v>
      </c>
      <c r="L3" s="14">
        <f>CEILING('Green Slime'!$B$5/ IF('Green Slime'!$D$5&lt; 10.8, Table1[[#This Row],[STR]], Table1[[#This Row],[STR]] / ('Green Slime'!$D$5 / 10.8)), 1)</f>
        <v>4</v>
      </c>
      <c r="M3" s="14">
        <f>CEILING(Wolf!$B$6/ IF(Wolf!$D$6&lt; 10.8, Table1[[#This Row],[STR]], Table1[[#This Row],[STR]] / (Wolf!$D$6 / 10.8)), 1)</f>
        <v>9</v>
      </c>
      <c r="N3" s="14">
        <f>CEILING('Horned Wolf'!$B$5/ IF('Horned Wolf'!$D$5&lt; 10.8, Table1[[#This Row],[STR]], Table1[[#This Row],[STR]] / ('Horned Wolf'!$D$5 / 10.8)), 1)</f>
        <v>25</v>
      </c>
      <c r="O3" s="8">
        <f>CEILING(Spider!$B$7/ IF(Spider!$D$7&lt; 10.8, Table1[[#This Row],[STR]], Table1[[#This Row],[STR]] / (Spider!$D$7 / 10.8)), 1)</f>
        <v>24</v>
      </c>
      <c r="P3" s="8">
        <f>CEILING('Evolved Spider'!$B$8/ IF('Evolved Spider'!$D$8&lt; 10.8, Table1[[#This Row],[STR]], Table1[[#This Row],[STR]] / ('Evolved Spider'!$D$8 / 10.8)), 1)</f>
        <v>47</v>
      </c>
      <c r="Q3" s="8">
        <f>CEILING(Arachne!$B$4/ IF(Arachne!$D$4&lt; 10.8, Table1[[#This Row],[STR]], Table1[[#This Row],[STR]] / (Arachne!$D$4 / 10.8)), 1)</f>
        <v>62</v>
      </c>
      <c r="R3" s="12">
        <f>CEILING('Earth Elemental'!$B$6/ IF('Earth Elemental'!$D$6&lt; 10.8, Table1[[#This Row],[STR]], Table1[[#This Row],[STR]] / ('Earth Elemental'!$D$6 / 10.8)), 1)</f>
        <v>63</v>
      </c>
      <c r="S3" s="12">
        <f>CEILING('Wind Elemental'!$B$6/ IF('Wind Elemental'!$D$6&lt; 10.8, Table1[[#This Row],[STR]], Table1[[#This Row],[STR]] / ('Wind Elemental'!$D$6 / 10.8)), 1)</f>
        <v>56</v>
      </c>
      <c r="T3" s="12">
        <f>CEILING('Water Elemental'!$B$6/ IF('Water Elemental'!$D$6&lt; 10.8, Table1[[#This Row],[STR]], Table1[[#This Row],[STR]] / ('Water Elemental'!$D$6 / 10.8)), 1)</f>
        <v>85</v>
      </c>
      <c r="U3" s="12">
        <f>CEILING('Fire Elemental'!$B$4/ IF('Fire Elemental'!$D$4&lt; 10.8, Table1[[#This Row],[STR]], Table1[[#This Row],[STR]] / ('Fire Elemental'!$D$4 / 10.8)), 1)</f>
        <v>109</v>
      </c>
      <c r="V3" s="12">
        <f>CEILING(Wyvern!$B$4/ IF(Wyvern!$D$4&lt; 10.8, Table1[[#This Row],[STR]], Table1[[#This Row],[STR]] / (Wyvern!$D$4 / 10.8)), 1)</f>
        <v>147</v>
      </c>
      <c r="W3" s="12">
        <f>CEILING('Evolved Wyvern'!$B$4/ IF('Evolved Wyvern'!$D$4&lt; 10.8, Table1[[#This Row],[STR]], Table1[[#This Row],[STR]] / ('Evolved Wyvern'!$D$4 / 10.8)), 1)</f>
        <v>203</v>
      </c>
      <c r="X3" s="12">
        <f>CEILING(Dragon!$B$4/ IF(Dragon!$D$4&lt; 10.8, Table1[[#This Row],[STR]], Table1[[#This Row],[STR]] / (Dragon!$D$4 / 10.8)), 1)</f>
        <v>335</v>
      </c>
      <c r="Z3" s="14">
        <f>CEILING('Blue Slime'!$M$5/ IF('Blue Slime'!$O$5&lt; 10.8, Table1[[#This Row],[STR]], Table1[[#This Row],[STR]] / ('Blue Slime'!$O$5 / 10.8)), 1)</f>
        <v>4</v>
      </c>
      <c r="AA3" s="14">
        <f>CEILING('Green Slime'!$M$5/ IF('Green Slime'!$O$5&lt; 10.8, Table1[[#This Row],[STR]], Table1[[#This Row],[STR]] / ('Green Slime'!$O$5 / 10.8)), 1)</f>
        <v>7</v>
      </c>
      <c r="AB3" s="14">
        <f>CEILING(Wolf!$M$6/ IF(Wolf!$O$6&lt; 10.8, Table1[[#This Row],[STR]], Table1[[#This Row],[STR]] / (Wolf!$O$6 / 10.8)), 1)</f>
        <v>19</v>
      </c>
      <c r="AC3" s="14">
        <f>CEILING('Horned Wolf'!$M$5/ IF('Horned Wolf'!$O$5&lt; 10.8, Table1[[#This Row],[STR]], Table1[[#This Row],[STR]] / ('Horned Wolf'!$O$5 / 10.8)), 1)</f>
        <v>53</v>
      </c>
      <c r="AD3" s="8">
        <f>CEILING(Spider!$M$7/ IF(Spider!$O$7&lt; 10.8, Table1[[#This Row],[STR]], Table1[[#This Row],[STR]] / (Spider!$O$7 / 10.8)), 1)</f>
        <v>48</v>
      </c>
      <c r="AE3" s="8">
        <f>CEILING('Evolved Spider'!$M$8/ IF('Evolved Spider'!$O$8&lt; 10.8, Table1[[#This Row],[STR]], Table1[[#This Row],[STR]] / ('Evolved Spider'!$O$8 / 10.8)), 1)</f>
        <v>90</v>
      </c>
      <c r="AF3" s="8">
        <f>CEILING(Arachne!$M$4/ IF(Arachne!$O$4&lt; 10.8, Table1[[#This Row],[STR]], Table1[[#This Row],[STR]] / (Arachne!$O$4 / 10.8)), 1)</f>
        <v>121</v>
      </c>
      <c r="AG3" s="12">
        <f>CEILING('Earth Elemental'!$M$6/ IF('Earth Elemental'!$O$6&lt; 10.8, Table1[[#This Row],[STR]], Table1[[#This Row],[STR]] / ('Earth Elemental'!$O$6 / 10.8)), 1)</f>
        <v>110</v>
      </c>
      <c r="AH3" s="12">
        <f>CEILING('Wind Elemental'!$M$6/ IF('Wind Elemental'!$O$6&lt; 10.8, Table1[[#This Row],[STR]], Table1[[#This Row],[STR]] / ('Wind Elemental'!$O$6 / 10.8)), 1)</f>
        <v>91</v>
      </c>
      <c r="AI3" s="12">
        <f>CEILING('Water Elemental'!$M$6/ IF('Water Elemental'!$O$6&lt; 10.8, Table1[[#This Row],[STR]], Table1[[#This Row],[STR]] / ('Water Elemental'!$O$6 / 10.8)), 1)</f>
        <v>131</v>
      </c>
      <c r="AJ3" s="12">
        <f>CEILING('Fire Elemental'!$M$4/ IF('Fire Elemental'!$O$4&lt; 10.8, Table1[[#This Row],[STR]], Table1[[#This Row],[STR]] / ('Fire Elemental'!$O$4 / 10.8)), 1)</f>
        <v>191</v>
      </c>
      <c r="AK3" s="8">
        <f>CEILING(Wyvern!$M$4/ IF(Wyvern!$O$4&lt; 10.8, Table1[[#This Row],[STR]], Table1[[#This Row],[STR]] / (Wyvern!$O$4 / 10.8)), 1)</f>
        <v>242</v>
      </c>
      <c r="AL3" s="8">
        <f>CEILING('Evolved Wyvern'!$M$4/ IF('Evolved Wyvern'!$O$4&lt; 10.8, Table1[[#This Row],[STR]], Table1[[#This Row],[STR]] / ('Evolved Wyvern'!$O$4 / 10.8)), 1)</f>
        <v>322</v>
      </c>
      <c r="AM3" s="8">
        <f>CEILING(Dragon!$M$4/ IF(Dragon!$O$4&lt; 10.8, Table1[[#This Row],[STR]], Table1[[#This Row],[STR]] / (Dragon!$O$4 / 10.8)), 1)</f>
        <v>537</v>
      </c>
      <c r="AO3" s="14">
        <f>CEILING('Blue Slime'!$Z$5/ IF('Blue Slime'!$X$5&lt; 10.8, Table1[[#This Row],[STR]], Table1[[#This Row],[STR]] / ('Blue Slime'!$X$5 / 10.8)), 1)</f>
        <v>7</v>
      </c>
      <c r="AP3" s="14">
        <f>CEILING('Green Slime'!$Z$5/ IF('Green Slime'!$X$5&lt; 10.8, Table1[[#This Row],[STR]], Table1[[#This Row],[STR]] / ('Green Slime'!$X$5 / 10.8)), 1)</f>
        <v>12</v>
      </c>
      <c r="AQ3" s="14">
        <f>CEILING(Wolf!$Z$6/ IF(Wolf!$X$6&lt; 10.8, Table1[[#This Row],[STR]], Table1[[#This Row],[STR]] / (Wolf!$X$6 / 10.8)), 1)</f>
        <v>33</v>
      </c>
      <c r="AR3" s="14">
        <f>CEILING('Horned Wolf'!$Z$5/ IF('Horned Wolf'!$X$5&lt; 10.8, Table1[[#This Row],[STR]], Table1[[#This Row],[STR]] / ('Horned Wolf'!$X$5 / 10.8)), 1)</f>
        <v>93</v>
      </c>
      <c r="AS3" s="8">
        <f>CEILING(Spider!$Z$7/ IF(Spider!$X$7&lt; 10.8, Table1[[#This Row],[STR]], Table1[[#This Row],[STR]] / (Spider!$X$7 / 10.8)), 1)</f>
        <v>81</v>
      </c>
      <c r="AT3" s="8">
        <f>CEILING('Evolved Spider'!$Z$8/ IF('Evolved Spider'!$X$8&lt; 10.8, Table1[[#This Row],[STR]], Table1[[#This Row],[STR]] / ('Evolved Spider'!$X$8 / 10.8)), 1)</f>
        <v>147</v>
      </c>
      <c r="AU3" s="8">
        <f>CEILING(Arachne!$Z$4/ IF(Arachne!$X$4&lt; 10.8, Table1[[#This Row],[STR]], Table1[[#This Row],[STR]] / (Arachne!$X$4 / 10.8)), 1)</f>
        <v>200</v>
      </c>
      <c r="AV3" s="8">
        <f>CEILING('Earth Elemental'!$Z$6/ IF('Earth Elemental'!$X$6&lt; 10.8, Table1[[#This Row],[STR]], Table1[[#This Row],[STR]] / ('Earth Elemental'!$X$6 / 10.8)), 1)</f>
        <v>168</v>
      </c>
      <c r="AW3" s="12">
        <f>CEILING('Wind Elemental'!$Z$6/ IF('Wind Elemental'!$X$6&lt; 10.8, Table1[[#This Row],[STR]], Table1[[#This Row],[STR]] / ('Wind Elemental'!$X$6 / 10.8)), 1)</f>
        <v>130</v>
      </c>
      <c r="AX3" s="12">
        <f>CEILING('Water Elemental'!$Z$6/ IF('Water Elemental'!$X$6&lt; 10.8, Table1[[#This Row],[STR]], Table1[[#This Row],[STR]] / ('Water Elemental'!$X$6 / 10.8)), 1)</f>
        <v>179</v>
      </c>
      <c r="AY3" s="8">
        <f>CEILING('Fire Elemental'!$Z$4/ IF('Fire Elemental'!$X$4&lt; 10.8, Table1[[#This Row],[STR]], Table1[[#This Row],[STR]] / ('Fire Elemental'!$X$4 / 10.8)), 1)</f>
        <v>292</v>
      </c>
      <c r="AZ3" s="8">
        <f>CEILING(Wyvern!$Z$4/ IF(Wyvern!$X$4&lt; 10.8, Table1[[#This Row],[STR]], Table1[[#This Row],[STR]] / (Wyvern!$X$4 / 10.8)), 1)</f>
        <v>353</v>
      </c>
      <c r="BA3" s="8">
        <f>CEILING('Evolved Wyvern'!$Z$4/ IF('Evolved Wyvern'!$X$4&lt; 10.8, Table1[[#This Row],[STR]], Table1[[#This Row],[STR]] / ('Evolved Wyvern'!$X$4 / 10.8)), 1)</f>
        <v>452</v>
      </c>
      <c r="BB3" s="8">
        <f>CEILING(Dragon!$Z$4/ IF(Dragon!$X$4&lt; 10.8, Table1[[#This Row],[STR]], Table1[[#This Row],[STR]] / (Dragon!$X$4 / 10.8)), 1)</f>
        <v>763</v>
      </c>
    </row>
    <row r="4" spans="1:54" x14ac:dyDescent="0.3">
      <c r="A4" s="34">
        <v>2</v>
      </c>
      <c r="B4" s="34">
        <f>$B$3 + ((Table1[[#This Row],[Level]] / 10) + $B$3 / 8) * Table1[[#This Row],[Level]]</f>
        <v>15.4</v>
      </c>
      <c r="C4" s="34">
        <f xml:space="preserve"> 2*Table1[[#This Row],[INT]]</f>
        <v>18</v>
      </c>
      <c r="D4" s="34">
        <f>$D$3 + ($D$3 / 4) * Table1[[#This Row],[Level]]</f>
        <v>9</v>
      </c>
      <c r="E4" s="34">
        <f>$E$3 + ($E$3 / 4) * Table1[[#This Row],[Level]]</f>
        <v>7.5</v>
      </c>
      <c r="F4" s="34">
        <f>$F$3 + ($F$3 / 4) * Table1[[#This Row],[Level]]</f>
        <v>12</v>
      </c>
      <c r="G4" s="34">
        <f>$G$3 + ($G$3 / 4) * Table1[[#This Row],[Level]]</f>
        <v>9</v>
      </c>
      <c r="H4" s="34">
        <f>$H$3 + ($H$3 / 4) * Table1[[#This Row],[Level]]</f>
        <v>10.5</v>
      </c>
      <c r="I4" s="34">
        <f xml:space="preserve"> (4 * (Table1[[#This Row],[Level]] ^ 3))/7 + $I$3</f>
        <v>104.57142857142857</v>
      </c>
      <c r="K4" s="14">
        <f>CEILING('Blue Slime'!$B$5/ IF('Blue Slime'!$D$5&lt; 10.8, Table1[[#This Row],[STR]], Table1[[#This Row],[STR]] / ('Blue Slime'!$D$5 / 10.8)), 1)</f>
        <v>2</v>
      </c>
      <c r="L4" s="14">
        <f>CEILING('Green Slime'!$B$5/ IF('Green Slime'!$D$5&lt; 10.8, Table1[[#This Row],[STR]], Table1[[#This Row],[STR]] / ('Green Slime'!$D$5 / 10.8)), 1)</f>
        <v>3</v>
      </c>
      <c r="M4" s="14">
        <f>CEILING(Wolf!$B$6/ IF(Wolf!$D$6&lt; 10.8, Table1[[#This Row],[STR]], Table1[[#This Row],[STR]] / (Wolf!$D$6 / 10.8)), 1)</f>
        <v>6</v>
      </c>
      <c r="N4" s="14">
        <f>CEILING('Horned Wolf'!$B$5/ IF('Horned Wolf'!$D$5&lt; 10.8, Table1[[#This Row],[STR]], Table1[[#This Row],[STR]] / ('Horned Wolf'!$D$5 / 10.8)), 1)</f>
        <v>17</v>
      </c>
      <c r="O4" s="8">
        <f>CEILING(Spider!$B$7/ IF(Spider!$D$7&lt; 10.8, Table1[[#This Row],[STR]], Table1[[#This Row],[STR]] / (Spider!$D$7 / 10.8)), 1)</f>
        <v>16</v>
      </c>
      <c r="P4" s="8">
        <f>CEILING('Evolved Spider'!$B$8/ IF('Evolved Spider'!$D$8&lt; 10.8, Table1[[#This Row],[STR]], Table1[[#This Row],[STR]] / ('Evolved Spider'!$D$8 / 10.8)), 1)</f>
        <v>31</v>
      </c>
      <c r="Q4" s="8">
        <f>CEILING(Arachne!$B$4/ IF(Arachne!$D$4&lt; 10.8, Table1[[#This Row],[STR]], Table1[[#This Row],[STR]] / (Arachne!$D$4 / 10.8)), 1)</f>
        <v>41</v>
      </c>
      <c r="R4" s="12">
        <f>CEILING('Earth Elemental'!$B$6/ IF('Earth Elemental'!$D$6&lt; 10.8, Table1[[#This Row],[STR]], Table1[[#This Row],[STR]] / ('Earth Elemental'!$D$6 / 10.8)), 1)</f>
        <v>42</v>
      </c>
      <c r="S4" s="12">
        <f>CEILING('Wind Elemental'!$B$6/ IF('Wind Elemental'!$D$6&lt; 10.8, Table1[[#This Row],[STR]], Table1[[#This Row],[STR]] / ('Wind Elemental'!$D$6 / 10.8)), 1)</f>
        <v>38</v>
      </c>
      <c r="T4" s="12">
        <f>CEILING('Water Elemental'!$B$6/ IF('Water Elemental'!$D$6&lt; 10.8, Table1[[#This Row],[STR]], Table1[[#This Row],[STR]] / ('Water Elemental'!$D$6 / 10.8)), 1)</f>
        <v>57</v>
      </c>
      <c r="U4" s="12">
        <f>CEILING('Fire Elemental'!$B$4/ IF('Fire Elemental'!$D$4&lt; 10.8, Table1[[#This Row],[STR]], Table1[[#This Row],[STR]] / ('Fire Elemental'!$D$4 / 10.8)), 1)</f>
        <v>73</v>
      </c>
      <c r="V4" s="12">
        <f>CEILING(Wyvern!$B$4/ IF(Wyvern!$D$4&lt; 10.8, Table1[[#This Row],[STR]], Table1[[#This Row],[STR]] / (Wyvern!$D$4 / 10.8)), 1)</f>
        <v>98</v>
      </c>
      <c r="W4" s="12">
        <f>CEILING('Evolved Wyvern'!$B$4/ IF('Evolved Wyvern'!$D$4&lt; 10.8, Table1[[#This Row],[STR]], Table1[[#This Row],[STR]] / ('Evolved Wyvern'!$D$4 / 10.8)), 1)</f>
        <v>136</v>
      </c>
      <c r="X4" s="12">
        <f>CEILING(Dragon!$B$4/ IF(Dragon!$D$4&lt; 10.8, Table1[[#This Row],[STR]], Table1[[#This Row],[STR]] / (Dragon!$D$4 / 10.8)), 1)</f>
        <v>223</v>
      </c>
      <c r="Z4" s="14">
        <f>CEILING('Blue Slime'!$M$5/ IF('Blue Slime'!$O$5&lt; 10.8, Table1[[#This Row],[STR]], Table1[[#This Row],[STR]] / ('Blue Slime'!$O$5 / 10.8)), 1)</f>
        <v>3</v>
      </c>
      <c r="AA4" s="14">
        <f>CEILING('Green Slime'!$M$5/ IF('Green Slime'!$O$5&lt; 10.8, Table1[[#This Row],[STR]], Table1[[#This Row],[STR]] / ('Green Slime'!$O$5 / 10.8)), 1)</f>
        <v>5</v>
      </c>
      <c r="AB4" s="14">
        <f>CEILING(Wolf!$M$6/ IF(Wolf!$O$6&lt; 10.8, Table1[[#This Row],[STR]], Table1[[#This Row],[STR]] / (Wolf!$O$6 / 10.8)), 1)</f>
        <v>13</v>
      </c>
      <c r="AC4" s="14">
        <f>CEILING('Horned Wolf'!$M$5/ IF('Horned Wolf'!$O$5&lt; 10.8, Table1[[#This Row],[STR]], Table1[[#This Row],[STR]] / ('Horned Wolf'!$O$5 / 10.8)), 1)</f>
        <v>36</v>
      </c>
      <c r="AD4" s="8">
        <f>CEILING(Spider!$M$7/ IF(Spider!$O$7&lt; 10.8, Table1[[#This Row],[STR]], Table1[[#This Row],[STR]] / (Spider!$O$7 / 10.8)), 1)</f>
        <v>32</v>
      </c>
      <c r="AE4" s="8">
        <f>CEILING('Evolved Spider'!$M$8/ IF('Evolved Spider'!$O$8&lt; 10.8, Table1[[#This Row],[STR]], Table1[[#This Row],[STR]] / ('Evolved Spider'!$O$8 / 10.8)), 1)</f>
        <v>60</v>
      </c>
      <c r="AF4" s="8">
        <f>CEILING(Arachne!$M$4/ IF(Arachne!$O$4&lt; 10.8, Table1[[#This Row],[STR]], Table1[[#This Row],[STR]] / (Arachne!$O$4 / 10.8)), 1)</f>
        <v>81</v>
      </c>
      <c r="AG4" s="12">
        <f>CEILING('Earth Elemental'!$M$6/ IF('Earth Elemental'!$O$6&lt; 10.8, Table1[[#This Row],[STR]], Table1[[#This Row],[STR]] / ('Earth Elemental'!$O$6 / 10.8)), 1)</f>
        <v>74</v>
      </c>
      <c r="AH4" s="12">
        <f>CEILING('Wind Elemental'!$M$6/ IF('Wind Elemental'!$O$6&lt; 10.8, Table1[[#This Row],[STR]], Table1[[#This Row],[STR]] / ('Wind Elemental'!$O$6 / 10.8)), 1)</f>
        <v>61</v>
      </c>
      <c r="AI4" s="12">
        <f>CEILING('Water Elemental'!$M$6/ IF('Water Elemental'!$O$6&lt; 10.8, Table1[[#This Row],[STR]], Table1[[#This Row],[STR]] / ('Water Elemental'!$O$6 / 10.8)), 1)</f>
        <v>87</v>
      </c>
      <c r="AJ4" s="12">
        <f>CEILING('Fire Elemental'!$M$4/ IF('Fire Elemental'!$O$4&lt; 10.8, Table1[[#This Row],[STR]], Table1[[#This Row],[STR]] / ('Fire Elemental'!$O$4 / 10.8)), 1)</f>
        <v>127</v>
      </c>
      <c r="AK4" s="12">
        <f>CEILING(Wyvern!$M$4/ IF(Wyvern!$O$4&lt; 10.8, Table1[[#This Row],[STR]], Table1[[#This Row],[STR]] / (Wyvern!$O$4 / 10.8)), 1)</f>
        <v>162</v>
      </c>
      <c r="AL4" s="12">
        <f>CEILING('Evolved Wyvern'!$M$4/ IF('Evolved Wyvern'!$O$4&lt; 10.8, Table1[[#This Row],[STR]], Table1[[#This Row],[STR]] / ('Evolved Wyvern'!$O$4 / 10.8)), 1)</f>
        <v>215</v>
      </c>
      <c r="AM4" s="12">
        <f>CEILING(Dragon!$M$4/ IF(Dragon!$O$4&lt; 10.8, Table1[[#This Row],[STR]], Table1[[#This Row],[STR]] / (Dragon!$O$4 / 10.8)), 1)</f>
        <v>358</v>
      </c>
      <c r="AO4" s="14">
        <f>CEILING('Blue Slime'!$Z$5/ IF('Blue Slime'!$X$5&lt; 10.8, Table1[[#This Row],[STR]], Table1[[#This Row],[STR]] / ('Blue Slime'!$X$5 / 10.8)), 1)</f>
        <v>5</v>
      </c>
      <c r="AP4" s="14">
        <f>CEILING('Green Slime'!$Z$5/ IF('Green Slime'!$X$5&lt; 10.8, Table1[[#This Row],[STR]], Table1[[#This Row],[STR]] / ('Green Slime'!$X$5 / 10.8)), 1)</f>
        <v>8</v>
      </c>
      <c r="AQ4" s="14">
        <f>CEILING(Wolf!$Z$6/ IF(Wolf!$X$6&lt; 10.8, Table1[[#This Row],[STR]], Table1[[#This Row],[STR]] / (Wolf!$X$6 / 10.8)), 1)</f>
        <v>22</v>
      </c>
      <c r="AR4" s="14">
        <f>CEILING('Horned Wolf'!$Z$5/ IF('Horned Wolf'!$X$5&lt; 10.8, Table1[[#This Row],[STR]], Table1[[#This Row],[STR]] / ('Horned Wolf'!$X$5 / 10.8)), 1)</f>
        <v>62</v>
      </c>
      <c r="AS4" s="8">
        <f>CEILING(Spider!$Z$7/ IF(Spider!$X$7&lt; 10.8, Table1[[#This Row],[STR]], Table1[[#This Row],[STR]] / (Spider!$X$7 / 10.8)), 1)</f>
        <v>54</v>
      </c>
      <c r="AT4" s="8">
        <f>CEILING('Evolved Spider'!$Z$8/ IF('Evolved Spider'!$X$8&lt; 10.8, Table1[[#This Row],[STR]], Table1[[#This Row],[STR]] / ('Evolved Spider'!$X$8 / 10.8)), 1)</f>
        <v>98</v>
      </c>
      <c r="AU4" s="8">
        <f>CEILING(Arachne!$Z$4/ IF(Arachne!$X$4&lt; 10.8, Table1[[#This Row],[STR]], Table1[[#This Row],[STR]] / (Arachne!$X$4 / 10.8)), 1)</f>
        <v>134</v>
      </c>
      <c r="AV4" s="12">
        <f>CEILING('Earth Elemental'!$Z$6/ IF('Earth Elemental'!$X$6&lt; 10.8, Table1[[#This Row],[STR]], Table1[[#This Row],[STR]] / ('Earth Elemental'!$X$6 / 10.8)), 1)</f>
        <v>112</v>
      </c>
      <c r="AW4" s="12">
        <f>CEILING('Wind Elemental'!$Z$6/ IF('Wind Elemental'!$X$6&lt; 10.8, Table1[[#This Row],[STR]], Table1[[#This Row],[STR]] / ('Wind Elemental'!$X$6 / 10.8)), 1)</f>
        <v>87</v>
      </c>
      <c r="AX4" s="12">
        <f>CEILING('Water Elemental'!$Z$6/ IF('Water Elemental'!$X$6&lt; 10.8, Table1[[#This Row],[STR]], Table1[[#This Row],[STR]] / ('Water Elemental'!$X$6 / 10.8)), 1)</f>
        <v>119</v>
      </c>
      <c r="AY4" s="12">
        <f>CEILING('Fire Elemental'!$Z$4/ IF('Fire Elemental'!$X$4&lt; 10.8, Table1[[#This Row],[STR]], Table1[[#This Row],[STR]] / ('Fire Elemental'!$X$4 / 10.8)), 1)</f>
        <v>195</v>
      </c>
      <c r="AZ4" s="12">
        <f>CEILING(Wyvern!$Z$4/ IF(Wyvern!$X$4&lt; 10.8, Table1[[#This Row],[STR]], Table1[[#This Row],[STR]] / (Wyvern!$X$4 / 10.8)), 1)</f>
        <v>235</v>
      </c>
      <c r="BA4" s="12">
        <f>CEILING('Evolved Wyvern'!$Z$4/ IF('Evolved Wyvern'!$X$4&lt; 10.8, Table1[[#This Row],[STR]], Table1[[#This Row],[STR]] / ('Evolved Wyvern'!$X$4 / 10.8)), 1)</f>
        <v>302</v>
      </c>
      <c r="BB4" s="12">
        <f>CEILING(Dragon!$Z$4/ IF(Dragon!$X$4&lt; 10.8, Table1[[#This Row],[STR]], Table1[[#This Row],[STR]] / (Dragon!$X$4 / 10.8)), 1)</f>
        <v>509</v>
      </c>
    </row>
    <row r="5" spans="1:54" x14ac:dyDescent="0.3">
      <c r="A5" s="34">
        <v>3</v>
      </c>
      <c r="B5" s="34">
        <f>$B$3 + ((Table1[[#This Row],[Level]] / 10) + $B$3 / 8) * Table1[[#This Row],[Level]]</f>
        <v>17.399999999999999</v>
      </c>
      <c r="C5" s="34">
        <f xml:space="preserve"> 2*Table1[[#This Row],[INT]]</f>
        <v>21</v>
      </c>
      <c r="D5" s="34">
        <f>$D$3 + ($D$3 / 4) * Table1[[#This Row],[Level]]</f>
        <v>10.5</v>
      </c>
      <c r="E5" s="34">
        <f>$E$3 + ($E$3 / 4) * Table1[[#This Row],[Level]]</f>
        <v>8.75</v>
      </c>
      <c r="F5" s="34">
        <f>$F$3 + ($F$3 / 4) * Table1[[#This Row],[Level]]</f>
        <v>14</v>
      </c>
      <c r="G5" s="34">
        <f>$G$3 + ($G$3 / 4) * Table1[[#This Row],[Level]]</f>
        <v>10.5</v>
      </c>
      <c r="H5" s="34">
        <f>$H$3 + ($H$3 / 4) * Table1[[#This Row],[Level]]</f>
        <v>12.25</v>
      </c>
      <c r="I5" s="34">
        <f xml:space="preserve"> (4 * (Table1[[#This Row],[Level]] ^ 3))/7 + $I$3</f>
        <v>115.42857142857143</v>
      </c>
      <c r="K5" s="14">
        <f>CEILING('Blue Slime'!$B$5/ IF('Blue Slime'!$D$5&lt; 10.8, Table1[[#This Row],[STR]], Table1[[#This Row],[STR]] / ('Blue Slime'!$D$5 / 10.8)), 1)</f>
        <v>2</v>
      </c>
      <c r="L5" s="14">
        <f>CEILING('Green Slime'!$B$5/ IF('Green Slime'!$D$5&lt; 10.8, Table1[[#This Row],[STR]], Table1[[#This Row],[STR]] / ('Green Slime'!$D$5 / 10.8)), 1)</f>
        <v>3</v>
      </c>
      <c r="M5" s="14">
        <f>CEILING(Wolf!$B$6/ IF(Wolf!$D$6&lt; 10.8, Table1[[#This Row],[STR]], Table1[[#This Row],[STR]] / (Wolf!$D$6 / 10.8)), 1)</f>
        <v>6</v>
      </c>
      <c r="N5" s="14">
        <f>CEILING('Horned Wolf'!$B$5/ IF('Horned Wolf'!$D$5&lt; 10.8, Table1[[#This Row],[STR]], Table1[[#This Row],[STR]] / ('Horned Wolf'!$D$5 / 10.8)), 1)</f>
        <v>14</v>
      </c>
      <c r="O5" s="8">
        <f>CEILING(Spider!$B$7/ IF(Spider!$D$7&lt; 10.8, Table1[[#This Row],[STR]], Table1[[#This Row],[STR]] / (Spider!$D$7 / 10.8)), 1)</f>
        <v>14</v>
      </c>
      <c r="P5" s="8">
        <f>CEILING('Evolved Spider'!$B$8/ IF('Evolved Spider'!$D$8&lt; 10.8, Table1[[#This Row],[STR]], Table1[[#This Row],[STR]] / ('Evolved Spider'!$D$8 / 10.8)), 1)</f>
        <v>27</v>
      </c>
      <c r="Q5" s="8">
        <f>CEILING(Arachne!$B$4/ IF(Arachne!$D$4&lt; 10.8, Table1[[#This Row],[STR]], Table1[[#This Row],[STR]] / (Arachne!$D$4 / 10.8)), 1)</f>
        <v>35</v>
      </c>
      <c r="R5" s="12">
        <f>CEILING('Earth Elemental'!$B$6/ IF('Earth Elemental'!$D$6&lt; 10.8, Table1[[#This Row],[STR]], Table1[[#This Row],[STR]] / ('Earth Elemental'!$D$6 / 10.8)), 1)</f>
        <v>36</v>
      </c>
      <c r="S5" s="12">
        <f>CEILING('Wind Elemental'!$B$6/ IF('Wind Elemental'!$D$6&lt; 10.8, Table1[[#This Row],[STR]], Table1[[#This Row],[STR]] / ('Wind Elemental'!$D$6 / 10.8)), 1)</f>
        <v>32</v>
      </c>
      <c r="T5" s="12">
        <f>CEILING('Water Elemental'!$B$6/ IF('Water Elemental'!$D$6&lt; 10.8, Table1[[#This Row],[STR]], Table1[[#This Row],[STR]] / ('Water Elemental'!$D$6 / 10.8)), 1)</f>
        <v>49</v>
      </c>
      <c r="U5" s="12">
        <f>CEILING('Fire Elemental'!$B$4/ IF('Fire Elemental'!$D$4&lt; 10.8, Table1[[#This Row],[STR]], Table1[[#This Row],[STR]] / ('Fire Elemental'!$D$4 / 10.8)), 1)</f>
        <v>62</v>
      </c>
      <c r="V5" s="12">
        <f>CEILING(Wyvern!$B$4/ IF(Wyvern!$D$4&lt; 10.8, Table1[[#This Row],[STR]], Table1[[#This Row],[STR]] / (Wyvern!$D$4 / 10.8)), 1)</f>
        <v>84</v>
      </c>
      <c r="W5" s="12">
        <f>CEILING('Evolved Wyvern'!$B$4/ IF('Evolved Wyvern'!$D$4&lt; 10.8, Table1[[#This Row],[STR]], Table1[[#This Row],[STR]] / ('Evolved Wyvern'!$D$4 / 10.8)), 1)</f>
        <v>116</v>
      </c>
      <c r="X5" s="12">
        <f>CEILING(Dragon!$B$4/ IF(Dragon!$D$4&lt; 10.8, Table1[[#This Row],[STR]], Table1[[#This Row],[STR]] / (Dragon!$D$4 / 10.8)), 1)</f>
        <v>191</v>
      </c>
      <c r="Z5" s="14">
        <f>CEILING('Blue Slime'!$M$5/ IF('Blue Slime'!$O$5&lt; 10.8, Table1[[#This Row],[STR]], Table1[[#This Row],[STR]] / ('Blue Slime'!$O$5 / 10.8)), 1)</f>
        <v>3</v>
      </c>
      <c r="AA5" s="14">
        <f>CEILING('Green Slime'!$M$5/ IF('Green Slime'!$O$5&lt; 10.8, Table1[[#This Row],[STR]], Table1[[#This Row],[STR]] / ('Green Slime'!$O$5 / 10.8)), 1)</f>
        <v>4</v>
      </c>
      <c r="AB5" s="14">
        <f>CEILING(Wolf!$M$6/ IF(Wolf!$O$6&lt; 10.8, Table1[[#This Row],[STR]], Table1[[#This Row],[STR]] / (Wolf!$O$6 / 10.8)), 1)</f>
        <v>11</v>
      </c>
      <c r="AC5" s="14">
        <f>CEILING('Horned Wolf'!$M$5/ IF('Horned Wolf'!$O$5&lt; 10.8, Table1[[#This Row],[STR]], Table1[[#This Row],[STR]] / ('Horned Wolf'!$O$5 / 10.8)), 1)</f>
        <v>31</v>
      </c>
      <c r="AD5" s="8">
        <f>CEILING(Spider!$M$7/ IF(Spider!$O$7&lt; 10.8, Table1[[#This Row],[STR]], Table1[[#This Row],[STR]] / (Spider!$O$7 / 10.8)), 1)</f>
        <v>28</v>
      </c>
      <c r="AE5" s="8">
        <f>CEILING('Evolved Spider'!$M$8/ IF('Evolved Spider'!$O$8&lt; 10.8, Table1[[#This Row],[STR]], Table1[[#This Row],[STR]] / ('Evolved Spider'!$O$8 / 10.8)), 1)</f>
        <v>52</v>
      </c>
      <c r="AF5" s="8">
        <f>CEILING(Arachne!$M$4/ IF(Arachne!$O$4&lt; 10.8, Table1[[#This Row],[STR]], Table1[[#This Row],[STR]] / (Arachne!$O$4 / 10.8)), 1)</f>
        <v>70</v>
      </c>
      <c r="AG5" s="12">
        <f>CEILING('Earth Elemental'!$M$6/ IF('Earth Elemental'!$O$6&lt; 10.8, Table1[[#This Row],[STR]], Table1[[#This Row],[STR]] / ('Earth Elemental'!$O$6 / 10.8)), 1)</f>
        <v>63</v>
      </c>
      <c r="AH5" s="12">
        <f>CEILING('Wind Elemental'!$M$6/ IF('Wind Elemental'!$O$6&lt; 10.8, Table1[[#This Row],[STR]], Table1[[#This Row],[STR]] / ('Wind Elemental'!$O$6 / 10.8)), 1)</f>
        <v>52</v>
      </c>
      <c r="AI5" s="12">
        <f>CEILING('Water Elemental'!$M$6/ IF('Water Elemental'!$O$6&lt; 10.8, Table1[[#This Row],[STR]], Table1[[#This Row],[STR]] / ('Water Elemental'!$O$6 / 10.8)), 1)</f>
        <v>75</v>
      </c>
      <c r="AJ5" s="12">
        <f>CEILING('Fire Elemental'!$M$4/ IF('Fire Elemental'!$O$4&lt; 10.8, Table1[[#This Row],[STR]], Table1[[#This Row],[STR]] / ('Fire Elemental'!$O$4 / 10.8)), 1)</f>
        <v>109</v>
      </c>
      <c r="AK5" s="12">
        <f>CEILING(Wyvern!$M$4/ IF(Wyvern!$O$4&lt; 10.8, Table1[[#This Row],[STR]], Table1[[#This Row],[STR]] / (Wyvern!$O$4 / 10.8)), 1)</f>
        <v>139</v>
      </c>
      <c r="AL5" s="12">
        <f>CEILING('Evolved Wyvern'!$M$4/ IF('Evolved Wyvern'!$O$4&lt; 10.8, Table1[[#This Row],[STR]], Table1[[#This Row],[STR]] / ('Evolved Wyvern'!$O$4 / 10.8)), 1)</f>
        <v>184</v>
      </c>
      <c r="AM5" s="12">
        <f>CEILING(Dragon!$M$4/ IF(Dragon!$O$4&lt; 10.8, Table1[[#This Row],[STR]], Table1[[#This Row],[STR]] / (Dragon!$O$4 / 10.8)), 1)</f>
        <v>307</v>
      </c>
      <c r="AO5" s="14">
        <f>CEILING('Blue Slime'!$Z$5/ IF('Blue Slime'!$X$5&lt; 10.8, Table1[[#This Row],[STR]], Table1[[#This Row],[STR]] / ('Blue Slime'!$X$5 / 10.8)), 1)</f>
        <v>4</v>
      </c>
      <c r="AP5" s="14">
        <f>CEILING('Green Slime'!$Z$5/ IF('Green Slime'!$X$5&lt; 10.8, Table1[[#This Row],[STR]], Table1[[#This Row],[STR]] / ('Green Slime'!$X$5 / 10.8)), 1)</f>
        <v>7</v>
      </c>
      <c r="AQ5" s="14">
        <f>CEILING(Wolf!$Z$6/ IF(Wolf!$X$6&lt; 10.8, Table1[[#This Row],[STR]], Table1[[#This Row],[STR]] / (Wolf!$X$6 / 10.8)), 1)</f>
        <v>19</v>
      </c>
      <c r="AR5" s="14">
        <f>CEILING('Horned Wolf'!$Z$5/ IF('Horned Wolf'!$X$5&lt; 10.8, Table1[[#This Row],[STR]], Table1[[#This Row],[STR]] / ('Horned Wolf'!$X$5 / 10.8)), 1)</f>
        <v>53</v>
      </c>
      <c r="AS5" s="8">
        <f>CEILING(Spider!$Z$7/ IF(Spider!$X$7&lt; 10.8, Table1[[#This Row],[STR]], Table1[[#This Row],[STR]] / (Spider!$X$7 / 10.8)), 1)</f>
        <v>47</v>
      </c>
      <c r="AT5" s="8">
        <f>CEILING('Evolved Spider'!$Z$8/ IF('Evolved Spider'!$X$8&lt; 10.8, Table1[[#This Row],[STR]], Table1[[#This Row],[STR]] / ('Evolved Spider'!$X$8 / 10.8)), 1)</f>
        <v>84</v>
      </c>
      <c r="AU5" s="8">
        <f>CEILING(Arachne!$Z$4/ IF(Arachne!$X$4&lt; 10.8, Table1[[#This Row],[STR]], Table1[[#This Row],[STR]] / (Arachne!$X$4 / 10.8)), 1)</f>
        <v>115</v>
      </c>
      <c r="AV5" s="12">
        <f>CEILING('Earth Elemental'!$Z$6/ IF('Earth Elemental'!$X$6&lt; 10.8, Table1[[#This Row],[STR]], Table1[[#This Row],[STR]] / ('Earth Elemental'!$X$6 / 10.8)), 1)</f>
        <v>96</v>
      </c>
      <c r="AW5" s="12">
        <f>CEILING('Wind Elemental'!$Z$6/ IF('Wind Elemental'!$X$6&lt; 10.8, Table1[[#This Row],[STR]], Table1[[#This Row],[STR]] / ('Wind Elemental'!$X$6 / 10.8)), 1)</f>
        <v>74</v>
      </c>
      <c r="AX5" s="12">
        <f>CEILING('Water Elemental'!$Z$6/ IF('Water Elemental'!$X$6&lt; 10.8, Table1[[#This Row],[STR]], Table1[[#This Row],[STR]] / ('Water Elemental'!$X$6 / 10.8)), 1)</f>
        <v>102</v>
      </c>
      <c r="AY5" s="12">
        <f>CEILING('Fire Elemental'!$Z$4/ IF('Fire Elemental'!$X$4&lt; 10.8, Table1[[#This Row],[STR]], Table1[[#This Row],[STR]] / ('Fire Elemental'!$X$4 / 10.8)), 1)</f>
        <v>167</v>
      </c>
      <c r="AZ5" s="12">
        <f>CEILING(Wyvern!$Z$4/ IF(Wyvern!$X$4&lt; 10.8, Table1[[#This Row],[STR]], Table1[[#This Row],[STR]] / (Wyvern!$X$4 / 10.8)), 1)</f>
        <v>202</v>
      </c>
      <c r="BA5" s="12">
        <f>CEILING('Evolved Wyvern'!$Z$4/ IF('Evolved Wyvern'!$X$4&lt; 10.8, Table1[[#This Row],[STR]], Table1[[#This Row],[STR]] / ('Evolved Wyvern'!$X$4 / 10.8)), 1)</f>
        <v>259</v>
      </c>
      <c r="BB5" s="12">
        <f>CEILING(Dragon!$Z$4/ IF(Dragon!$X$4&lt; 10.8, Table1[[#This Row],[STR]], Table1[[#This Row],[STR]] / (Dragon!$X$4 / 10.8)), 1)</f>
        <v>436</v>
      </c>
    </row>
    <row r="6" spans="1:54" x14ac:dyDescent="0.3">
      <c r="A6" s="30">
        <v>4</v>
      </c>
      <c r="B6" s="30">
        <f>$B$3 + ((Table1[[#This Row],[Level]] / 10) + $B$3 / 8) * Table1[[#This Row],[Level]]</f>
        <v>19.600000000000001</v>
      </c>
      <c r="C6" s="30">
        <f xml:space="preserve"> 2*Table1[[#This Row],[INT]]</f>
        <v>24</v>
      </c>
      <c r="D6" s="30">
        <f>$D$3 + ($D$3 / 4) * Table1[[#This Row],[Level]]</f>
        <v>12</v>
      </c>
      <c r="E6" s="30">
        <f>$E$3 + ($E$3 / 4) * Table1[[#This Row],[Level]]</f>
        <v>10</v>
      </c>
      <c r="F6" s="30">
        <f>$F$3 + ($F$3 / 4) * Table1[[#This Row],[Level]]</f>
        <v>16</v>
      </c>
      <c r="G6" s="30">
        <f>$G$3 + ($G$3 / 4) * Table1[[#This Row],[Level]]</f>
        <v>12</v>
      </c>
      <c r="H6" s="30">
        <f>$H$3 + ($H$3 / 4) * Table1[[#This Row],[Level]]</f>
        <v>14</v>
      </c>
      <c r="I6" s="30">
        <f xml:space="preserve"> (4 * (Table1[[#This Row],[Level]] ^ 3))/7 + $I$3</f>
        <v>136.57142857142856</v>
      </c>
      <c r="K6" s="14">
        <f>CEILING('Blue Slime'!$B$5/ IF('Blue Slime'!$D$5&lt; 10.8, Table1[[#This Row],[STR]], Table1[[#This Row],[STR]] / ('Blue Slime'!$D$5 / 10.8)), 1)</f>
        <v>2</v>
      </c>
      <c r="L6" s="14">
        <f>CEILING('Green Slime'!$B$5/ IF('Green Slime'!$D$5&lt; 10.8, Table1[[#This Row],[STR]], Table1[[#This Row],[STR]] / ('Green Slime'!$D$5 / 10.8)), 1)</f>
        <v>2</v>
      </c>
      <c r="M6" s="14">
        <f>CEILING(Wolf!$B$6/ IF(Wolf!$D$6&lt; 10.8, Table1[[#This Row],[STR]], Table1[[#This Row],[STR]] / (Wolf!$D$6 / 10.8)), 1)</f>
        <v>5</v>
      </c>
      <c r="N6" s="14">
        <f>CEILING('Horned Wolf'!$B$5/ IF('Horned Wolf'!$D$5&lt; 10.8, Table1[[#This Row],[STR]], Table1[[#This Row],[STR]] / ('Horned Wolf'!$D$5 / 10.8)), 1)</f>
        <v>13</v>
      </c>
      <c r="O6" s="8">
        <f>CEILING(Spider!$B$7/ IF(Spider!$D$7&lt; 10.8, Table1[[#This Row],[STR]], Table1[[#This Row],[STR]] / (Spider!$D$7 / 10.8)), 1)</f>
        <v>12</v>
      </c>
      <c r="P6" s="8">
        <f>CEILING('Evolved Spider'!$B$8/ IF('Evolved Spider'!$D$8&lt; 10.8, Table1[[#This Row],[STR]], Table1[[#This Row],[STR]] / ('Evolved Spider'!$D$8 / 10.8)), 1)</f>
        <v>24</v>
      </c>
      <c r="Q6" s="8">
        <f>CEILING(Arachne!$B$4/ IF(Arachne!$D$4&lt; 10.8, Table1[[#This Row],[STR]], Table1[[#This Row],[STR]] / (Arachne!$D$4 / 10.8)), 1)</f>
        <v>31</v>
      </c>
      <c r="R6" s="12">
        <f>CEILING('Earth Elemental'!$B$6/ IF('Earth Elemental'!$D$6&lt; 10.8, Table1[[#This Row],[STR]], Table1[[#This Row],[STR]] / ('Earth Elemental'!$D$6 / 10.8)), 1)</f>
        <v>32</v>
      </c>
      <c r="S6" s="12">
        <f>CEILING('Wind Elemental'!$B$6/ IF('Wind Elemental'!$D$6&lt; 10.8, Table1[[#This Row],[STR]], Table1[[#This Row],[STR]] / ('Wind Elemental'!$D$6 / 10.8)), 1)</f>
        <v>28</v>
      </c>
      <c r="T6" s="12">
        <f>CEILING('Water Elemental'!$B$6/ IF('Water Elemental'!$D$6&lt; 10.8, Table1[[#This Row],[STR]], Table1[[#This Row],[STR]] / ('Water Elemental'!$D$6 / 10.8)), 1)</f>
        <v>43</v>
      </c>
      <c r="U6" s="12">
        <f>CEILING('Fire Elemental'!$B$4/ IF('Fire Elemental'!$D$4&lt; 10.8, Table1[[#This Row],[STR]], Table1[[#This Row],[STR]] / ('Fire Elemental'!$D$4 / 10.8)), 1)</f>
        <v>55</v>
      </c>
      <c r="V6" s="12">
        <f>CEILING(Wyvern!$B$4/ IF(Wyvern!$D$4&lt; 10.8, Table1[[#This Row],[STR]], Table1[[#This Row],[STR]] / (Wyvern!$D$4 / 10.8)), 1)</f>
        <v>74</v>
      </c>
      <c r="W6" s="12">
        <f>CEILING('Evolved Wyvern'!$B$4/ IF('Evolved Wyvern'!$D$4&lt; 10.8, Table1[[#This Row],[STR]], Table1[[#This Row],[STR]] / ('Evolved Wyvern'!$D$4 / 10.8)), 1)</f>
        <v>102</v>
      </c>
      <c r="X6" s="12">
        <f>CEILING(Dragon!$B$4/ IF(Dragon!$D$4&lt; 10.8, Table1[[#This Row],[STR]], Table1[[#This Row],[STR]] / (Dragon!$D$4 / 10.8)), 1)</f>
        <v>168</v>
      </c>
      <c r="Z6" s="14">
        <f>CEILING('Blue Slime'!$M$5/ IF('Blue Slime'!$O$5&lt; 10.8, Table1[[#This Row],[STR]], Table1[[#This Row],[STR]] / ('Blue Slime'!$O$5 / 10.8)), 1)</f>
        <v>2</v>
      </c>
      <c r="AA6" s="14">
        <f>CEILING('Green Slime'!$M$5/ IF('Green Slime'!$O$5&lt; 10.8, Table1[[#This Row],[STR]], Table1[[#This Row],[STR]] / ('Green Slime'!$O$5 / 10.8)), 1)</f>
        <v>4</v>
      </c>
      <c r="AB6" s="14">
        <f>CEILING(Wolf!$M$6/ IF(Wolf!$O$6&lt; 10.8, Table1[[#This Row],[STR]], Table1[[#This Row],[STR]] / (Wolf!$O$6 / 10.8)), 1)</f>
        <v>10</v>
      </c>
      <c r="AC6" s="14">
        <f>CEILING('Horned Wolf'!$M$5/ IF('Horned Wolf'!$O$5&lt; 10.8, Table1[[#This Row],[STR]], Table1[[#This Row],[STR]] / ('Horned Wolf'!$O$5 / 10.8)), 1)</f>
        <v>27</v>
      </c>
      <c r="AD6" s="8">
        <f>CEILING(Spider!$M$7/ IF(Spider!$O$7&lt; 10.8, Table1[[#This Row],[STR]], Table1[[#This Row],[STR]] / (Spider!$O$7 / 10.8)), 1)</f>
        <v>24</v>
      </c>
      <c r="AE6" s="8">
        <f>CEILING('Evolved Spider'!$M$8/ IF('Evolved Spider'!$O$8&lt; 10.8, Table1[[#This Row],[STR]], Table1[[#This Row],[STR]] / ('Evolved Spider'!$O$8 / 10.8)), 1)</f>
        <v>45</v>
      </c>
      <c r="AF6" s="8">
        <f>CEILING(Arachne!$M$4/ IF(Arachne!$O$4&lt; 10.8, Table1[[#This Row],[STR]], Table1[[#This Row],[STR]] / (Arachne!$O$4 / 10.8)), 1)</f>
        <v>61</v>
      </c>
      <c r="AG6" s="12">
        <f>CEILING('Earth Elemental'!$M$6/ IF('Earth Elemental'!$O$6&lt; 10.8, Table1[[#This Row],[STR]], Table1[[#This Row],[STR]] / ('Earth Elemental'!$O$6 / 10.8)), 1)</f>
        <v>55</v>
      </c>
      <c r="AH6" s="12">
        <f>CEILING('Wind Elemental'!$M$6/ IF('Wind Elemental'!$O$6&lt; 10.8, Table1[[#This Row],[STR]], Table1[[#This Row],[STR]] / ('Wind Elemental'!$O$6 / 10.8)), 1)</f>
        <v>46</v>
      </c>
      <c r="AI6" s="12">
        <f>CEILING('Water Elemental'!$M$6/ IF('Water Elemental'!$O$6&lt; 10.8, Table1[[#This Row],[STR]], Table1[[#This Row],[STR]] / ('Water Elemental'!$O$6 / 10.8)), 1)</f>
        <v>66</v>
      </c>
      <c r="AJ6" s="12">
        <f>CEILING('Fire Elemental'!$M$4/ IF('Fire Elemental'!$O$4&lt; 10.8, Table1[[#This Row],[STR]], Table1[[#This Row],[STR]] / ('Fire Elemental'!$O$4 / 10.8)), 1)</f>
        <v>96</v>
      </c>
      <c r="AK6" s="12">
        <f>CEILING(Wyvern!$M$4/ IF(Wyvern!$O$4&lt; 10.8, Table1[[#This Row],[STR]], Table1[[#This Row],[STR]] / (Wyvern!$O$4 / 10.8)), 1)</f>
        <v>121</v>
      </c>
      <c r="AL6" s="12">
        <f>CEILING('Evolved Wyvern'!$M$4/ IF('Evolved Wyvern'!$O$4&lt; 10.8, Table1[[#This Row],[STR]], Table1[[#This Row],[STR]] / ('Evolved Wyvern'!$O$4 / 10.8)), 1)</f>
        <v>161</v>
      </c>
      <c r="AM6" s="12">
        <f>CEILING(Dragon!$M$4/ IF(Dragon!$O$4&lt; 10.8, Table1[[#This Row],[STR]], Table1[[#This Row],[STR]] / (Dragon!$O$4 / 10.8)), 1)</f>
        <v>269</v>
      </c>
      <c r="AO6" s="14">
        <f>CEILING('Blue Slime'!$Z$5/ IF('Blue Slime'!$X$5&lt; 10.8, Table1[[#This Row],[STR]], Table1[[#This Row],[STR]] / ('Blue Slime'!$X$5 / 10.8)), 1)</f>
        <v>4</v>
      </c>
      <c r="AP6" s="14">
        <f>CEILING('Green Slime'!$Z$5/ IF('Green Slime'!$X$5&lt; 10.8, Table1[[#This Row],[STR]], Table1[[#This Row],[STR]] / ('Green Slime'!$X$5 / 10.8)), 1)</f>
        <v>6</v>
      </c>
      <c r="AQ6" s="14">
        <f>CEILING(Wolf!$Z$6/ IF(Wolf!$X$6&lt; 10.8, Table1[[#This Row],[STR]], Table1[[#This Row],[STR]] / (Wolf!$X$6 / 10.8)), 1)</f>
        <v>17</v>
      </c>
      <c r="AR6" s="14">
        <f>CEILING('Horned Wolf'!$Z$5/ IF('Horned Wolf'!$X$5&lt; 10.8, Table1[[#This Row],[STR]], Table1[[#This Row],[STR]] / ('Horned Wolf'!$X$5 / 10.8)), 1)</f>
        <v>47</v>
      </c>
      <c r="AS6" s="8">
        <f>CEILING(Spider!$Z$7/ IF(Spider!$X$7&lt; 10.8, Table1[[#This Row],[STR]], Table1[[#This Row],[STR]] / (Spider!$X$7 / 10.8)), 1)</f>
        <v>41</v>
      </c>
      <c r="AT6" s="8">
        <f>CEILING('Evolved Spider'!$Z$8/ IF('Evolved Spider'!$X$8&lt; 10.8, Table1[[#This Row],[STR]], Table1[[#This Row],[STR]] / ('Evolved Spider'!$X$8 / 10.8)), 1)</f>
        <v>74</v>
      </c>
      <c r="AU6" s="8">
        <f>CEILING(Arachne!$Z$4/ IF(Arachne!$X$4&lt; 10.8, Table1[[#This Row],[STR]], Table1[[#This Row],[STR]] / (Arachne!$X$4 / 10.8)), 1)</f>
        <v>100</v>
      </c>
      <c r="AV6" s="12">
        <f>CEILING('Earth Elemental'!$Z$6/ IF('Earth Elemental'!$X$6&lt; 10.8, Table1[[#This Row],[STR]], Table1[[#This Row],[STR]] / ('Earth Elemental'!$X$6 / 10.8)), 1)</f>
        <v>84</v>
      </c>
      <c r="AW6" s="12">
        <f>CEILING('Wind Elemental'!$Z$6/ IF('Wind Elemental'!$X$6&lt; 10.8, Table1[[#This Row],[STR]], Table1[[#This Row],[STR]] / ('Wind Elemental'!$X$6 / 10.8)), 1)</f>
        <v>65</v>
      </c>
      <c r="AX6" s="12">
        <f>CEILING('Water Elemental'!$Z$6/ IF('Water Elemental'!$X$6&lt; 10.8, Table1[[#This Row],[STR]], Table1[[#This Row],[STR]] / ('Water Elemental'!$X$6 / 10.8)), 1)</f>
        <v>90</v>
      </c>
      <c r="AY6" s="12">
        <f>CEILING('Fire Elemental'!$Z$4/ IF('Fire Elemental'!$X$4&lt; 10.8, Table1[[#This Row],[STR]], Table1[[#This Row],[STR]] / ('Fire Elemental'!$X$4 / 10.8)), 1)</f>
        <v>146</v>
      </c>
      <c r="AZ6" s="12">
        <f>CEILING(Wyvern!$Z$4/ IF(Wyvern!$X$4&lt; 10.8, Table1[[#This Row],[STR]], Table1[[#This Row],[STR]] / (Wyvern!$X$4 / 10.8)), 1)</f>
        <v>177</v>
      </c>
      <c r="BA6" s="12">
        <f>CEILING('Evolved Wyvern'!$Z$4/ IF('Evolved Wyvern'!$X$4&lt; 10.8, Table1[[#This Row],[STR]], Table1[[#This Row],[STR]] / ('Evolved Wyvern'!$X$4 / 10.8)), 1)</f>
        <v>226</v>
      </c>
      <c r="BB6" s="12">
        <f>CEILING(Dragon!$Z$4/ IF(Dragon!$X$4&lt; 10.8, Table1[[#This Row],[STR]], Table1[[#This Row],[STR]] / (Dragon!$X$4 / 10.8)), 1)</f>
        <v>382</v>
      </c>
    </row>
    <row r="7" spans="1:54" x14ac:dyDescent="0.3">
      <c r="A7" s="1">
        <v>5</v>
      </c>
      <c r="B7" s="1">
        <f>$B$3 + ((Table1[[#This Row],[Level]] / 10) + $B$3 / 8) * Table1[[#This Row],[Level]] + Equipment!$AK$10</f>
        <v>29</v>
      </c>
      <c r="C7" s="1">
        <f xml:space="preserve"> 2*Table1[[#This Row],[INT]]</f>
        <v>33</v>
      </c>
      <c r="D7" s="1">
        <f>$D$3 + ($D$3 / 4) * Table1[[#This Row],[Level]] + Equipment!$AL$10</f>
        <v>16.5</v>
      </c>
      <c r="E7" s="1">
        <f>$E$3 + ($E$3 / 4) * Table1[[#This Row],[Level]] + Equipment!$AM$10</f>
        <v>14.25</v>
      </c>
      <c r="F7" s="1">
        <f>$F$3 + ($F$3 / 4) * Table1[[#This Row],[Level]] + Equipment!$AN$10</f>
        <v>22</v>
      </c>
      <c r="G7" s="1">
        <f>$G$3 + ($G$3 / 4) * Table1[[#This Row],[Level]] + Equipment!$AO$10</f>
        <v>16.5</v>
      </c>
      <c r="H7" s="1">
        <f>$H$3 + ($H$3 / 4) * Table1[[#This Row],[Level]] + Equipment!$AP$10</f>
        <v>19.75</v>
      </c>
      <c r="I7" s="34">
        <f xml:space="preserve"> (4 * (Table1[[#This Row],[Level]] ^ 3))/7 + $I$3</f>
        <v>171.42857142857144</v>
      </c>
      <c r="K7" s="14">
        <f>CEILING('Blue Slime'!$B$5/ IF('Blue Slime'!$D$5&lt; 10.8, Table1[[#This Row],[STR]], Table1[[#This Row],[STR]] / ('Blue Slime'!$D$5 / 10.8)), 1)</f>
        <v>1</v>
      </c>
      <c r="L7" s="14">
        <f>CEILING('Green Slime'!$B$5/ IF('Green Slime'!$D$5&lt; 10.8, Table1[[#This Row],[STR]], Table1[[#This Row],[STR]] / ('Green Slime'!$D$5 / 10.8)), 1)</f>
        <v>2</v>
      </c>
      <c r="M7" s="14">
        <f>CEILING(Wolf!$B$6/ IF(Wolf!$D$6&lt; 10.8, Table1[[#This Row],[STR]], Table1[[#This Row],[STR]] / (Wolf!$D$6 / 10.8)), 1)</f>
        <v>4</v>
      </c>
      <c r="N7" s="14">
        <f>CEILING('Horned Wolf'!$B$5/ IF('Horned Wolf'!$D$5&lt; 10.8, Table1[[#This Row],[STR]], Table1[[#This Row],[STR]] / ('Horned Wolf'!$D$5 / 10.8)), 1)</f>
        <v>9</v>
      </c>
      <c r="O7" s="8">
        <f>CEILING(Spider!$B$7/ IF(Spider!$D$7&lt; 10.8, Table1[[#This Row],[STR]], Table1[[#This Row],[STR]] / (Spider!$D$7 / 10.8)), 1)</f>
        <v>9</v>
      </c>
      <c r="P7" s="8">
        <f>CEILING('Evolved Spider'!$B$8/ IF('Evolved Spider'!$D$8&lt; 10.8, Table1[[#This Row],[STR]], Table1[[#This Row],[STR]] / ('Evolved Spider'!$D$8 / 10.8)), 1)</f>
        <v>17</v>
      </c>
      <c r="Q7" s="8">
        <f>CEILING(Arachne!$B$4/ IF(Arachne!$D$4&lt; 10.8, Table1[[#This Row],[STR]], Table1[[#This Row],[STR]] / (Arachne!$D$4 / 10.8)), 1)</f>
        <v>23</v>
      </c>
      <c r="R7" s="12">
        <f>CEILING('Earth Elemental'!$B$6/ IF('Earth Elemental'!$D$6&lt; 10.8, Table1[[#This Row],[STR]], Table1[[#This Row],[STR]] / ('Earth Elemental'!$D$6 / 10.8)), 1)</f>
        <v>23</v>
      </c>
      <c r="S7" s="12">
        <f>CEILING('Wind Elemental'!$B$6/ IF('Wind Elemental'!$D$6&lt; 10.8, Table1[[#This Row],[STR]], Table1[[#This Row],[STR]] / ('Wind Elemental'!$D$6 / 10.8)), 1)</f>
        <v>21</v>
      </c>
      <c r="T7" s="12">
        <f>CEILING('Water Elemental'!$B$6/ IF('Water Elemental'!$D$6&lt; 10.8, Table1[[#This Row],[STR]], Table1[[#This Row],[STR]] / ('Water Elemental'!$D$6 / 10.8)), 1)</f>
        <v>31</v>
      </c>
      <c r="U7" s="12">
        <f>CEILING('Fire Elemental'!$B$4/ IF('Fire Elemental'!$D$4&lt; 10.8, Table1[[#This Row],[STR]], Table1[[#This Row],[STR]] / ('Fire Elemental'!$D$4 / 10.8)), 1)</f>
        <v>40</v>
      </c>
      <c r="V7" s="12">
        <f>CEILING(Wyvern!$B$4/ IF(Wyvern!$D$4&lt; 10.8, Table1[[#This Row],[STR]], Table1[[#This Row],[STR]] / (Wyvern!$D$4 / 10.8)), 1)</f>
        <v>54</v>
      </c>
      <c r="W7" s="12">
        <f>CEILING('Evolved Wyvern'!$B$4/ IF('Evolved Wyvern'!$D$4&lt; 10.8, Table1[[#This Row],[STR]], Table1[[#This Row],[STR]] / ('Evolved Wyvern'!$D$4 / 10.8)), 1)</f>
        <v>74</v>
      </c>
      <c r="X7" s="12">
        <f>CEILING(Dragon!$B$4/ IF(Dragon!$D$4&lt; 10.8, Table1[[#This Row],[STR]], Table1[[#This Row],[STR]] / (Dragon!$D$4 / 10.8)), 1)</f>
        <v>122</v>
      </c>
      <c r="Z7" s="14">
        <f>CEILING('Blue Slime'!$M$5/ IF('Blue Slime'!$O$5&lt; 10.8, Table1[[#This Row],[STR]], Table1[[#This Row],[STR]] / ('Blue Slime'!$O$5 / 10.8)), 1)</f>
        <v>2</v>
      </c>
      <c r="AA7" s="14">
        <f>CEILING('Green Slime'!$M$5/ IF('Green Slime'!$O$5&lt; 10.8, Table1[[#This Row],[STR]], Table1[[#This Row],[STR]] / ('Green Slime'!$O$5 / 10.8)), 1)</f>
        <v>3</v>
      </c>
      <c r="AB7" s="14">
        <f>CEILING(Wolf!$M$6/ IF(Wolf!$O$6&lt; 10.8, Table1[[#This Row],[STR]], Table1[[#This Row],[STR]] / (Wolf!$O$6 / 10.8)), 1)</f>
        <v>7</v>
      </c>
      <c r="AC7" s="14">
        <f>CEILING('Horned Wolf'!$M$5/ IF('Horned Wolf'!$O$5&lt; 10.8, Table1[[#This Row],[STR]], Table1[[#This Row],[STR]] / ('Horned Wolf'!$O$5 / 10.8)), 1)</f>
        <v>20</v>
      </c>
      <c r="AD7" s="8">
        <f>CEILING(Spider!$M$7/ IF(Spider!$O$7&lt; 10.8, Table1[[#This Row],[STR]], Table1[[#This Row],[STR]] / (Spider!$O$7 / 10.8)), 1)</f>
        <v>18</v>
      </c>
      <c r="AE7" s="8">
        <f>CEILING('Evolved Spider'!$M$8/ IF('Evolved Spider'!$O$8&lt; 10.8, Table1[[#This Row],[STR]], Table1[[#This Row],[STR]] / ('Evolved Spider'!$O$8 / 10.8)), 1)</f>
        <v>33</v>
      </c>
      <c r="AF7" s="8">
        <f>CEILING(Arachne!$M$4/ IF(Arachne!$O$4&lt; 10.8, Table1[[#This Row],[STR]], Table1[[#This Row],[STR]] / (Arachne!$O$4 / 10.8)), 1)</f>
        <v>44</v>
      </c>
      <c r="AG7" s="12">
        <f>CEILING('Earth Elemental'!$M$6/ IF('Earth Elemental'!$O$6&lt; 10.8, Table1[[#This Row],[STR]], Table1[[#This Row],[STR]] / ('Earth Elemental'!$O$6 / 10.8)), 1)</f>
        <v>40</v>
      </c>
      <c r="AH7" s="12">
        <f>CEILING('Wind Elemental'!$M$6/ IF('Wind Elemental'!$O$6&lt; 10.8, Table1[[#This Row],[STR]], Table1[[#This Row],[STR]] / ('Wind Elemental'!$O$6 / 10.8)), 1)</f>
        <v>33</v>
      </c>
      <c r="AI7" s="12">
        <f>CEILING('Water Elemental'!$M$6/ IF('Water Elemental'!$O$6&lt; 10.8, Table1[[#This Row],[STR]], Table1[[#This Row],[STR]] / ('Water Elemental'!$O$6 / 10.8)), 1)</f>
        <v>48</v>
      </c>
      <c r="AJ7" s="12">
        <f>CEILING('Fire Elemental'!$M$4/ IF('Fire Elemental'!$O$4&lt; 10.8, Table1[[#This Row],[STR]], Table1[[#This Row],[STR]] / ('Fire Elemental'!$O$4 / 10.8)), 1)</f>
        <v>70</v>
      </c>
      <c r="AK7" s="12">
        <f>CEILING(Wyvern!$M$4/ IF(Wyvern!$O$4&lt; 10.8, Table1[[#This Row],[STR]], Table1[[#This Row],[STR]] / (Wyvern!$O$4 / 10.8)), 1)</f>
        <v>88</v>
      </c>
      <c r="AL7" s="12">
        <f>CEILING('Evolved Wyvern'!$M$4/ IF('Evolved Wyvern'!$O$4&lt; 10.8, Table1[[#This Row],[STR]], Table1[[#This Row],[STR]] / ('Evolved Wyvern'!$O$4 / 10.8)), 1)</f>
        <v>117</v>
      </c>
      <c r="AM7" s="12">
        <f>CEILING(Dragon!$M$4/ IF(Dragon!$O$4&lt; 10.8, Table1[[#This Row],[STR]], Table1[[#This Row],[STR]] / (Dragon!$O$4 / 10.8)), 1)</f>
        <v>196</v>
      </c>
      <c r="AO7" s="14">
        <f>CEILING('Blue Slime'!$Z$5/ IF('Blue Slime'!$X$5&lt; 10.8, Table1[[#This Row],[STR]], Table1[[#This Row],[STR]] / ('Blue Slime'!$X$5 / 10.8)), 1)</f>
        <v>3</v>
      </c>
      <c r="AP7" s="14">
        <f>CEILING('Green Slime'!$Z$5/ IF('Green Slime'!$X$5&lt; 10.8, Table1[[#This Row],[STR]], Table1[[#This Row],[STR]] / ('Green Slime'!$X$5 / 10.8)), 1)</f>
        <v>5</v>
      </c>
      <c r="AQ7" s="14">
        <f>CEILING(Wolf!$Z$6/ IF(Wolf!$X$6&lt; 10.8, Table1[[#This Row],[STR]], Table1[[#This Row],[STR]] / (Wolf!$X$6 / 10.8)), 1)</f>
        <v>12</v>
      </c>
      <c r="AR7" s="14">
        <f>CEILING('Horned Wolf'!$Z$5/ IF('Horned Wolf'!$X$5&lt; 10.8, Table1[[#This Row],[STR]], Table1[[#This Row],[STR]] / ('Horned Wolf'!$X$5 / 10.8)), 1)</f>
        <v>34</v>
      </c>
      <c r="AS7" s="8">
        <f>CEILING(Spider!$Z$7/ IF(Spider!$X$7&lt; 10.8, Table1[[#This Row],[STR]], Table1[[#This Row],[STR]] / (Spider!$X$7 / 10.8)), 1)</f>
        <v>30</v>
      </c>
      <c r="AT7" s="8">
        <f>CEILING('Evolved Spider'!$Z$8/ IF('Evolved Spider'!$X$8&lt; 10.8, Table1[[#This Row],[STR]], Table1[[#This Row],[STR]] / ('Evolved Spider'!$X$8 / 10.8)), 1)</f>
        <v>54</v>
      </c>
      <c r="AU7" s="8">
        <f>CEILING(Arachne!$Z$4/ IF(Arachne!$X$4&lt; 10.8, Table1[[#This Row],[STR]], Table1[[#This Row],[STR]] / (Arachne!$X$4 / 10.8)), 1)</f>
        <v>73</v>
      </c>
      <c r="AV7" s="12">
        <f>CEILING('Earth Elemental'!$Z$6/ IF('Earth Elemental'!$X$6&lt; 10.8, Table1[[#This Row],[STR]], Table1[[#This Row],[STR]] / ('Earth Elemental'!$X$6 / 10.8)), 1)</f>
        <v>61</v>
      </c>
      <c r="AW7" s="12">
        <f>CEILING('Wind Elemental'!$Z$6/ IF('Wind Elemental'!$X$6&lt; 10.8, Table1[[#This Row],[STR]], Table1[[#This Row],[STR]] / ('Wind Elemental'!$X$6 / 10.8)), 1)</f>
        <v>48</v>
      </c>
      <c r="AX7" s="12">
        <f>CEILING('Water Elemental'!$Z$6/ IF('Water Elemental'!$X$6&lt; 10.8, Table1[[#This Row],[STR]], Table1[[#This Row],[STR]] / ('Water Elemental'!$X$6 / 10.8)), 1)</f>
        <v>65</v>
      </c>
      <c r="AY7" s="12">
        <f>CEILING('Fire Elemental'!$Z$4/ IF('Fire Elemental'!$X$4&lt; 10.8, Table1[[#This Row],[STR]], Table1[[#This Row],[STR]] / ('Fire Elemental'!$X$4 / 10.8)), 1)</f>
        <v>106</v>
      </c>
      <c r="AZ7" s="12">
        <f>CEILING(Wyvern!$Z$4/ IF(Wyvern!$X$4&lt; 10.8, Table1[[#This Row],[STR]], Table1[[#This Row],[STR]] / (Wyvern!$X$4 / 10.8)), 1)</f>
        <v>129</v>
      </c>
      <c r="BA7" s="12">
        <f>CEILING('Evolved Wyvern'!$Z$4/ IF('Evolved Wyvern'!$X$4&lt; 10.8, Table1[[#This Row],[STR]], Table1[[#This Row],[STR]] / ('Evolved Wyvern'!$X$4 / 10.8)), 1)</f>
        <v>165</v>
      </c>
      <c r="BB7" s="12">
        <f>CEILING(Dragon!$Z$4/ IF(Dragon!$X$4&lt; 10.8, Table1[[#This Row],[STR]], Table1[[#This Row],[STR]] / (Dragon!$X$4 / 10.8)), 1)</f>
        <v>278</v>
      </c>
    </row>
    <row r="8" spans="1:54" x14ac:dyDescent="0.3">
      <c r="A8" s="1">
        <v>6</v>
      </c>
      <c r="B8" s="1">
        <f>$B$3 + ((Table1[[#This Row],[Level]] / 10) + $B$3 / 8) * Table1[[#This Row],[Level]] + Equipment!$AK$10</f>
        <v>31.6</v>
      </c>
      <c r="C8" s="1">
        <f xml:space="preserve"> 2*Table1[[#This Row],[INT]]</f>
        <v>36</v>
      </c>
      <c r="D8" s="1">
        <f>$D$3 + ($D$3 / 4) * Table1[[#This Row],[Level]] + Equipment!$AL$10</f>
        <v>18</v>
      </c>
      <c r="E8" s="1">
        <f>$E$3 + ($E$3 / 4) * Table1[[#This Row],[Level]] + Equipment!$AM$10</f>
        <v>15.5</v>
      </c>
      <c r="F8" s="1">
        <f>$F$3 + ($F$3 / 4) * Table1[[#This Row],[Level]] + Equipment!$AN$10</f>
        <v>24</v>
      </c>
      <c r="G8" s="1">
        <f>$G$3 + ($G$3 / 4) * Table1[[#This Row],[Level]] + Equipment!$AO$10</f>
        <v>18</v>
      </c>
      <c r="H8" s="1">
        <f>$H$3 + ($H$3 / 4) * Table1[[#This Row],[Level]] + Equipment!$AP$10</f>
        <v>21.5</v>
      </c>
      <c r="I8" s="34">
        <f xml:space="preserve"> (4 * (Table1[[#This Row],[Level]] ^ 3))/7 + $I$3</f>
        <v>223.42857142857144</v>
      </c>
      <c r="K8" s="14">
        <f>CEILING('Blue Slime'!$B$5/ IF('Blue Slime'!$D$5&lt; 10.8, Table1[[#This Row],[STR]], Table1[[#This Row],[STR]] / ('Blue Slime'!$D$5 / 10.8)), 1)</f>
        <v>1</v>
      </c>
      <c r="L8" s="14">
        <f>CEILING('Green Slime'!$B$5/ IF('Green Slime'!$D$5&lt; 10.8, Table1[[#This Row],[STR]], Table1[[#This Row],[STR]] / ('Green Slime'!$D$5 / 10.8)), 1)</f>
        <v>2</v>
      </c>
      <c r="M8" s="14">
        <f>CEILING(Wolf!$B$6/ IF(Wolf!$D$6&lt; 10.8, Table1[[#This Row],[STR]], Table1[[#This Row],[STR]] / (Wolf!$D$6 / 10.8)), 1)</f>
        <v>3</v>
      </c>
      <c r="N8" s="14">
        <f>CEILING('Horned Wolf'!$B$5/ IF('Horned Wolf'!$D$5&lt; 10.8, Table1[[#This Row],[STR]], Table1[[#This Row],[STR]] / ('Horned Wolf'!$D$5 / 10.8)), 1)</f>
        <v>9</v>
      </c>
      <c r="O8" s="8">
        <f>CEILING(Spider!$B$7/ IF(Spider!$D$7&lt; 10.8, Table1[[#This Row],[STR]], Table1[[#This Row],[STR]] / (Spider!$D$7 / 10.8)), 1)</f>
        <v>8</v>
      </c>
      <c r="P8" s="8">
        <f>CEILING('Evolved Spider'!$B$8/ IF('Evolved Spider'!$D$8&lt; 10.8, Table1[[#This Row],[STR]], Table1[[#This Row],[STR]] / ('Evolved Spider'!$D$8 / 10.8)), 1)</f>
        <v>16</v>
      </c>
      <c r="Q8" s="8">
        <f>CEILING(Arachne!$B$4/ IF(Arachne!$D$4&lt; 10.8, Table1[[#This Row],[STR]], Table1[[#This Row],[STR]] / (Arachne!$D$4 / 10.8)), 1)</f>
        <v>21</v>
      </c>
      <c r="R8" s="12">
        <f>CEILING('Earth Elemental'!$B$6/ IF('Earth Elemental'!$D$6&lt; 10.8, Table1[[#This Row],[STR]], Table1[[#This Row],[STR]] / ('Earth Elemental'!$D$6 / 10.8)), 1)</f>
        <v>21</v>
      </c>
      <c r="S8" s="12">
        <f>CEILING('Wind Elemental'!$B$6/ IF('Wind Elemental'!$D$6&lt; 10.8, Table1[[#This Row],[STR]], Table1[[#This Row],[STR]] / ('Wind Elemental'!$D$6 / 10.8)), 1)</f>
        <v>19</v>
      </c>
      <c r="T8" s="12">
        <f>CEILING('Water Elemental'!$B$6/ IF('Water Elemental'!$D$6&lt; 10.8, Table1[[#This Row],[STR]], Table1[[#This Row],[STR]] / ('Water Elemental'!$D$6 / 10.8)), 1)</f>
        <v>29</v>
      </c>
      <c r="U8" s="12">
        <f>CEILING('Fire Elemental'!$B$4/ IF('Fire Elemental'!$D$4&lt; 10.8, Table1[[#This Row],[STR]], Table1[[#This Row],[STR]] / ('Fire Elemental'!$D$4 / 10.8)), 1)</f>
        <v>37</v>
      </c>
      <c r="V8" s="12">
        <f>CEILING(Wyvern!$B$4/ IF(Wyvern!$D$4&lt; 10.8, Table1[[#This Row],[STR]], Table1[[#This Row],[STR]] / (Wyvern!$D$4 / 10.8)), 1)</f>
        <v>49</v>
      </c>
      <c r="W8" s="12">
        <f>CEILING('Evolved Wyvern'!$B$4/ IF('Evolved Wyvern'!$D$4&lt; 10.8, Table1[[#This Row],[STR]], Table1[[#This Row],[STR]] / ('Evolved Wyvern'!$D$4 / 10.8)), 1)</f>
        <v>68</v>
      </c>
      <c r="X8" s="12">
        <f>CEILING(Dragon!$B$4/ IF(Dragon!$D$4&lt; 10.8, Table1[[#This Row],[STR]], Table1[[#This Row],[STR]] / (Dragon!$D$4 / 10.8)), 1)</f>
        <v>112</v>
      </c>
      <c r="Z8" s="14">
        <f>CEILING('Blue Slime'!$M$5/ IF('Blue Slime'!$O$5&lt; 10.8, Table1[[#This Row],[STR]], Table1[[#This Row],[STR]] / ('Blue Slime'!$O$5 / 10.8)), 1)</f>
        <v>2</v>
      </c>
      <c r="AA8" s="14">
        <f>CEILING('Green Slime'!$M$5/ IF('Green Slime'!$O$5&lt; 10.8, Table1[[#This Row],[STR]], Table1[[#This Row],[STR]] / ('Green Slime'!$O$5 / 10.8)), 1)</f>
        <v>3</v>
      </c>
      <c r="AB8" s="14">
        <f>CEILING(Wolf!$M$6/ IF(Wolf!$O$6&lt; 10.8, Table1[[#This Row],[STR]], Table1[[#This Row],[STR]] / (Wolf!$O$6 / 10.8)), 1)</f>
        <v>7</v>
      </c>
      <c r="AC8" s="14">
        <f>CEILING('Horned Wolf'!$M$5/ IF('Horned Wolf'!$O$5&lt; 10.8, Table1[[#This Row],[STR]], Table1[[#This Row],[STR]] / ('Horned Wolf'!$O$5 / 10.8)), 1)</f>
        <v>18</v>
      </c>
      <c r="AD8" s="8">
        <f>CEILING(Spider!$M$7/ IF(Spider!$O$7&lt; 10.8, Table1[[#This Row],[STR]], Table1[[#This Row],[STR]] / (Spider!$O$7 / 10.8)), 1)</f>
        <v>16</v>
      </c>
      <c r="AE8" s="8">
        <f>CEILING('Evolved Spider'!$M$8/ IF('Evolved Spider'!$O$8&lt; 10.8, Table1[[#This Row],[STR]], Table1[[#This Row],[STR]] / ('Evolved Spider'!$O$8 / 10.8)), 1)</f>
        <v>30</v>
      </c>
      <c r="AF8" s="8">
        <f>CEILING(Arachne!$M$4/ IF(Arachne!$O$4&lt; 10.8, Table1[[#This Row],[STR]], Table1[[#This Row],[STR]] / (Arachne!$O$4 / 10.8)), 1)</f>
        <v>41</v>
      </c>
      <c r="AG8" s="12">
        <f>CEILING('Earth Elemental'!$M$6/ IF('Earth Elemental'!$O$6&lt; 10.8, Table1[[#This Row],[STR]], Table1[[#This Row],[STR]] / ('Earth Elemental'!$O$6 / 10.8)), 1)</f>
        <v>37</v>
      </c>
      <c r="AH8" s="12">
        <f>CEILING('Wind Elemental'!$M$6/ IF('Wind Elemental'!$O$6&lt; 10.8, Table1[[#This Row],[STR]], Table1[[#This Row],[STR]] / ('Wind Elemental'!$O$6 / 10.8)), 1)</f>
        <v>31</v>
      </c>
      <c r="AI8" s="12">
        <f>CEILING('Water Elemental'!$M$6/ IF('Water Elemental'!$O$6&lt; 10.8, Table1[[#This Row],[STR]], Table1[[#This Row],[STR]] / ('Water Elemental'!$O$6 / 10.8)), 1)</f>
        <v>44</v>
      </c>
      <c r="AJ8" s="12">
        <f>CEILING('Fire Elemental'!$M$4/ IF('Fire Elemental'!$O$4&lt; 10.8, Table1[[#This Row],[STR]], Table1[[#This Row],[STR]] / ('Fire Elemental'!$O$4 / 10.8)), 1)</f>
        <v>64</v>
      </c>
      <c r="AK8" s="12">
        <f>CEILING(Wyvern!$M$4/ IF(Wyvern!$O$4&lt; 10.8, Table1[[#This Row],[STR]], Table1[[#This Row],[STR]] / (Wyvern!$O$4 / 10.8)), 1)</f>
        <v>81</v>
      </c>
      <c r="AL8" s="12">
        <f>CEILING('Evolved Wyvern'!$M$4/ IF('Evolved Wyvern'!$O$4&lt; 10.8, Table1[[#This Row],[STR]], Table1[[#This Row],[STR]] / ('Evolved Wyvern'!$O$4 / 10.8)), 1)</f>
        <v>108</v>
      </c>
      <c r="AM8" s="12">
        <f>CEILING(Dragon!$M$4/ IF(Dragon!$O$4&lt; 10.8, Table1[[#This Row],[STR]], Table1[[#This Row],[STR]] / (Dragon!$O$4 / 10.8)), 1)</f>
        <v>179</v>
      </c>
      <c r="AO8" s="14">
        <f>CEILING('Blue Slime'!$Z$5/ IF('Blue Slime'!$X$5&lt; 10.8, Table1[[#This Row],[STR]], Table1[[#This Row],[STR]] / ('Blue Slime'!$X$5 / 10.8)), 1)</f>
        <v>3</v>
      </c>
      <c r="AP8" s="14">
        <f>CEILING('Green Slime'!$Z$5/ IF('Green Slime'!$X$5&lt; 10.8, Table1[[#This Row],[STR]], Table1[[#This Row],[STR]] / ('Green Slime'!$X$5 / 10.8)), 1)</f>
        <v>4</v>
      </c>
      <c r="AQ8" s="14">
        <f>CEILING(Wolf!$Z$6/ IF(Wolf!$X$6&lt; 10.8, Table1[[#This Row],[STR]], Table1[[#This Row],[STR]] / (Wolf!$X$6 / 10.8)), 1)</f>
        <v>11</v>
      </c>
      <c r="AR8" s="14">
        <f>CEILING('Horned Wolf'!$Z$5/ IF('Horned Wolf'!$X$5&lt; 10.8, Table1[[#This Row],[STR]], Table1[[#This Row],[STR]] / ('Horned Wolf'!$X$5 / 10.8)), 1)</f>
        <v>31</v>
      </c>
      <c r="AS8" s="8">
        <f>CEILING(Spider!$Z$7/ IF(Spider!$X$7&lt; 10.8, Table1[[#This Row],[STR]], Table1[[#This Row],[STR]] / (Spider!$X$7 / 10.8)), 1)</f>
        <v>27</v>
      </c>
      <c r="AT8" s="8">
        <f>CEILING('Evolved Spider'!$Z$8/ IF('Evolved Spider'!$X$8&lt; 10.8, Table1[[#This Row],[STR]], Table1[[#This Row],[STR]] / ('Evolved Spider'!$X$8 / 10.8)), 1)</f>
        <v>49</v>
      </c>
      <c r="AU8" s="8">
        <f>CEILING(Arachne!$Z$4/ IF(Arachne!$X$4&lt; 10.8, Table1[[#This Row],[STR]], Table1[[#This Row],[STR]] / (Arachne!$X$4 / 10.8)), 1)</f>
        <v>67</v>
      </c>
      <c r="AV8" s="12">
        <f>CEILING('Earth Elemental'!$Z$6/ IF('Earth Elemental'!$X$6&lt; 10.8, Table1[[#This Row],[STR]], Table1[[#This Row],[STR]] / ('Earth Elemental'!$X$6 / 10.8)), 1)</f>
        <v>56</v>
      </c>
      <c r="AW8" s="12">
        <f>CEILING('Wind Elemental'!$Z$6/ IF('Wind Elemental'!$X$6&lt; 10.8, Table1[[#This Row],[STR]], Table1[[#This Row],[STR]] / ('Wind Elemental'!$X$6 / 10.8)), 1)</f>
        <v>44</v>
      </c>
      <c r="AX8" s="12">
        <f>CEILING('Water Elemental'!$Z$6/ IF('Water Elemental'!$X$6&lt; 10.8, Table1[[#This Row],[STR]], Table1[[#This Row],[STR]] / ('Water Elemental'!$X$6 / 10.8)), 1)</f>
        <v>60</v>
      </c>
      <c r="AY8" s="12">
        <f>CEILING('Fire Elemental'!$Z$4/ IF('Fire Elemental'!$X$4&lt; 10.8, Table1[[#This Row],[STR]], Table1[[#This Row],[STR]] / ('Fire Elemental'!$X$4 / 10.8)), 1)</f>
        <v>98</v>
      </c>
      <c r="AZ8" s="12">
        <f>CEILING(Wyvern!$Z$4/ IF(Wyvern!$X$4&lt; 10.8, Table1[[#This Row],[STR]], Table1[[#This Row],[STR]] / (Wyvern!$X$4 / 10.8)), 1)</f>
        <v>118</v>
      </c>
      <c r="BA8" s="12">
        <f>CEILING('Evolved Wyvern'!$Z$4/ IF('Evolved Wyvern'!$X$4&lt; 10.8, Table1[[#This Row],[STR]], Table1[[#This Row],[STR]] / ('Evolved Wyvern'!$X$4 / 10.8)), 1)</f>
        <v>151</v>
      </c>
      <c r="BB8" s="12">
        <f>CEILING(Dragon!$Z$4/ IF(Dragon!$X$4&lt; 10.8, Table1[[#This Row],[STR]], Table1[[#This Row],[STR]] / (Dragon!$X$4 / 10.8)), 1)</f>
        <v>255</v>
      </c>
    </row>
    <row r="9" spans="1:54" x14ac:dyDescent="0.3">
      <c r="A9" s="1">
        <v>7</v>
      </c>
      <c r="B9" s="1">
        <f>$B$3 + ((Table1[[#This Row],[Level]] / 10) + $B$3 / 8) * Table1[[#This Row],[Level]] + Equipment!$AK$10</f>
        <v>34.400000000000006</v>
      </c>
      <c r="C9" s="1">
        <f xml:space="preserve"> 2*Table1[[#This Row],[INT]]</f>
        <v>39</v>
      </c>
      <c r="D9" s="1">
        <f>$D$3 + ($D$3 / 4) * Table1[[#This Row],[Level]] + Equipment!$AL$10</f>
        <v>19.5</v>
      </c>
      <c r="E9" s="1">
        <f>$E$3 + ($E$3 / 4) * Table1[[#This Row],[Level]] + Equipment!$AM$10</f>
        <v>16.75</v>
      </c>
      <c r="F9" s="1">
        <f>$F$3 + ($F$3 / 4) * Table1[[#This Row],[Level]] + Equipment!$AN$10</f>
        <v>26</v>
      </c>
      <c r="G9" s="1">
        <f>$G$3 + ($G$3 / 4) * Table1[[#This Row],[Level]] + Equipment!$AO$10</f>
        <v>19.5</v>
      </c>
      <c r="H9" s="1">
        <f>$H$3 + ($H$3 / 4) * Table1[[#This Row],[Level]] + Equipment!$AP$10</f>
        <v>23.25</v>
      </c>
      <c r="I9" s="34">
        <f xml:space="preserve"> (4 * (Table1[[#This Row],[Level]] ^ 3))/7 + $I$3</f>
        <v>296</v>
      </c>
      <c r="K9" s="14">
        <f>CEILING('Blue Slime'!$B$5/ IF('Blue Slime'!$D$5&lt; 10.8, Table1[[#This Row],[STR]], Table1[[#This Row],[STR]] / ('Blue Slime'!$D$5 / 10.8)), 1)</f>
        <v>1</v>
      </c>
      <c r="L9" s="14">
        <f>CEILING('Green Slime'!$B$5/ IF('Green Slime'!$D$5&lt; 10.8, Table1[[#This Row],[STR]], Table1[[#This Row],[STR]] / ('Green Slime'!$D$5 / 10.8)), 1)</f>
        <v>2</v>
      </c>
      <c r="M9" s="14">
        <f>CEILING(Wolf!$B$6/ IF(Wolf!$D$6&lt; 10.8, Table1[[#This Row],[STR]], Table1[[#This Row],[STR]] / (Wolf!$D$6 / 10.8)), 1)</f>
        <v>3</v>
      </c>
      <c r="N9" s="14">
        <f>CEILING('Horned Wolf'!$B$5/ IF('Horned Wolf'!$D$5&lt; 10.8, Table1[[#This Row],[STR]], Table1[[#This Row],[STR]] / ('Horned Wolf'!$D$5 / 10.8)), 1)</f>
        <v>8</v>
      </c>
      <c r="O9" s="8">
        <f>CEILING(Spider!$B$7/ IF(Spider!$D$7&lt; 10.8, Table1[[#This Row],[STR]], Table1[[#This Row],[STR]] / (Spider!$D$7 / 10.8)), 1)</f>
        <v>8</v>
      </c>
      <c r="P9" s="8">
        <f>CEILING('Evolved Spider'!$B$8/ IF('Evolved Spider'!$D$8&lt; 10.8, Table1[[#This Row],[STR]], Table1[[#This Row],[STR]] / ('Evolved Spider'!$D$8 / 10.8)), 1)</f>
        <v>15</v>
      </c>
      <c r="Q9" s="8">
        <f>CEILING(Arachne!$B$4/ IF(Arachne!$D$4&lt; 10.8, Table1[[#This Row],[STR]], Table1[[#This Row],[STR]] / (Arachne!$D$4 / 10.8)), 1)</f>
        <v>19</v>
      </c>
      <c r="R9" s="12">
        <f>CEILING('Earth Elemental'!$B$6/ IF('Earth Elemental'!$D$6&lt; 10.8, Table1[[#This Row],[STR]], Table1[[#This Row],[STR]] / ('Earth Elemental'!$D$6 / 10.8)), 1)</f>
        <v>20</v>
      </c>
      <c r="S9" s="12">
        <f>CEILING('Wind Elemental'!$B$6/ IF('Wind Elemental'!$D$6&lt; 10.8, Table1[[#This Row],[STR]], Table1[[#This Row],[STR]] / ('Wind Elemental'!$D$6 / 10.8)), 1)</f>
        <v>18</v>
      </c>
      <c r="T9" s="12">
        <f>CEILING('Water Elemental'!$B$6/ IF('Water Elemental'!$D$6&lt; 10.8, Table1[[#This Row],[STR]], Table1[[#This Row],[STR]] / ('Water Elemental'!$D$6 / 10.8)), 1)</f>
        <v>27</v>
      </c>
      <c r="U9" s="12">
        <f>CEILING('Fire Elemental'!$B$4/ IF('Fire Elemental'!$D$4&lt; 10.8, Table1[[#This Row],[STR]], Table1[[#This Row],[STR]] / ('Fire Elemental'!$D$4 / 10.8)), 1)</f>
        <v>34</v>
      </c>
      <c r="V9" s="12">
        <f>CEILING(Wyvern!$B$4/ IF(Wyvern!$D$4&lt; 10.8, Table1[[#This Row],[STR]], Table1[[#This Row],[STR]] / (Wyvern!$D$4 / 10.8)), 1)</f>
        <v>46</v>
      </c>
      <c r="W9" s="12">
        <f>CEILING('Evolved Wyvern'!$B$4/ IF('Evolved Wyvern'!$D$4&lt; 10.8, Table1[[#This Row],[STR]], Table1[[#This Row],[STR]] / ('Evolved Wyvern'!$D$4 / 10.8)), 1)</f>
        <v>63</v>
      </c>
      <c r="X9" s="12">
        <f>CEILING(Dragon!$B$4/ IF(Dragon!$D$4&lt; 10.8, Table1[[#This Row],[STR]], Table1[[#This Row],[STR]] / (Dragon!$D$4 / 10.8)), 1)</f>
        <v>103</v>
      </c>
      <c r="Z9" s="14">
        <f>CEILING('Blue Slime'!$M$5/ IF('Blue Slime'!$O$5&lt; 10.8, Table1[[#This Row],[STR]], Table1[[#This Row],[STR]] / ('Blue Slime'!$O$5 / 10.8)), 1)</f>
        <v>2</v>
      </c>
      <c r="AA9" s="14">
        <f>CEILING('Green Slime'!$M$5/ IF('Green Slime'!$O$5&lt; 10.8, Table1[[#This Row],[STR]], Table1[[#This Row],[STR]] / ('Green Slime'!$O$5 / 10.8)), 1)</f>
        <v>2</v>
      </c>
      <c r="AB9" s="14">
        <f>CEILING(Wolf!$M$6/ IF(Wolf!$O$6&lt; 10.8, Table1[[#This Row],[STR]], Table1[[#This Row],[STR]] / (Wolf!$O$6 / 10.8)), 1)</f>
        <v>6</v>
      </c>
      <c r="AC9" s="14">
        <f>CEILING('Horned Wolf'!$M$5/ IF('Horned Wolf'!$O$5&lt; 10.8, Table1[[#This Row],[STR]], Table1[[#This Row],[STR]] / ('Horned Wolf'!$O$5 / 10.8)), 1)</f>
        <v>17</v>
      </c>
      <c r="AD9" s="8">
        <f>CEILING(Spider!$M$7/ IF(Spider!$O$7&lt; 10.8, Table1[[#This Row],[STR]], Table1[[#This Row],[STR]] / (Spider!$O$7 / 10.8)), 1)</f>
        <v>15</v>
      </c>
      <c r="AE9" s="8">
        <f>CEILING('Evolved Spider'!$M$8/ IF('Evolved Spider'!$O$8&lt; 10.8, Table1[[#This Row],[STR]], Table1[[#This Row],[STR]] / ('Evolved Spider'!$O$8 / 10.8)), 1)</f>
        <v>28</v>
      </c>
      <c r="AF9" s="8">
        <f>CEILING(Arachne!$M$4/ IF(Arachne!$O$4&lt; 10.8, Table1[[#This Row],[STR]], Table1[[#This Row],[STR]] / (Arachne!$O$4 / 10.8)), 1)</f>
        <v>38</v>
      </c>
      <c r="AG9" s="12">
        <f>CEILING('Earth Elemental'!$M$6/ IF('Earth Elemental'!$O$6&lt; 10.8, Table1[[#This Row],[STR]], Table1[[#This Row],[STR]] / ('Earth Elemental'!$O$6 / 10.8)), 1)</f>
        <v>34</v>
      </c>
      <c r="AH9" s="12">
        <f>CEILING('Wind Elemental'!$M$6/ IF('Wind Elemental'!$O$6&lt; 10.8, Table1[[#This Row],[STR]], Table1[[#This Row],[STR]] / ('Wind Elemental'!$O$6 / 10.8)), 1)</f>
        <v>28</v>
      </c>
      <c r="AI9" s="12">
        <f>CEILING('Water Elemental'!$M$6/ IF('Water Elemental'!$O$6&lt; 10.8, Table1[[#This Row],[STR]], Table1[[#This Row],[STR]] / ('Water Elemental'!$O$6 / 10.8)), 1)</f>
        <v>41</v>
      </c>
      <c r="AJ9" s="12">
        <f>CEILING('Fire Elemental'!$M$4/ IF('Fire Elemental'!$O$4&lt; 10.8, Table1[[#This Row],[STR]], Table1[[#This Row],[STR]] / ('Fire Elemental'!$O$4 / 10.8)), 1)</f>
        <v>59</v>
      </c>
      <c r="AK9" s="12">
        <f>CEILING(Wyvern!$M$4/ IF(Wyvern!$O$4&lt; 10.8, Table1[[#This Row],[STR]], Table1[[#This Row],[STR]] / (Wyvern!$O$4 / 10.8)), 1)</f>
        <v>75</v>
      </c>
      <c r="AL9" s="12">
        <f>CEILING('Evolved Wyvern'!$M$4/ IF('Evolved Wyvern'!$O$4&lt; 10.8, Table1[[#This Row],[STR]], Table1[[#This Row],[STR]] / ('Evolved Wyvern'!$O$4 / 10.8)), 1)</f>
        <v>99</v>
      </c>
      <c r="AM9" s="12">
        <f>CEILING(Dragon!$M$4/ IF(Dragon!$O$4&lt; 10.8, Table1[[#This Row],[STR]], Table1[[#This Row],[STR]] / (Dragon!$O$4 / 10.8)), 1)</f>
        <v>166</v>
      </c>
      <c r="AO9" s="14">
        <f>CEILING('Blue Slime'!$Z$5/ IF('Blue Slime'!$X$5&lt; 10.8, Table1[[#This Row],[STR]], Table1[[#This Row],[STR]] / ('Blue Slime'!$X$5 / 10.8)), 1)</f>
        <v>2</v>
      </c>
      <c r="AP9" s="14">
        <f>CEILING('Green Slime'!$Z$5/ IF('Green Slime'!$X$5&lt; 10.8, Table1[[#This Row],[STR]], Table1[[#This Row],[STR]] / ('Green Slime'!$X$5 / 10.8)), 1)</f>
        <v>4</v>
      </c>
      <c r="AQ9" s="14">
        <f>CEILING(Wolf!$Z$6/ IF(Wolf!$X$6&lt; 10.8, Table1[[#This Row],[STR]], Table1[[#This Row],[STR]] / (Wolf!$X$6 / 10.8)), 1)</f>
        <v>11</v>
      </c>
      <c r="AR9" s="14">
        <f>CEILING('Horned Wolf'!$Z$5/ IF('Horned Wolf'!$X$5&lt; 10.8, Table1[[#This Row],[STR]], Table1[[#This Row],[STR]] / ('Horned Wolf'!$X$5 / 10.8)), 1)</f>
        <v>29</v>
      </c>
      <c r="AS9" s="8">
        <f>CEILING(Spider!$Z$7/ IF(Spider!$X$7&lt; 10.8, Table1[[#This Row],[STR]], Table1[[#This Row],[STR]] / (Spider!$X$7 / 10.8)), 1)</f>
        <v>25</v>
      </c>
      <c r="AT9" s="8">
        <f>CEILING('Evolved Spider'!$Z$8/ IF('Evolved Spider'!$X$8&lt; 10.8, Table1[[#This Row],[STR]], Table1[[#This Row],[STR]] / ('Evolved Spider'!$X$8 / 10.8)), 1)</f>
        <v>46</v>
      </c>
      <c r="AU9" s="8">
        <f>CEILING(Arachne!$Z$4/ IF(Arachne!$X$4&lt; 10.8, Table1[[#This Row],[STR]], Table1[[#This Row],[STR]] / (Arachne!$X$4 / 10.8)), 1)</f>
        <v>62</v>
      </c>
      <c r="AV9" s="12">
        <f>CEILING('Earth Elemental'!$Z$6/ IF('Earth Elemental'!$X$6&lt; 10.8, Table1[[#This Row],[STR]], Table1[[#This Row],[STR]] / ('Earth Elemental'!$X$6 / 10.8)), 1)</f>
        <v>52</v>
      </c>
      <c r="AW9" s="12">
        <f>CEILING('Wind Elemental'!$Z$6/ IF('Wind Elemental'!$X$6&lt; 10.8, Table1[[#This Row],[STR]], Table1[[#This Row],[STR]] / ('Wind Elemental'!$X$6 / 10.8)), 1)</f>
        <v>40</v>
      </c>
      <c r="AX9" s="12">
        <f>CEILING('Water Elemental'!$Z$6/ IF('Water Elemental'!$X$6&lt; 10.8, Table1[[#This Row],[STR]], Table1[[#This Row],[STR]] / ('Water Elemental'!$X$6 / 10.8)), 1)</f>
        <v>55</v>
      </c>
      <c r="AY9" s="12">
        <f>CEILING('Fire Elemental'!$Z$4/ IF('Fire Elemental'!$X$4&lt; 10.8, Table1[[#This Row],[STR]], Table1[[#This Row],[STR]] / ('Fire Elemental'!$X$4 / 10.8)), 1)</f>
        <v>90</v>
      </c>
      <c r="AZ9" s="12">
        <f>CEILING(Wyvern!$Z$4/ IF(Wyvern!$X$4&lt; 10.8, Table1[[#This Row],[STR]], Table1[[#This Row],[STR]] / (Wyvern!$X$4 / 10.8)), 1)</f>
        <v>109</v>
      </c>
      <c r="BA9" s="12">
        <f>CEILING('Evolved Wyvern'!$Z$4/ IF('Evolved Wyvern'!$X$4&lt; 10.8, Table1[[#This Row],[STR]], Table1[[#This Row],[STR]] / ('Evolved Wyvern'!$X$4 / 10.8)), 1)</f>
        <v>139</v>
      </c>
      <c r="BB9" s="12">
        <f>CEILING(Dragon!$Z$4/ IF(Dragon!$X$4&lt; 10.8, Table1[[#This Row],[STR]], Table1[[#This Row],[STR]] / (Dragon!$X$4 / 10.8)), 1)</f>
        <v>235</v>
      </c>
    </row>
    <row r="10" spans="1:54" x14ac:dyDescent="0.3">
      <c r="A10" s="1">
        <v>8</v>
      </c>
      <c r="B10" s="1">
        <f>$B$3 + ((Table1[[#This Row],[Level]] / 10) + $B$3 / 8) * Table1[[#This Row],[Level]] + Equipment!$AK$10</f>
        <v>37.4</v>
      </c>
      <c r="C10" s="1">
        <f xml:space="preserve"> 2*Table1[[#This Row],[INT]]</f>
        <v>42</v>
      </c>
      <c r="D10" s="1">
        <f>$D$3 + ($D$3 / 4) * Table1[[#This Row],[Level]] + Equipment!$AL$10</f>
        <v>21</v>
      </c>
      <c r="E10" s="1">
        <f>$E$3 + ($E$3 / 4) * Table1[[#This Row],[Level]] + Equipment!$AM$10</f>
        <v>18</v>
      </c>
      <c r="F10" s="1">
        <f>$F$3 + ($F$3 / 4) * Table1[[#This Row],[Level]] + Equipment!$AN$10</f>
        <v>28</v>
      </c>
      <c r="G10" s="1">
        <f>$G$3 + ($G$3 / 4) * Table1[[#This Row],[Level]] + Equipment!$AO$10</f>
        <v>21</v>
      </c>
      <c r="H10" s="1">
        <f>$H$3 + ($H$3 / 4) * Table1[[#This Row],[Level]] + Equipment!$AP$10</f>
        <v>25</v>
      </c>
      <c r="I10" s="34">
        <f xml:space="preserve"> (4 * (Table1[[#This Row],[Level]] ^ 3))/7 + $I$3</f>
        <v>392.57142857142856</v>
      </c>
      <c r="K10" s="14">
        <f>CEILING('Blue Slime'!$B$5/ IF('Blue Slime'!$D$5&lt; 10.8, Table1[[#This Row],[STR]], Table1[[#This Row],[STR]] / ('Blue Slime'!$D$5 / 10.8)), 1)</f>
        <v>1</v>
      </c>
      <c r="L10" s="14">
        <f>CEILING('Green Slime'!$B$5/ IF('Green Slime'!$D$5&lt; 10.8, Table1[[#This Row],[STR]], Table1[[#This Row],[STR]] / ('Green Slime'!$D$5 / 10.8)), 1)</f>
        <v>2</v>
      </c>
      <c r="M10" s="14">
        <f>CEILING(Wolf!$B$6/ IF(Wolf!$D$6&lt; 10.8, Table1[[#This Row],[STR]], Table1[[#This Row],[STR]] / (Wolf!$D$6 / 10.8)), 1)</f>
        <v>3</v>
      </c>
      <c r="N10" s="14">
        <f>CEILING('Horned Wolf'!$B$5/ IF('Horned Wolf'!$D$5&lt; 10.8, Table1[[#This Row],[STR]], Table1[[#This Row],[STR]] / ('Horned Wolf'!$D$5 / 10.8)), 1)</f>
        <v>7</v>
      </c>
      <c r="O10" s="8">
        <f>CEILING(Spider!$B$7/ IF(Spider!$D$7&lt; 10.8, Table1[[#This Row],[STR]], Table1[[#This Row],[STR]] / (Spider!$D$7 / 10.8)), 1)</f>
        <v>7</v>
      </c>
      <c r="P10" s="8">
        <f>CEILING('Evolved Spider'!$B$8/ IF('Evolved Spider'!$D$8&lt; 10.8, Table1[[#This Row],[STR]], Table1[[#This Row],[STR]] / ('Evolved Spider'!$D$8 / 10.8)), 1)</f>
        <v>14</v>
      </c>
      <c r="Q10" s="8">
        <f>CEILING(Arachne!$B$4/ IF(Arachne!$D$4&lt; 10.8, Table1[[#This Row],[STR]], Table1[[#This Row],[STR]] / (Arachne!$D$4 / 10.8)), 1)</f>
        <v>18</v>
      </c>
      <c r="R10" s="12">
        <f>CEILING('Earth Elemental'!$B$6/ IF('Earth Elemental'!$D$6&lt; 10.8, Table1[[#This Row],[STR]], Table1[[#This Row],[STR]] / ('Earth Elemental'!$D$6 / 10.8)), 1)</f>
        <v>18</v>
      </c>
      <c r="S10" s="12">
        <f>CEILING('Wind Elemental'!$B$6/ IF('Wind Elemental'!$D$6&lt; 10.8, Table1[[#This Row],[STR]], Table1[[#This Row],[STR]] / ('Wind Elemental'!$D$6 / 10.8)), 1)</f>
        <v>16</v>
      </c>
      <c r="T10" s="12">
        <f>CEILING('Water Elemental'!$B$6/ IF('Water Elemental'!$D$6&lt; 10.8, Table1[[#This Row],[STR]], Table1[[#This Row],[STR]] / ('Water Elemental'!$D$6 / 10.8)), 1)</f>
        <v>25</v>
      </c>
      <c r="U10" s="12">
        <f>CEILING('Fire Elemental'!$B$4/ IF('Fire Elemental'!$D$4&lt; 10.8, Table1[[#This Row],[STR]], Table1[[#This Row],[STR]] / ('Fire Elemental'!$D$4 / 10.8)), 1)</f>
        <v>31</v>
      </c>
      <c r="V10" s="12">
        <f>CEILING(Wyvern!$B$4/ IF(Wyvern!$D$4&lt; 10.8, Table1[[#This Row],[STR]], Table1[[#This Row],[STR]] / (Wyvern!$D$4 / 10.8)), 1)</f>
        <v>42</v>
      </c>
      <c r="W10" s="12">
        <f>CEILING('Evolved Wyvern'!$B$4/ IF('Evolved Wyvern'!$D$4&lt; 10.8, Table1[[#This Row],[STR]], Table1[[#This Row],[STR]] / ('Evolved Wyvern'!$D$4 / 10.8)), 1)</f>
        <v>58</v>
      </c>
      <c r="X10" s="12">
        <f>CEILING(Dragon!$B$4/ IF(Dragon!$D$4&lt; 10.8, Table1[[#This Row],[STR]], Table1[[#This Row],[STR]] / (Dragon!$D$4 / 10.8)), 1)</f>
        <v>96</v>
      </c>
      <c r="Z10" s="14">
        <f>CEILING('Blue Slime'!$M$5/ IF('Blue Slime'!$O$5&lt; 10.8, Table1[[#This Row],[STR]], Table1[[#This Row],[STR]] / ('Blue Slime'!$O$5 / 10.8)), 1)</f>
        <v>2</v>
      </c>
      <c r="AA10" s="14">
        <f>CEILING('Green Slime'!$M$5/ IF('Green Slime'!$O$5&lt; 10.8, Table1[[#This Row],[STR]], Table1[[#This Row],[STR]] / ('Green Slime'!$O$5 / 10.8)), 1)</f>
        <v>2</v>
      </c>
      <c r="AB10" s="14">
        <f>CEILING(Wolf!$M$6/ IF(Wolf!$O$6&lt; 10.8, Table1[[#This Row],[STR]], Table1[[#This Row],[STR]] / (Wolf!$O$6 / 10.8)), 1)</f>
        <v>6</v>
      </c>
      <c r="AC10" s="14">
        <f>CEILING('Horned Wolf'!$M$5/ IF('Horned Wolf'!$O$5&lt; 10.8, Table1[[#This Row],[STR]], Table1[[#This Row],[STR]] / ('Horned Wolf'!$O$5 / 10.8)), 1)</f>
        <v>16</v>
      </c>
      <c r="AD10" s="8">
        <f>CEILING(Spider!$M$7/ IF(Spider!$O$7&lt; 10.8, Table1[[#This Row],[STR]], Table1[[#This Row],[STR]] / (Spider!$O$7 / 10.8)), 1)</f>
        <v>14</v>
      </c>
      <c r="AE10" s="8">
        <f>CEILING('Evolved Spider'!$M$8/ IF('Evolved Spider'!$O$8&lt; 10.8, Table1[[#This Row],[STR]], Table1[[#This Row],[STR]] / ('Evolved Spider'!$O$8 / 10.8)), 1)</f>
        <v>26</v>
      </c>
      <c r="AF10" s="8">
        <f>CEILING(Arachne!$M$4/ IF(Arachne!$O$4&lt; 10.8, Table1[[#This Row],[STR]], Table1[[#This Row],[STR]] / (Arachne!$O$4 / 10.8)), 1)</f>
        <v>35</v>
      </c>
      <c r="AG10" s="12">
        <f>CEILING('Earth Elemental'!$M$6/ IF('Earth Elemental'!$O$6&lt; 10.8, Table1[[#This Row],[STR]], Table1[[#This Row],[STR]] / ('Earth Elemental'!$O$6 / 10.8)), 1)</f>
        <v>32</v>
      </c>
      <c r="AH10" s="12">
        <f>CEILING('Wind Elemental'!$M$6/ IF('Wind Elemental'!$O$6&lt; 10.8, Table1[[#This Row],[STR]], Table1[[#This Row],[STR]] / ('Wind Elemental'!$O$6 / 10.8)), 1)</f>
        <v>26</v>
      </c>
      <c r="AI10" s="12">
        <f>CEILING('Water Elemental'!$M$6/ IF('Water Elemental'!$O$6&lt; 10.8, Table1[[#This Row],[STR]], Table1[[#This Row],[STR]] / ('Water Elemental'!$O$6 / 10.8)), 1)</f>
        <v>38</v>
      </c>
      <c r="AJ10" s="12">
        <f>CEILING('Fire Elemental'!$M$4/ IF('Fire Elemental'!$O$4&lt; 10.8, Table1[[#This Row],[STR]], Table1[[#This Row],[STR]] / ('Fire Elemental'!$O$4 / 10.8)), 1)</f>
        <v>55</v>
      </c>
      <c r="AK10" s="12">
        <f>CEILING(Wyvern!$M$4/ IF(Wyvern!$O$4&lt; 10.8, Table1[[#This Row],[STR]], Table1[[#This Row],[STR]] / (Wyvern!$O$4 / 10.8)), 1)</f>
        <v>70</v>
      </c>
      <c r="AL10" s="12">
        <f>CEILING('Evolved Wyvern'!$M$4/ IF('Evolved Wyvern'!$O$4&lt; 10.8, Table1[[#This Row],[STR]], Table1[[#This Row],[STR]] / ('Evolved Wyvern'!$O$4 / 10.8)), 1)</f>
        <v>92</v>
      </c>
      <c r="AM10" s="12">
        <f>CEILING(Dragon!$M$4/ IF(Dragon!$O$4&lt; 10.8, Table1[[#This Row],[STR]], Table1[[#This Row],[STR]] / (Dragon!$O$4 / 10.8)), 1)</f>
        <v>154</v>
      </c>
      <c r="AO10" s="14">
        <f>CEILING('Blue Slime'!$Z$5/ IF('Blue Slime'!$X$5&lt; 10.8, Table1[[#This Row],[STR]], Table1[[#This Row],[STR]] / ('Blue Slime'!$X$5 / 10.8)), 1)</f>
        <v>2</v>
      </c>
      <c r="AP10" s="14">
        <f>CEILING('Green Slime'!$Z$5/ IF('Green Slime'!$X$5&lt; 10.8, Table1[[#This Row],[STR]], Table1[[#This Row],[STR]] / ('Green Slime'!$X$5 / 10.8)), 1)</f>
        <v>4</v>
      </c>
      <c r="AQ10" s="14">
        <f>CEILING(Wolf!$Z$6/ IF(Wolf!$X$6&lt; 10.8, Table1[[#This Row],[STR]], Table1[[#This Row],[STR]] / (Wolf!$X$6 / 10.8)), 1)</f>
        <v>10</v>
      </c>
      <c r="AR10" s="14">
        <f>CEILING('Horned Wolf'!$Z$5/ IF('Horned Wolf'!$X$5&lt; 10.8, Table1[[#This Row],[STR]], Table1[[#This Row],[STR]] / ('Horned Wolf'!$X$5 / 10.8)), 1)</f>
        <v>27</v>
      </c>
      <c r="AS10" s="8">
        <f>CEILING(Spider!$Z$7/ IF(Spider!$X$7&lt; 10.8, Table1[[#This Row],[STR]], Table1[[#This Row],[STR]] / (Spider!$X$7 / 10.8)), 1)</f>
        <v>24</v>
      </c>
      <c r="AT10" s="8">
        <f>CEILING('Evolved Spider'!$Z$8/ IF('Evolved Spider'!$X$8&lt; 10.8, Table1[[#This Row],[STR]], Table1[[#This Row],[STR]] / ('Evolved Spider'!$X$8 / 10.8)), 1)</f>
        <v>42</v>
      </c>
      <c r="AU10" s="8">
        <f>CEILING(Arachne!$Z$4/ IF(Arachne!$X$4&lt; 10.8, Table1[[#This Row],[STR]], Table1[[#This Row],[STR]] / (Arachne!$X$4 / 10.8)), 1)</f>
        <v>58</v>
      </c>
      <c r="AV10" s="12">
        <f>CEILING('Earth Elemental'!$Z$6/ IF('Earth Elemental'!$X$6&lt; 10.8, Table1[[#This Row],[STR]], Table1[[#This Row],[STR]] / ('Earth Elemental'!$X$6 / 10.8)), 1)</f>
        <v>48</v>
      </c>
      <c r="AW10" s="12">
        <f>CEILING('Wind Elemental'!$Z$6/ IF('Wind Elemental'!$X$6&lt; 10.8, Table1[[#This Row],[STR]], Table1[[#This Row],[STR]] / ('Wind Elemental'!$X$6 / 10.8)), 1)</f>
        <v>37</v>
      </c>
      <c r="AX10" s="12">
        <f>CEILING('Water Elemental'!$Z$6/ IF('Water Elemental'!$X$6&lt; 10.8, Table1[[#This Row],[STR]], Table1[[#This Row],[STR]] / ('Water Elemental'!$X$6 / 10.8)), 1)</f>
        <v>51</v>
      </c>
      <c r="AY10" s="12">
        <f>CEILING('Fire Elemental'!$Z$4/ IF('Fire Elemental'!$X$4&lt; 10.8, Table1[[#This Row],[STR]], Table1[[#This Row],[STR]] / ('Fire Elemental'!$X$4 / 10.8)), 1)</f>
        <v>84</v>
      </c>
      <c r="AZ10" s="12">
        <f>CEILING(Wyvern!$Z$4/ IF(Wyvern!$X$4&lt; 10.8, Table1[[#This Row],[STR]], Table1[[#This Row],[STR]] / (Wyvern!$X$4 / 10.8)), 1)</f>
        <v>101</v>
      </c>
      <c r="BA10" s="12">
        <f>CEILING('Evolved Wyvern'!$Z$4/ IF('Evolved Wyvern'!$X$4&lt; 10.8, Table1[[#This Row],[STR]], Table1[[#This Row],[STR]] / ('Evolved Wyvern'!$X$4 / 10.8)), 1)</f>
        <v>130</v>
      </c>
      <c r="BB10" s="12">
        <f>CEILING(Dragon!$Z$4/ IF(Dragon!$X$4&lt; 10.8, Table1[[#This Row],[STR]], Table1[[#This Row],[STR]] / (Dragon!$X$4 / 10.8)), 1)</f>
        <v>218</v>
      </c>
    </row>
    <row r="11" spans="1:54" x14ac:dyDescent="0.3">
      <c r="A11" s="1">
        <v>9</v>
      </c>
      <c r="B11" s="1">
        <f>$B$3 + ((Table1[[#This Row],[Level]] / 10) + $B$3 / 8) * Table1[[#This Row],[Level]] + Equipment!$AK$10</f>
        <v>40.599999999999994</v>
      </c>
      <c r="C11" s="1">
        <f xml:space="preserve"> 2*Table1[[#This Row],[INT]]</f>
        <v>45</v>
      </c>
      <c r="D11" s="1">
        <f>$D$3 + ($D$3 / 4) * Table1[[#This Row],[Level]] + Equipment!$AL$10</f>
        <v>22.5</v>
      </c>
      <c r="E11" s="1">
        <f>$E$3 + ($E$3 / 4) * Table1[[#This Row],[Level]] + Equipment!$AM$10</f>
        <v>19.25</v>
      </c>
      <c r="F11" s="1">
        <f>$F$3 + ($F$3 / 4) * Table1[[#This Row],[Level]] + Equipment!$AN$10</f>
        <v>30</v>
      </c>
      <c r="G11" s="1">
        <f>$G$3 + ($G$3 / 4) * Table1[[#This Row],[Level]] + Equipment!$AO$10</f>
        <v>22.5</v>
      </c>
      <c r="H11" s="1">
        <f>$H$3 + ($H$3 / 4) * Table1[[#This Row],[Level]] + Equipment!$AP$10</f>
        <v>26.75</v>
      </c>
      <c r="I11" s="34">
        <f xml:space="preserve"> (4 * (Table1[[#This Row],[Level]] ^ 3))/7 + $I$3</f>
        <v>516.57142857142856</v>
      </c>
      <c r="K11" s="8">
        <f>CEILING('Blue Slime'!$B$5/ IF('Blue Slime'!$D$5&lt; 10.8, Table1[[#This Row],[STR]], Table1[[#This Row],[STR]] / ('Blue Slime'!$D$5 / 10.8)), 1)</f>
        <v>1</v>
      </c>
      <c r="L11" s="8">
        <f>CEILING('Green Slime'!$B$5/ IF('Green Slime'!$D$5&lt; 10.8, Table1[[#This Row],[STR]], Table1[[#This Row],[STR]] / ('Green Slime'!$D$5 / 10.8)), 1)</f>
        <v>1</v>
      </c>
      <c r="M11" s="8">
        <f>CEILING(Wolf!$B$6/ IF(Wolf!$D$6&lt; 10.8, Table1[[#This Row],[STR]], Table1[[#This Row],[STR]] / (Wolf!$D$6 / 10.8)), 1)</f>
        <v>3</v>
      </c>
      <c r="N11" s="8">
        <f>CEILING('Horned Wolf'!$B$5/ IF('Horned Wolf'!$D$5&lt; 10.8, Table1[[#This Row],[STR]], Table1[[#This Row],[STR]] / ('Horned Wolf'!$D$5 / 10.8)), 1)</f>
        <v>7</v>
      </c>
      <c r="O11" s="14">
        <f>CEILING(Spider!$B$7/ IF(Spider!$D$7&lt; 10.8, Table1[[#This Row],[STR]], Table1[[#This Row],[STR]] / (Spider!$D$7 / 10.8)), 1)</f>
        <v>7</v>
      </c>
      <c r="P11" s="14">
        <f>CEILING('Evolved Spider'!$B$8/ IF('Evolved Spider'!$D$8&lt; 10.8, Table1[[#This Row],[STR]], Table1[[#This Row],[STR]] / ('Evolved Spider'!$D$8 / 10.8)), 1)</f>
        <v>13</v>
      </c>
      <c r="Q11" s="14">
        <f>CEILING(Arachne!$B$4/ IF(Arachne!$D$4&lt; 10.8, Table1[[#This Row],[STR]], Table1[[#This Row],[STR]] / (Arachne!$D$4 / 10.8)), 1)</f>
        <v>17</v>
      </c>
      <c r="R11" s="12">
        <f>CEILING('Earth Elemental'!$B$6/ IF('Earth Elemental'!$D$6&lt; 10.8, Table1[[#This Row],[STR]], Table1[[#This Row],[STR]] / ('Earth Elemental'!$D$6 / 10.8)), 1)</f>
        <v>17</v>
      </c>
      <c r="S11" s="12">
        <f>CEILING('Wind Elemental'!$B$6/ IF('Wind Elemental'!$D$6&lt; 10.8, Table1[[#This Row],[STR]], Table1[[#This Row],[STR]] / ('Wind Elemental'!$D$6 / 10.8)), 1)</f>
        <v>15</v>
      </c>
      <c r="T11" s="12">
        <f>CEILING('Water Elemental'!$B$6/ IF('Water Elemental'!$D$6&lt; 10.8, Table1[[#This Row],[STR]], Table1[[#This Row],[STR]] / ('Water Elemental'!$D$6 / 10.8)), 1)</f>
        <v>23</v>
      </c>
      <c r="U11" s="12">
        <f>CEILING('Fire Elemental'!$B$4/ IF('Fire Elemental'!$D$4&lt; 10.8, Table1[[#This Row],[STR]], Table1[[#This Row],[STR]] / ('Fire Elemental'!$D$4 / 10.8)), 1)</f>
        <v>29</v>
      </c>
      <c r="V11" s="12">
        <f>CEILING(Wyvern!$B$4/ IF(Wyvern!$D$4&lt; 10.8, Table1[[#This Row],[STR]], Table1[[#This Row],[STR]] / (Wyvern!$D$4 / 10.8)), 1)</f>
        <v>40</v>
      </c>
      <c r="W11" s="12">
        <f>CEILING('Evolved Wyvern'!$B$4/ IF('Evolved Wyvern'!$D$4&lt; 10.8, Table1[[#This Row],[STR]], Table1[[#This Row],[STR]] / ('Evolved Wyvern'!$D$4 / 10.8)), 1)</f>
        <v>55</v>
      </c>
      <c r="X11" s="12">
        <f>CEILING(Dragon!$B$4/ IF(Dragon!$D$4&lt; 10.8, Table1[[#This Row],[STR]], Table1[[#This Row],[STR]] / (Dragon!$D$4 / 10.8)), 1)</f>
        <v>90</v>
      </c>
      <c r="Z11" s="14">
        <f>CEILING('Blue Slime'!$M$5/ IF('Blue Slime'!$O$5&lt; 10.8, Table1[[#This Row],[STR]], Table1[[#This Row],[STR]] / ('Blue Slime'!$O$5 / 10.8)), 1)</f>
        <v>1</v>
      </c>
      <c r="AA11" s="14">
        <f>CEILING('Green Slime'!$M$5/ IF('Green Slime'!$O$5&lt; 10.8, Table1[[#This Row],[STR]], Table1[[#This Row],[STR]] / ('Green Slime'!$O$5 / 10.8)), 1)</f>
        <v>2</v>
      </c>
      <c r="AB11" s="14">
        <f>CEILING(Wolf!$M$6/ IF(Wolf!$O$6&lt; 10.8, Table1[[#This Row],[STR]], Table1[[#This Row],[STR]] / (Wolf!$O$6 / 10.8)), 1)</f>
        <v>6</v>
      </c>
      <c r="AC11" s="14">
        <f>CEILING('Horned Wolf'!$M$5/ IF('Horned Wolf'!$O$5&lt; 10.8, Table1[[#This Row],[STR]], Table1[[#This Row],[STR]] / ('Horned Wolf'!$O$5 / 10.8)), 1)</f>
        <v>15</v>
      </c>
      <c r="AD11" s="8">
        <f>CEILING(Spider!$M$7/ IF(Spider!$O$7&lt; 10.8, Table1[[#This Row],[STR]], Table1[[#This Row],[STR]] / (Spider!$O$7 / 10.8)), 1)</f>
        <v>13</v>
      </c>
      <c r="AE11" s="8">
        <f>CEILING('Evolved Spider'!$M$8/ IF('Evolved Spider'!$O$8&lt; 10.8, Table1[[#This Row],[STR]], Table1[[#This Row],[STR]] / ('Evolved Spider'!$O$8 / 10.8)), 1)</f>
        <v>24</v>
      </c>
      <c r="AF11" s="8">
        <f>CEILING(Arachne!$M$4/ IF(Arachne!$O$4&lt; 10.8, Table1[[#This Row],[STR]], Table1[[#This Row],[STR]] / (Arachne!$O$4 / 10.8)), 1)</f>
        <v>33</v>
      </c>
      <c r="AG11" s="12">
        <f>CEILING('Earth Elemental'!$M$6/ IF('Earth Elemental'!$O$6&lt; 10.8, Table1[[#This Row],[STR]], Table1[[#This Row],[STR]] / ('Earth Elemental'!$O$6 / 10.8)), 1)</f>
        <v>30</v>
      </c>
      <c r="AH11" s="12">
        <f>CEILING('Wind Elemental'!$M$6/ IF('Wind Elemental'!$O$6&lt; 10.8, Table1[[#This Row],[STR]], Table1[[#This Row],[STR]] / ('Wind Elemental'!$O$6 / 10.8)), 1)</f>
        <v>25</v>
      </c>
      <c r="AI11" s="12">
        <f>CEILING('Water Elemental'!$M$6/ IF('Water Elemental'!$O$6&lt; 10.8, Table1[[#This Row],[STR]], Table1[[#This Row],[STR]] / ('Water Elemental'!$O$6 / 10.8)), 1)</f>
        <v>35</v>
      </c>
      <c r="AJ11" s="12">
        <f>CEILING('Fire Elemental'!$M$4/ IF('Fire Elemental'!$O$4&lt; 10.8, Table1[[#This Row],[STR]], Table1[[#This Row],[STR]] / ('Fire Elemental'!$O$4 / 10.8)), 1)</f>
        <v>51</v>
      </c>
      <c r="AK11" s="12">
        <f>CEILING(Wyvern!$M$4/ IF(Wyvern!$O$4&lt; 10.8, Table1[[#This Row],[STR]], Table1[[#This Row],[STR]] / (Wyvern!$O$4 / 10.8)), 1)</f>
        <v>65</v>
      </c>
      <c r="AL11" s="12">
        <f>CEILING('Evolved Wyvern'!$M$4/ IF('Evolved Wyvern'!$O$4&lt; 10.8, Table1[[#This Row],[STR]], Table1[[#This Row],[STR]] / ('Evolved Wyvern'!$O$4 / 10.8)), 1)</f>
        <v>86</v>
      </c>
      <c r="AM11" s="12">
        <f>CEILING(Dragon!$M$4/ IF(Dragon!$O$4&lt; 10.8, Table1[[#This Row],[STR]], Table1[[#This Row],[STR]] / (Dragon!$O$4 / 10.8)), 1)</f>
        <v>144</v>
      </c>
      <c r="AO11" s="14">
        <f>CEILING('Blue Slime'!$Z$5/ IF('Blue Slime'!$X$5&lt; 10.8, Table1[[#This Row],[STR]], Table1[[#This Row],[STR]] / ('Blue Slime'!$X$5 / 10.8)), 1)</f>
        <v>2</v>
      </c>
      <c r="AP11" s="14">
        <f>CEILING('Green Slime'!$Z$5/ IF('Green Slime'!$X$5&lt; 10.8, Table1[[#This Row],[STR]], Table1[[#This Row],[STR]] / ('Green Slime'!$X$5 / 10.8)), 1)</f>
        <v>4</v>
      </c>
      <c r="AQ11" s="14">
        <f>CEILING(Wolf!$Z$6/ IF(Wolf!$X$6&lt; 10.8, Table1[[#This Row],[STR]], Table1[[#This Row],[STR]] / (Wolf!$X$6 / 10.8)), 1)</f>
        <v>9</v>
      </c>
      <c r="AR11" s="14">
        <f>CEILING('Horned Wolf'!$Z$5/ IF('Horned Wolf'!$X$5&lt; 10.8, Table1[[#This Row],[STR]], Table1[[#This Row],[STR]] / ('Horned Wolf'!$X$5 / 10.8)), 1)</f>
        <v>25</v>
      </c>
      <c r="AS11" s="8">
        <f>CEILING(Spider!$Z$7/ IF(Spider!$X$7&lt; 10.8, Table1[[#This Row],[STR]], Table1[[#This Row],[STR]] / (Spider!$X$7 / 10.8)), 1)</f>
        <v>22</v>
      </c>
      <c r="AT11" s="8">
        <f>CEILING('Evolved Spider'!$Z$8/ IF('Evolved Spider'!$X$8&lt; 10.8, Table1[[#This Row],[STR]], Table1[[#This Row],[STR]] / ('Evolved Spider'!$X$8 / 10.8)), 1)</f>
        <v>40</v>
      </c>
      <c r="AU11" s="8">
        <f>CEILING(Arachne!$Z$4/ IF(Arachne!$X$4&lt; 10.8, Table1[[#This Row],[STR]], Table1[[#This Row],[STR]] / (Arachne!$X$4 / 10.8)), 1)</f>
        <v>54</v>
      </c>
      <c r="AV11" s="12">
        <f>CEILING('Earth Elemental'!$Z$6/ IF('Earth Elemental'!$X$6&lt; 10.8, Table1[[#This Row],[STR]], Table1[[#This Row],[STR]] / ('Earth Elemental'!$X$6 / 10.8)), 1)</f>
        <v>45</v>
      </c>
      <c r="AW11" s="12">
        <f>CEILING('Wind Elemental'!$Z$6/ IF('Wind Elemental'!$X$6&lt; 10.8, Table1[[#This Row],[STR]], Table1[[#This Row],[STR]] / ('Wind Elemental'!$X$6 / 10.8)), 1)</f>
        <v>35</v>
      </c>
      <c r="AX11" s="12">
        <f>CEILING('Water Elemental'!$Z$6/ IF('Water Elemental'!$X$6&lt; 10.8, Table1[[#This Row],[STR]], Table1[[#This Row],[STR]] / ('Water Elemental'!$X$6 / 10.8)), 1)</f>
        <v>48</v>
      </c>
      <c r="AY11" s="12">
        <f>CEILING('Fire Elemental'!$Z$4/ IF('Fire Elemental'!$X$4&lt; 10.8, Table1[[#This Row],[STR]], Table1[[#This Row],[STR]] / ('Fire Elemental'!$X$4 / 10.8)), 1)</f>
        <v>78</v>
      </c>
      <c r="AZ11" s="12">
        <f>CEILING(Wyvern!$Z$4/ IF(Wyvern!$X$4&lt; 10.8, Table1[[#This Row],[STR]], Table1[[#This Row],[STR]] / (Wyvern!$X$4 / 10.8)), 1)</f>
        <v>94</v>
      </c>
      <c r="BA11" s="12">
        <f>CEILING('Evolved Wyvern'!$Z$4/ IF('Evolved Wyvern'!$X$4&lt; 10.8, Table1[[#This Row],[STR]], Table1[[#This Row],[STR]] / ('Evolved Wyvern'!$X$4 / 10.8)), 1)</f>
        <v>121</v>
      </c>
      <c r="BB11" s="12">
        <f>CEILING(Dragon!$Z$4/ IF(Dragon!$X$4&lt; 10.8, Table1[[#This Row],[STR]], Table1[[#This Row],[STR]] / (Dragon!$X$4 / 10.8)), 1)</f>
        <v>204</v>
      </c>
    </row>
    <row r="12" spans="1:54" x14ac:dyDescent="0.3">
      <c r="A12" s="1">
        <v>10</v>
      </c>
      <c r="B12" s="1">
        <f>$B$3 + ((Table1[[#This Row],[Level]] / 10) + $B$3 / 8) * Table1[[#This Row],[Level]] + Equipment!$AK$10</f>
        <v>44</v>
      </c>
      <c r="C12" s="1">
        <f xml:space="preserve"> 2*Table1[[#This Row],[INT]]</f>
        <v>48</v>
      </c>
      <c r="D12" s="1">
        <f>$D$3 + ($D$3 / 4) * Table1[[#This Row],[Level]] + Equipment!$AL$10</f>
        <v>24</v>
      </c>
      <c r="E12" s="1">
        <f>$E$3 + ($E$3 / 4) * Table1[[#This Row],[Level]] + Equipment!$AM$10</f>
        <v>20.5</v>
      </c>
      <c r="F12" s="1">
        <f>$F$3 + ($F$3 / 4) * Table1[[#This Row],[Level]] + Equipment!$AN$10</f>
        <v>32</v>
      </c>
      <c r="G12" s="1">
        <f>$G$3 + ($G$3 / 4) * Table1[[#This Row],[Level]] + Equipment!$AO$10</f>
        <v>24</v>
      </c>
      <c r="H12" s="1">
        <f>$H$3 + ($H$3 / 4) * Table1[[#This Row],[Level]] + Equipment!$AP$10</f>
        <v>28.5</v>
      </c>
      <c r="I12" s="34">
        <f xml:space="preserve"> (4 * (Table1[[#This Row],[Level]] ^ 3))/7 + $I$3</f>
        <v>671.42857142857144</v>
      </c>
      <c r="K12" s="8">
        <f>CEILING('Blue Slime'!$B$5/ IF('Blue Slime'!$D$5&lt; 10.8, Table1[[#This Row],[STR]], Table1[[#This Row],[STR]] / ('Blue Slime'!$D$5 / 10.8)), 1)</f>
        <v>1</v>
      </c>
      <c r="L12" s="8">
        <f>CEILING('Green Slime'!$B$5/ IF('Green Slime'!$D$5&lt; 10.8, Table1[[#This Row],[STR]], Table1[[#This Row],[STR]] / ('Green Slime'!$D$5 / 10.8)), 1)</f>
        <v>1</v>
      </c>
      <c r="M12" s="8">
        <f>CEILING(Wolf!$B$6/ IF(Wolf!$D$6&lt; 10.8, Table1[[#This Row],[STR]], Table1[[#This Row],[STR]] / (Wolf!$D$6 / 10.8)), 1)</f>
        <v>3</v>
      </c>
      <c r="N12" s="8">
        <f>CEILING('Horned Wolf'!$B$5/ IF('Horned Wolf'!$D$5&lt; 10.8, Table1[[#This Row],[STR]], Table1[[#This Row],[STR]] / ('Horned Wolf'!$D$5 / 10.8)), 1)</f>
        <v>7</v>
      </c>
      <c r="O12" s="14">
        <f>CEILING(Spider!$B$7/ IF(Spider!$D$7&lt; 10.8, Table1[[#This Row],[STR]], Table1[[#This Row],[STR]] / (Spider!$D$7 / 10.8)), 1)</f>
        <v>6</v>
      </c>
      <c r="P12" s="14">
        <f>CEILING('Evolved Spider'!$B$8/ IF('Evolved Spider'!$D$8&lt; 10.8, Table1[[#This Row],[STR]], Table1[[#This Row],[STR]] / ('Evolved Spider'!$D$8 / 10.8)), 1)</f>
        <v>12</v>
      </c>
      <c r="Q12" s="14">
        <f>CEILING(Arachne!$B$4/ IF(Arachne!$D$4&lt; 10.8, Table1[[#This Row],[STR]], Table1[[#This Row],[STR]] / (Arachne!$D$4 / 10.8)), 1)</f>
        <v>16</v>
      </c>
      <c r="R12" s="12">
        <f>CEILING('Earth Elemental'!$B$6/ IF('Earth Elemental'!$D$6&lt; 10.8, Table1[[#This Row],[STR]], Table1[[#This Row],[STR]] / ('Earth Elemental'!$D$6 / 10.8)), 1)</f>
        <v>16</v>
      </c>
      <c r="S12" s="12">
        <f>CEILING('Wind Elemental'!$B$6/ IF('Wind Elemental'!$D$6&lt; 10.8, Table1[[#This Row],[STR]], Table1[[#This Row],[STR]] / ('Wind Elemental'!$D$6 / 10.8)), 1)</f>
        <v>14</v>
      </c>
      <c r="T12" s="12">
        <f>CEILING('Water Elemental'!$B$6/ IF('Water Elemental'!$D$6&lt; 10.8, Table1[[#This Row],[STR]], Table1[[#This Row],[STR]] / ('Water Elemental'!$D$6 / 10.8)), 1)</f>
        <v>22</v>
      </c>
      <c r="U12" s="12">
        <f>CEILING('Fire Elemental'!$B$4/ IF('Fire Elemental'!$D$4&lt; 10.8, Table1[[#This Row],[STR]], Table1[[#This Row],[STR]] / ('Fire Elemental'!$D$4 / 10.8)), 1)</f>
        <v>28</v>
      </c>
      <c r="V12" s="12">
        <f>CEILING(Wyvern!$B$4/ IF(Wyvern!$D$4&lt; 10.8, Table1[[#This Row],[STR]], Table1[[#This Row],[STR]] / (Wyvern!$D$4 / 10.8)), 1)</f>
        <v>37</v>
      </c>
      <c r="W12" s="12">
        <f>CEILING('Evolved Wyvern'!$B$4/ IF('Evolved Wyvern'!$D$4&lt; 10.8, Table1[[#This Row],[STR]], Table1[[#This Row],[STR]] / ('Evolved Wyvern'!$D$4 / 10.8)), 1)</f>
        <v>51</v>
      </c>
      <c r="X12" s="12">
        <f>CEILING(Dragon!$B$4/ IF(Dragon!$D$4&lt; 10.8, Table1[[#This Row],[STR]], Table1[[#This Row],[STR]] / (Dragon!$D$4 / 10.8)), 1)</f>
        <v>84</v>
      </c>
      <c r="Z12" s="14">
        <f>CEILING('Blue Slime'!$M$5/ IF('Blue Slime'!$O$5&lt; 10.8, Table1[[#This Row],[STR]], Table1[[#This Row],[STR]] / ('Blue Slime'!$O$5 / 10.8)), 1)</f>
        <v>1</v>
      </c>
      <c r="AA12" s="14">
        <f>CEILING('Green Slime'!$M$5/ IF('Green Slime'!$O$5&lt; 10.8, Table1[[#This Row],[STR]], Table1[[#This Row],[STR]] / ('Green Slime'!$O$5 / 10.8)), 1)</f>
        <v>2</v>
      </c>
      <c r="AB12" s="14">
        <f>CEILING(Wolf!$M$6/ IF(Wolf!$O$6&lt; 10.8, Table1[[#This Row],[STR]], Table1[[#This Row],[STR]] / (Wolf!$O$6 / 10.8)), 1)</f>
        <v>5</v>
      </c>
      <c r="AC12" s="14">
        <f>CEILING('Horned Wolf'!$M$5/ IF('Horned Wolf'!$O$5&lt; 10.8, Table1[[#This Row],[STR]], Table1[[#This Row],[STR]] / ('Horned Wolf'!$O$5 / 10.8)), 1)</f>
        <v>14</v>
      </c>
      <c r="AD12" s="8">
        <f>CEILING(Spider!$M$7/ IF(Spider!$O$7&lt; 10.8, Table1[[#This Row],[STR]], Table1[[#This Row],[STR]] / (Spider!$O$7 / 10.8)), 1)</f>
        <v>12</v>
      </c>
      <c r="AE12" s="8">
        <f>CEILING('Evolved Spider'!$M$8/ IF('Evolved Spider'!$O$8&lt; 10.8, Table1[[#This Row],[STR]], Table1[[#This Row],[STR]] / ('Evolved Spider'!$O$8 / 10.8)), 1)</f>
        <v>23</v>
      </c>
      <c r="AF12" s="8">
        <f>CEILING(Arachne!$M$4/ IF(Arachne!$O$4&lt; 10.8, Table1[[#This Row],[STR]], Table1[[#This Row],[STR]] / (Arachne!$O$4 / 10.8)), 1)</f>
        <v>31</v>
      </c>
      <c r="AG12" s="12">
        <f>CEILING('Earth Elemental'!$M$6/ IF('Earth Elemental'!$O$6&lt; 10.8, Table1[[#This Row],[STR]], Table1[[#This Row],[STR]] / ('Earth Elemental'!$O$6 / 10.8)), 1)</f>
        <v>28</v>
      </c>
      <c r="AH12" s="12">
        <f>CEILING('Wind Elemental'!$M$6/ IF('Wind Elemental'!$O$6&lt; 10.8, Table1[[#This Row],[STR]], Table1[[#This Row],[STR]] / ('Wind Elemental'!$O$6 / 10.8)), 1)</f>
        <v>23</v>
      </c>
      <c r="AI12" s="12">
        <f>CEILING('Water Elemental'!$M$6/ IF('Water Elemental'!$O$6&lt; 10.8, Table1[[#This Row],[STR]], Table1[[#This Row],[STR]] / ('Water Elemental'!$O$6 / 10.8)), 1)</f>
        <v>33</v>
      </c>
      <c r="AJ12" s="12">
        <f>CEILING('Fire Elemental'!$M$4/ IF('Fire Elemental'!$O$4&lt; 10.8, Table1[[#This Row],[STR]], Table1[[#This Row],[STR]] / ('Fire Elemental'!$O$4 / 10.8)), 1)</f>
        <v>48</v>
      </c>
      <c r="AK12" s="12">
        <f>CEILING(Wyvern!$M$4/ IF(Wyvern!$O$4&lt; 10.8, Table1[[#This Row],[STR]], Table1[[#This Row],[STR]] / (Wyvern!$O$4 / 10.8)), 1)</f>
        <v>61</v>
      </c>
      <c r="AL12" s="12">
        <f>CEILING('Evolved Wyvern'!$M$4/ IF('Evolved Wyvern'!$O$4&lt; 10.8, Table1[[#This Row],[STR]], Table1[[#This Row],[STR]] / ('Evolved Wyvern'!$O$4 / 10.8)), 1)</f>
        <v>81</v>
      </c>
      <c r="AM12" s="12">
        <f>CEILING(Dragon!$M$4/ IF(Dragon!$O$4&lt; 10.8, Table1[[#This Row],[STR]], Table1[[#This Row],[STR]] / (Dragon!$O$4 / 10.8)), 1)</f>
        <v>135</v>
      </c>
      <c r="AO12" s="14">
        <f>CEILING('Blue Slime'!$Z$5/ IF('Blue Slime'!$X$5&lt; 10.8, Table1[[#This Row],[STR]], Table1[[#This Row],[STR]] / ('Blue Slime'!$X$5 / 10.8)), 1)</f>
        <v>2</v>
      </c>
      <c r="AP12" s="14">
        <f>CEILING('Green Slime'!$Z$5/ IF('Green Slime'!$X$5&lt; 10.8, Table1[[#This Row],[STR]], Table1[[#This Row],[STR]] / ('Green Slime'!$X$5 / 10.8)), 1)</f>
        <v>3</v>
      </c>
      <c r="AQ12" s="14">
        <f>CEILING(Wolf!$Z$6/ IF(Wolf!$X$6&lt; 10.8, Table1[[#This Row],[STR]], Table1[[#This Row],[STR]] / (Wolf!$X$6 / 10.8)), 1)</f>
        <v>9</v>
      </c>
      <c r="AR12" s="14">
        <f>CEILING('Horned Wolf'!$Z$5/ IF('Horned Wolf'!$X$5&lt; 10.8, Table1[[#This Row],[STR]], Table1[[#This Row],[STR]] / ('Horned Wolf'!$X$5 / 10.8)), 1)</f>
        <v>24</v>
      </c>
      <c r="AS12" s="8">
        <f>CEILING(Spider!$Z$7/ IF(Spider!$X$7&lt; 10.8, Table1[[#This Row],[STR]], Table1[[#This Row],[STR]] / (Spider!$X$7 / 10.8)), 1)</f>
        <v>21</v>
      </c>
      <c r="AT12" s="8">
        <f>CEILING('Evolved Spider'!$Z$8/ IF('Evolved Spider'!$X$8&lt; 10.8, Table1[[#This Row],[STR]], Table1[[#This Row],[STR]] / ('Evolved Spider'!$X$8 / 10.8)), 1)</f>
        <v>37</v>
      </c>
      <c r="AU12" s="8">
        <f>CEILING(Arachne!$Z$4/ IF(Arachne!$X$4&lt; 10.8, Table1[[#This Row],[STR]], Table1[[#This Row],[STR]] / (Arachne!$X$4 / 10.8)), 1)</f>
        <v>50</v>
      </c>
      <c r="AV12" s="12">
        <f>CEILING('Earth Elemental'!$Z$6/ IF('Earth Elemental'!$X$6&lt; 10.8, Table1[[#This Row],[STR]], Table1[[#This Row],[STR]] / ('Earth Elemental'!$X$6 / 10.8)), 1)</f>
        <v>42</v>
      </c>
      <c r="AW12" s="12">
        <f>CEILING('Wind Elemental'!$Z$6/ IF('Wind Elemental'!$X$6&lt; 10.8, Table1[[#This Row],[STR]], Table1[[#This Row],[STR]] / ('Wind Elemental'!$X$6 / 10.8)), 1)</f>
        <v>33</v>
      </c>
      <c r="AX12" s="12">
        <f>CEILING('Water Elemental'!$Z$6/ IF('Water Elemental'!$X$6&lt; 10.8, Table1[[#This Row],[STR]], Table1[[#This Row],[STR]] / ('Water Elemental'!$X$6 / 10.8)), 1)</f>
        <v>45</v>
      </c>
      <c r="AY12" s="12">
        <f>CEILING('Fire Elemental'!$Z$4/ IF('Fire Elemental'!$X$4&lt; 10.8, Table1[[#This Row],[STR]], Table1[[#This Row],[STR]] / ('Fire Elemental'!$X$4 / 10.8)), 1)</f>
        <v>73</v>
      </c>
      <c r="AZ12" s="12">
        <f>CEILING(Wyvern!$Z$4/ IF(Wyvern!$X$4&lt; 10.8, Table1[[#This Row],[STR]], Table1[[#This Row],[STR]] / (Wyvern!$X$4 / 10.8)), 1)</f>
        <v>89</v>
      </c>
      <c r="BA12" s="12">
        <f>CEILING('Evolved Wyvern'!$Z$4/ IF('Evolved Wyvern'!$X$4&lt; 10.8, Table1[[#This Row],[STR]], Table1[[#This Row],[STR]] / ('Evolved Wyvern'!$X$4 / 10.8)), 1)</f>
        <v>113</v>
      </c>
      <c r="BB12" s="12">
        <f>CEILING(Dragon!$Z$4/ IF(Dragon!$X$4&lt; 10.8, Table1[[#This Row],[STR]], Table1[[#This Row],[STR]] / (Dragon!$X$4 / 10.8)), 1)</f>
        <v>191</v>
      </c>
    </row>
    <row r="13" spans="1:54" x14ac:dyDescent="0.3">
      <c r="A13" s="1">
        <v>11</v>
      </c>
      <c r="B13" s="1">
        <f>$B$3 + ((Table1[[#This Row],[Level]] / 10) + $B$3 / 8) * Table1[[#This Row],[Level]] + Equipment!$AK$10</f>
        <v>47.6</v>
      </c>
      <c r="C13" s="1">
        <f xml:space="preserve"> 2*Table1[[#This Row],[INT]]</f>
        <v>51</v>
      </c>
      <c r="D13" s="1">
        <f>$D$3 + ($D$3 / 4) * Table1[[#This Row],[Level]] + Equipment!$AL$10</f>
        <v>25.5</v>
      </c>
      <c r="E13" s="1">
        <f>$E$3 + ($E$3 / 4) * Table1[[#This Row],[Level]] + Equipment!$AM$10</f>
        <v>21.75</v>
      </c>
      <c r="F13" s="1">
        <f>$F$3 + ($F$3 / 4) * Table1[[#This Row],[Level]] + Equipment!$AN$10</f>
        <v>34</v>
      </c>
      <c r="G13" s="1">
        <f>$G$3 + ($G$3 / 4) * Table1[[#This Row],[Level]] + Equipment!$AO$10</f>
        <v>25.5</v>
      </c>
      <c r="H13" s="1">
        <f>$H$3 + ($H$3 / 4) * Table1[[#This Row],[Level]] + Equipment!$AP$10</f>
        <v>30.25</v>
      </c>
      <c r="I13" s="34">
        <f xml:space="preserve"> (4 * (Table1[[#This Row],[Level]] ^ 3))/7 + $I$3</f>
        <v>860.57142857142856</v>
      </c>
      <c r="K13" s="8">
        <f>CEILING('Blue Slime'!$B$5/ IF('Blue Slime'!$D$5&lt; 10.8, Table1[[#This Row],[STR]], Table1[[#This Row],[STR]] / ('Blue Slime'!$D$5 / 10.8)), 1)</f>
        <v>1</v>
      </c>
      <c r="L13" s="8">
        <f>CEILING('Green Slime'!$B$5/ IF('Green Slime'!$D$5&lt; 10.8, Table1[[#This Row],[STR]], Table1[[#This Row],[STR]] / ('Green Slime'!$D$5 / 10.8)), 1)</f>
        <v>1</v>
      </c>
      <c r="M13" s="8">
        <f>CEILING(Wolf!$B$6/ IF(Wolf!$D$6&lt; 10.8, Table1[[#This Row],[STR]], Table1[[#This Row],[STR]] / (Wolf!$D$6 / 10.8)), 1)</f>
        <v>3</v>
      </c>
      <c r="N13" s="8">
        <f>CEILING('Horned Wolf'!$B$5/ IF('Horned Wolf'!$D$5&lt; 10.8, Table1[[#This Row],[STR]], Table1[[#This Row],[STR]] / ('Horned Wolf'!$D$5 / 10.8)), 1)</f>
        <v>6</v>
      </c>
      <c r="O13" s="14">
        <f>CEILING(Spider!$B$7/ IF(Spider!$D$7&lt; 10.8, Table1[[#This Row],[STR]], Table1[[#This Row],[STR]] / (Spider!$D$7 / 10.8)), 1)</f>
        <v>6</v>
      </c>
      <c r="P13" s="14">
        <f>CEILING('Evolved Spider'!$B$8/ IF('Evolved Spider'!$D$8&lt; 10.8, Table1[[#This Row],[STR]], Table1[[#This Row],[STR]] / ('Evolved Spider'!$D$8 / 10.8)), 1)</f>
        <v>11</v>
      </c>
      <c r="Q13" s="14">
        <f>CEILING(Arachne!$B$4/ IF(Arachne!$D$4&lt; 10.8, Table1[[#This Row],[STR]], Table1[[#This Row],[STR]] / (Arachne!$D$4 / 10.8)), 1)</f>
        <v>15</v>
      </c>
      <c r="R13" s="12">
        <f>CEILING('Earth Elemental'!$B$6/ IF('Earth Elemental'!$D$6&lt; 10.8, Table1[[#This Row],[STR]], Table1[[#This Row],[STR]] / ('Earth Elemental'!$D$6 / 10.8)), 1)</f>
        <v>15</v>
      </c>
      <c r="S13" s="12">
        <f>CEILING('Wind Elemental'!$B$6/ IF('Wind Elemental'!$D$6&lt; 10.8, Table1[[#This Row],[STR]], Table1[[#This Row],[STR]] / ('Wind Elemental'!$D$6 / 10.8)), 1)</f>
        <v>14</v>
      </c>
      <c r="T13" s="12">
        <f>CEILING('Water Elemental'!$B$6/ IF('Water Elemental'!$D$6&lt; 10.8, Table1[[#This Row],[STR]], Table1[[#This Row],[STR]] / ('Water Elemental'!$D$6 / 10.8)), 1)</f>
        <v>20</v>
      </c>
      <c r="U13" s="12">
        <f>CEILING('Fire Elemental'!$B$4/ IF('Fire Elemental'!$D$4&lt; 10.8, Table1[[#This Row],[STR]], Table1[[#This Row],[STR]] / ('Fire Elemental'!$D$4 / 10.8)), 1)</f>
        <v>26</v>
      </c>
      <c r="V13" s="12">
        <f>CEILING(Wyvern!$B$4/ IF(Wyvern!$D$4&lt; 10.8, Table1[[#This Row],[STR]], Table1[[#This Row],[STR]] / (Wyvern!$D$4 / 10.8)), 1)</f>
        <v>35</v>
      </c>
      <c r="W13" s="12">
        <f>CEILING('Evolved Wyvern'!$B$4/ IF('Evolved Wyvern'!$D$4&lt; 10.8, Table1[[#This Row],[STR]], Table1[[#This Row],[STR]] / ('Evolved Wyvern'!$D$4 / 10.8)), 1)</f>
        <v>48</v>
      </c>
      <c r="X13" s="12">
        <f>CEILING(Dragon!$B$4/ IF(Dragon!$D$4&lt; 10.8, Table1[[#This Row],[STR]], Table1[[#This Row],[STR]] / (Dragon!$D$4 / 10.8)), 1)</f>
        <v>79</v>
      </c>
      <c r="Z13" s="8">
        <f>CEILING('Blue Slime'!$M$5/ IF('Blue Slime'!$O$5&lt; 10.8, Table1[[#This Row],[STR]], Table1[[#This Row],[STR]] / ('Blue Slime'!$O$5 / 10.8)), 1)</f>
        <v>1</v>
      </c>
      <c r="AA13" s="8">
        <f>CEILING('Green Slime'!$M$5/ IF('Green Slime'!$O$5&lt; 10.8, Table1[[#This Row],[STR]], Table1[[#This Row],[STR]] / ('Green Slime'!$O$5 / 10.8)), 1)</f>
        <v>2</v>
      </c>
      <c r="AB13" s="8">
        <f>CEILING(Wolf!$M$6/ IF(Wolf!$O$6&lt; 10.8, Table1[[#This Row],[STR]], Table1[[#This Row],[STR]] / (Wolf!$O$6 / 10.8)), 1)</f>
        <v>5</v>
      </c>
      <c r="AC13" s="8">
        <f>CEILING('Horned Wolf'!$M$5/ IF('Horned Wolf'!$O$5&lt; 10.8, Table1[[#This Row],[STR]], Table1[[#This Row],[STR]] / ('Horned Wolf'!$O$5 / 10.8)), 1)</f>
        <v>13</v>
      </c>
      <c r="AD13" s="14">
        <f>CEILING(Spider!$M$7/ IF(Spider!$O$7&lt; 10.8, Table1[[#This Row],[STR]], Table1[[#This Row],[STR]] / (Spider!$O$7 / 10.8)), 1)</f>
        <v>12</v>
      </c>
      <c r="AE13" s="14">
        <f>CEILING('Evolved Spider'!$M$8/ IF('Evolved Spider'!$O$8&lt; 10.8, Table1[[#This Row],[STR]], Table1[[#This Row],[STR]] / ('Evolved Spider'!$O$8 / 10.8)), 1)</f>
        <v>22</v>
      </c>
      <c r="AF13" s="14">
        <f>CEILING(Arachne!$M$4/ IF(Arachne!$O$4&lt; 10.8, Table1[[#This Row],[STR]], Table1[[#This Row],[STR]] / (Arachne!$O$4 / 10.8)), 1)</f>
        <v>29</v>
      </c>
      <c r="AG13" s="12">
        <f>CEILING('Earth Elemental'!$M$6/ IF('Earth Elemental'!$O$6&lt; 10.8, Table1[[#This Row],[STR]], Table1[[#This Row],[STR]] / ('Earth Elemental'!$O$6 / 10.8)), 1)</f>
        <v>26</v>
      </c>
      <c r="AH13" s="12">
        <f>CEILING('Wind Elemental'!$M$6/ IF('Wind Elemental'!$O$6&lt; 10.8, Table1[[#This Row],[STR]], Table1[[#This Row],[STR]] / ('Wind Elemental'!$O$6 / 10.8)), 1)</f>
        <v>22</v>
      </c>
      <c r="AI13" s="12">
        <f>CEILING('Water Elemental'!$M$6/ IF('Water Elemental'!$O$6&lt; 10.8, Table1[[#This Row],[STR]], Table1[[#This Row],[STR]] / ('Water Elemental'!$O$6 / 10.8)), 1)</f>
        <v>31</v>
      </c>
      <c r="AJ13" s="12">
        <f>CEILING('Fire Elemental'!$M$4/ IF('Fire Elemental'!$O$4&lt; 10.8, Table1[[#This Row],[STR]], Table1[[#This Row],[STR]] / ('Fire Elemental'!$O$4 / 10.8)), 1)</f>
        <v>45</v>
      </c>
      <c r="AK13" s="12">
        <f>CEILING(Wyvern!$M$4/ IF(Wyvern!$O$4&lt; 10.8, Table1[[#This Row],[STR]], Table1[[#This Row],[STR]] / (Wyvern!$O$4 / 10.8)), 1)</f>
        <v>57</v>
      </c>
      <c r="AL13" s="12">
        <f>CEILING('Evolved Wyvern'!$M$4/ IF('Evolved Wyvern'!$O$4&lt; 10.8, Table1[[#This Row],[STR]], Table1[[#This Row],[STR]] / ('Evolved Wyvern'!$O$4 / 10.8)), 1)</f>
        <v>76</v>
      </c>
      <c r="AM13" s="12">
        <f>CEILING(Dragon!$M$4/ IF(Dragon!$O$4&lt; 10.8, Table1[[#This Row],[STR]], Table1[[#This Row],[STR]] / (Dragon!$O$4 / 10.8)), 1)</f>
        <v>127</v>
      </c>
      <c r="AO13" s="8">
        <f>CEILING('Blue Slime'!$Z$5/ IF('Blue Slime'!$X$5&lt; 10.8, Table1[[#This Row],[STR]], Table1[[#This Row],[STR]] / ('Blue Slime'!$X$5 / 10.8)), 1)</f>
        <v>2</v>
      </c>
      <c r="AP13" s="8">
        <f>CEILING('Green Slime'!$Z$5/ IF('Green Slime'!$X$5&lt; 10.8, Table1[[#This Row],[STR]], Table1[[#This Row],[STR]] / ('Green Slime'!$X$5 / 10.8)), 1)</f>
        <v>3</v>
      </c>
      <c r="AQ13" s="8">
        <f>CEILING(Wolf!$Z$6/ IF(Wolf!$X$6&lt; 10.8, Table1[[#This Row],[STR]], Table1[[#This Row],[STR]] / (Wolf!$X$6 / 10.8)), 1)</f>
        <v>8</v>
      </c>
      <c r="AR13" s="8">
        <f>CEILING('Horned Wolf'!$Z$5/ IF('Horned Wolf'!$X$5&lt; 10.8, Table1[[#This Row],[STR]], Table1[[#This Row],[STR]] / ('Horned Wolf'!$X$5 / 10.8)), 1)</f>
        <v>22</v>
      </c>
      <c r="AS13" s="13">
        <f>CEILING(Spider!$Z$7/ IF(Spider!$X$7&lt; 10.8, Table1[[#This Row],[STR]], Table1[[#This Row],[STR]] / (Spider!$X$7 / 10.8)), 1)</f>
        <v>20</v>
      </c>
      <c r="AT13" s="13">
        <f>CEILING('Evolved Spider'!$Z$8/ IF('Evolved Spider'!$X$8&lt; 10.8, Table1[[#This Row],[STR]], Table1[[#This Row],[STR]] / ('Evolved Spider'!$X$8 / 10.8)), 1)</f>
        <v>35</v>
      </c>
      <c r="AU13" s="13">
        <f>CEILING(Arachne!$Z$4/ IF(Arachne!$X$4&lt; 10.8, Table1[[#This Row],[STR]], Table1[[#This Row],[STR]] / (Arachne!$X$4 / 10.8)), 1)</f>
        <v>48</v>
      </c>
      <c r="AV13" s="12">
        <f>CEILING('Earth Elemental'!$Z$6/ IF('Earth Elemental'!$X$6&lt; 10.8, Table1[[#This Row],[STR]], Table1[[#This Row],[STR]] / ('Earth Elemental'!$X$6 / 10.8)), 1)</f>
        <v>40</v>
      </c>
      <c r="AW13" s="12">
        <f>CEILING('Wind Elemental'!$Z$6/ IF('Wind Elemental'!$X$6&lt; 10.8, Table1[[#This Row],[STR]], Table1[[#This Row],[STR]] / ('Wind Elemental'!$X$6 / 10.8)), 1)</f>
        <v>31</v>
      </c>
      <c r="AX13" s="12">
        <f>CEILING('Water Elemental'!$Z$6/ IF('Water Elemental'!$X$6&lt; 10.8, Table1[[#This Row],[STR]], Table1[[#This Row],[STR]] / ('Water Elemental'!$X$6 / 10.8)), 1)</f>
        <v>42</v>
      </c>
      <c r="AY13" s="12">
        <f>CEILING('Fire Elemental'!$Z$4/ IF('Fire Elemental'!$X$4&lt; 10.8, Table1[[#This Row],[STR]], Table1[[#This Row],[STR]] / ('Fire Elemental'!$X$4 / 10.8)), 1)</f>
        <v>69</v>
      </c>
      <c r="AZ13" s="12">
        <f>CEILING(Wyvern!$Z$4/ IF(Wyvern!$X$4&lt; 10.8, Table1[[#This Row],[STR]], Table1[[#This Row],[STR]] / (Wyvern!$X$4 / 10.8)), 1)</f>
        <v>83</v>
      </c>
      <c r="BA13" s="12">
        <f>CEILING('Evolved Wyvern'!$Z$4/ IF('Evolved Wyvern'!$X$4&lt; 10.8, Table1[[#This Row],[STR]], Table1[[#This Row],[STR]] / ('Evolved Wyvern'!$X$4 / 10.8)), 1)</f>
        <v>107</v>
      </c>
      <c r="BB13" s="12">
        <f>CEILING(Dragon!$Z$4/ IF(Dragon!$X$4&lt; 10.8, Table1[[#This Row],[STR]], Table1[[#This Row],[STR]] / (Dragon!$X$4 / 10.8)), 1)</f>
        <v>180</v>
      </c>
    </row>
    <row r="14" spans="1:54" x14ac:dyDescent="0.3">
      <c r="A14" s="1">
        <v>12</v>
      </c>
      <c r="B14" s="1">
        <f>$B$3 + ((Table1[[#This Row],[Level]] / 10) + $B$3 / 8) * Table1[[#This Row],[Level]] + Equipment!$AK$10</f>
        <v>51.400000000000006</v>
      </c>
      <c r="C14" s="1">
        <f xml:space="preserve"> 2*Table1[[#This Row],[INT]]</f>
        <v>54</v>
      </c>
      <c r="D14" s="1">
        <f>$D$3 + ($D$3 / 4) * Table1[[#This Row],[Level]] + Equipment!$AL$10</f>
        <v>27</v>
      </c>
      <c r="E14" s="1">
        <f>$E$3 + ($E$3 / 4) * Table1[[#This Row],[Level]] + Equipment!$AM$10</f>
        <v>23</v>
      </c>
      <c r="F14" s="1">
        <f>$F$3 + ($F$3 / 4) * Table1[[#This Row],[Level]] + Equipment!$AN$10</f>
        <v>36</v>
      </c>
      <c r="G14" s="1">
        <f>$G$3 + ($G$3 / 4) * Table1[[#This Row],[Level]] + Equipment!$AO$10</f>
        <v>27</v>
      </c>
      <c r="H14" s="1">
        <f>$H$3 + ($H$3 / 4) * Table1[[#This Row],[Level]] + Equipment!$AP$10</f>
        <v>32</v>
      </c>
      <c r="I14" s="34">
        <f xml:space="preserve"> (4 * (Table1[[#This Row],[Level]] ^ 3))/7 + $I$3</f>
        <v>1087.4285714285716</v>
      </c>
      <c r="K14" s="8">
        <f>CEILING('Blue Slime'!$B$5/ IF('Blue Slime'!$D$5&lt; 10.8, Table1[[#This Row],[STR]], Table1[[#This Row],[STR]] / ('Blue Slime'!$D$5 / 10.8)), 1)</f>
        <v>1</v>
      </c>
      <c r="L14" s="8">
        <f>CEILING('Green Slime'!$B$5/ IF('Green Slime'!$D$5&lt; 10.8, Table1[[#This Row],[STR]], Table1[[#This Row],[STR]] / ('Green Slime'!$D$5 / 10.8)), 1)</f>
        <v>1</v>
      </c>
      <c r="M14" s="8">
        <f>CEILING(Wolf!$B$6/ IF(Wolf!$D$6&lt; 10.8, Table1[[#This Row],[STR]], Table1[[#This Row],[STR]] / (Wolf!$D$6 / 10.8)), 1)</f>
        <v>2</v>
      </c>
      <c r="N14" s="8">
        <f>CEILING('Horned Wolf'!$B$5/ IF('Horned Wolf'!$D$5&lt; 10.8, Table1[[#This Row],[STR]], Table1[[#This Row],[STR]] / ('Horned Wolf'!$D$5 / 10.8)), 1)</f>
        <v>6</v>
      </c>
      <c r="O14" s="14">
        <f>CEILING(Spider!$B$7/ IF(Spider!$D$7&lt; 10.8, Table1[[#This Row],[STR]], Table1[[#This Row],[STR]] / (Spider!$D$7 / 10.8)), 1)</f>
        <v>6</v>
      </c>
      <c r="P14" s="14">
        <f>CEILING('Evolved Spider'!$B$8/ IF('Evolved Spider'!$D$8&lt; 10.8, Table1[[#This Row],[STR]], Table1[[#This Row],[STR]] / ('Evolved Spider'!$D$8 / 10.8)), 1)</f>
        <v>11</v>
      </c>
      <c r="Q14" s="14">
        <f>CEILING(Arachne!$B$4/ IF(Arachne!$D$4&lt; 10.8, Table1[[#This Row],[STR]], Table1[[#This Row],[STR]] / (Arachne!$D$4 / 10.8)), 1)</f>
        <v>14</v>
      </c>
      <c r="R14" s="12">
        <f>CEILING('Earth Elemental'!$B$6/ IF('Earth Elemental'!$D$6&lt; 10.8, Table1[[#This Row],[STR]], Table1[[#This Row],[STR]] / ('Earth Elemental'!$D$6 / 10.8)), 1)</f>
        <v>14</v>
      </c>
      <c r="S14" s="12">
        <f>CEILING('Wind Elemental'!$B$6/ IF('Wind Elemental'!$D$6&lt; 10.8, Table1[[#This Row],[STR]], Table1[[#This Row],[STR]] / ('Wind Elemental'!$D$6 / 10.8)), 1)</f>
        <v>13</v>
      </c>
      <c r="T14" s="12">
        <f>CEILING('Water Elemental'!$B$6/ IF('Water Elemental'!$D$6&lt; 10.8, Table1[[#This Row],[STR]], Table1[[#This Row],[STR]] / ('Water Elemental'!$D$6 / 10.8)), 1)</f>
        <v>19</v>
      </c>
      <c r="U14" s="12">
        <f>CEILING('Fire Elemental'!$B$4/ IF('Fire Elemental'!$D$4&lt; 10.8, Table1[[#This Row],[STR]], Table1[[#This Row],[STR]] / ('Fire Elemental'!$D$4 / 10.8)), 1)</f>
        <v>25</v>
      </c>
      <c r="V14" s="12">
        <f>CEILING(Wyvern!$B$4/ IF(Wyvern!$D$4&lt; 10.8, Table1[[#This Row],[STR]], Table1[[#This Row],[STR]] / (Wyvern!$D$4 / 10.8)), 1)</f>
        <v>33</v>
      </c>
      <c r="W14" s="12">
        <f>CEILING('Evolved Wyvern'!$B$4/ IF('Evolved Wyvern'!$D$4&lt; 10.8, Table1[[#This Row],[STR]], Table1[[#This Row],[STR]] / ('Evolved Wyvern'!$D$4 / 10.8)), 1)</f>
        <v>46</v>
      </c>
      <c r="X14" s="12">
        <f>CEILING(Dragon!$B$4/ IF(Dragon!$D$4&lt; 10.8, Table1[[#This Row],[STR]], Table1[[#This Row],[STR]] / (Dragon!$D$4 / 10.8)), 1)</f>
        <v>75</v>
      </c>
      <c r="Z14" s="8">
        <f>CEILING('Blue Slime'!$M$5/ IF('Blue Slime'!$O$5&lt; 10.8, Table1[[#This Row],[STR]], Table1[[#This Row],[STR]] / ('Blue Slime'!$O$5 / 10.8)), 1)</f>
        <v>1</v>
      </c>
      <c r="AA14" s="8">
        <f>CEILING('Green Slime'!$M$5/ IF('Green Slime'!$O$5&lt; 10.8, Table1[[#This Row],[STR]], Table1[[#This Row],[STR]] / ('Green Slime'!$O$5 / 10.8)), 1)</f>
        <v>2</v>
      </c>
      <c r="AB14" s="8">
        <f>CEILING(Wolf!$M$6/ IF(Wolf!$O$6&lt; 10.8, Table1[[#This Row],[STR]], Table1[[#This Row],[STR]] / (Wolf!$O$6 / 10.8)), 1)</f>
        <v>5</v>
      </c>
      <c r="AC14" s="8">
        <f>CEILING('Horned Wolf'!$M$5/ IF('Horned Wolf'!$O$5&lt; 10.8, Table1[[#This Row],[STR]], Table1[[#This Row],[STR]] / ('Horned Wolf'!$O$5 / 10.8)), 1)</f>
        <v>12</v>
      </c>
      <c r="AD14" s="14">
        <f>CEILING(Spider!$M$7/ IF(Spider!$O$7&lt; 10.8, Table1[[#This Row],[STR]], Table1[[#This Row],[STR]] / (Spider!$O$7 / 10.8)), 1)</f>
        <v>11</v>
      </c>
      <c r="AE14" s="14">
        <f>CEILING('Evolved Spider'!$M$8/ IF('Evolved Spider'!$O$8&lt; 10.8, Table1[[#This Row],[STR]], Table1[[#This Row],[STR]] / ('Evolved Spider'!$O$8 / 10.8)), 1)</f>
        <v>20</v>
      </c>
      <c r="AF14" s="14">
        <f>CEILING(Arachne!$M$4/ IF(Arachne!$O$4&lt; 10.8, Table1[[#This Row],[STR]], Table1[[#This Row],[STR]] / (Arachne!$O$4 / 10.8)), 1)</f>
        <v>27</v>
      </c>
      <c r="AG14" s="12">
        <f>CEILING('Earth Elemental'!$M$6/ IF('Earth Elemental'!$O$6&lt; 10.8, Table1[[#This Row],[STR]], Table1[[#This Row],[STR]] / ('Earth Elemental'!$O$6 / 10.8)), 1)</f>
        <v>25</v>
      </c>
      <c r="AH14" s="12">
        <f>CEILING('Wind Elemental'!$M$6/ IF('Wind Elemental'!$O$6&lt; 10.8, Table1[[#This Row],[STR]], Table1[[#This Row],[STR]] / ('Wind Elemental'!$O$6 / 10.8)), 1)</f>
        <v>21</v>
      </c>
      <c r="AI14" s="12">
        <f>CEILING('Water Elemental'!$M$6/ IF('Water Elemental'!$O$6&lt; 10.8, Table1[[#This Row],[STR]], Table1[[#This Row],[STR]] / ('Water Elemental'!$O$6 / 10.8)), 1)</f>
        <v>29</v>
      </c>
      <c r="AJ14" s="12">
        <f>CEILING('Fire Elemental'!$M$4/ IF('Fire Elemental'!$O$4&lt; 10.8, Table1[[#This Row],[STR]], Table1[[#This Row],[STR]] / ('Fire Elemental'!$O$4 / 10.8)), 1)</f>
        <v>43</v>
      </c>
      <c r="AK14" s="12">
        <f>CEILING(Wyvern!$M$4/ IF(Wyvern!$O$4&lt; 10.8, Table1[[#This Row],[STR]], Table1[[#This Row],[STR]] / (Wyvern!$O$4 / 10.8)), 1)</f>
        <v>54</v>
      </c>
      <c r="AL14" s="12">
        <f>CEILING('Evolved Wyvern'!$M$4/ IF('Evolved Wyvern'!$O$4&lt; 10.8, Table1[[#This Row],[STR]], Table1[[#This Row],[STR]] / ('Evolved Wyvern'!$O$4 / 10.8)), 1)</f>
        <v>72</v>
      </c>
      <c r="AM14" s="12">
        <f>CEILING(Dragon!$M$4/ IF(Dragon!$O$4&lt; 10.8, Table1[[#This Row],[STR]], Table1[[#This Row],[STR]] / (Dragon!$O$4 / 10.8)), 1)</f>
        <v>120</v>
      </c>
      <c r="AO14" s="8">
        <f>CEILING('Blue Slime'!$Z$5/ IF('Blue Slime'!$X$5&lt; 10.8, Table1[[#This Row],[STR]], Table1[[#This Row],[STR]] / ('Blue Slime'!$X$5 / 10.8)), 1)</f>
        <v>2</v>
      </c>
      <c r="AP14" s="8">
        <f>CEILING('Green Slime'!$Z$5/ IF('Green Slime'!$X$5&lt; 10.8, Table1[[#This Row],[STR]], Table1[[#This Row],[STR]] / ('Green Slime'!$X$5 / 10.8)), 1)</f>
        <v>3</v>
      </c>
      <c r="AQ14" s="8">
        <f>CEILING(Wolf!$Z$6/ IF(Wolf!$X$6&lt; 10.8, Table1[[#This Row],[STR]], Table1[[#This Row],[STR]] / (Wolf!$X$6 / 10.8)), 1)</f>
        <v>8</v>
      </c>
      <c r="AR14" s="8">
        <f>CEILING('Horned Wolf'!$Z$5/ IF('Horned Wolf'!$X$5&lt; 10.8, Table1[[#This Row],[STR]], Table1[[#This Row],[STR]] / ('Horned Wolf'!$X$5 / 10.8)), 1)</f>
        <v>21</v>
      </c>
      <c r="AS14" s="13">
        <f>CEILING(Spider!$Z$7/ IF(Spider!$X$7&lt; 10.8, Table1[[#This Row],[STR]], Table1[[#This Row],[STR]] / (Spider!$X$7 / 10.8)), 1)</f>
        <v>18</v>
      </c>
      <c r="AT14" s="13">
        <f>CEILING('Evolved Spider'!$Z$8/ IF('Evolved Spider'!$X$8&lt; 10.8, Table1[[#This Row],[STR]], Table1[[#This Row],[STR]] / ('Evolved Spider'!$X$8 / 10.8)), 1)</f>
        <v>33</v>
      </c>
      <c r="AU14" s="13">
        <f>CEILING(Arachne!$Z$4/ IF(Arachne!$X$4&lt; 10.8, Table1[[#This Row],[STR]], Table1[[#This Row],[STR]] / (Arachne!$X$4 / 10.8)), 1)</f>
        <v>45</v>
      </c>
      <c r="AV14" s="12">
        <f>CEILING('Earth Elemental'!$Z$6/ IF('Earth Elemental'!$X$6&lt; 10.8, Table1[[#This Row],[STR]], Table1[[#This Row],[STR]] / ('Earth Elemental'!$X$6 / 10.8)), 1)</f>
        <v>38</v>
      </c>
      <c r="AW14" s="12">
        <f>CEILING('Wind Elemental'!$Z$6/ IF('Wind Elemental'!$X$6&lt; 10.8, Table1[[#This Row],[STR]], Table1[[#This Row],[STR]] / ('Wind Elemental'!$X$6 / 10.8)), 1)</f>
        <v>29</v>
      </c>
      <c r="AX14" s="12">
        <f>CEILING('Water Elemental'!$Z$6/ IF('Water Elemental'!$X$6&lt; 10.8, Table1[[#This Row],[STR]], Table1[[#This Row],[STR]] / ('Water Elemental'!$X$6 / 10.8)), 1)</f>
        <v>40</v>
      </c>
      <c r="AY14" s="12">
        <f>CEILING('Fire Elemental'!$Z$4/ IF('Fire Elemental'!$X$4&lt; 10.8, Table1[[#This Row],[STR]], Table1[[#This Row],[STR]] / ('Fire Elemental'!$X$4 / 10.8)), 1)</f>
        <v>65</v>
      </c>
      <c r="AZ14" s="12">
        <f>CEILING(Wyvern!$Z$4/ IF(Wyvern!$X$4&lt; 10.8, Table1[[#This Row],[STR]], Table1[[#This Row],[STR]] / (Wyvern!$X$4 / 10.8)), 1)</f>
        <v>79</v>
      </c>
      <c r="BA14" s="12">
        <f>CEILING('Evolved Wyvern'!$Z$4/ IF('Evolved Wyvern'!$X$4&lt; 10.8, Table1[[#This Row],[STR]], Table1[[#This Row],[STR]] / ('Evolved Wyvern'!$X$4 / 10.8)), 1)</f>
        <v>101</v>
      </c>
      <c r="BB14" s="12">
        <f>CEILING(Dragon!$Z$4/ IF(Dragon!$X$4&lt; 10.8, Table1[[#This Row],[STR]], Table1[[#This Row],[STR]] / (Dragon!$X$4 / 10.8)), 1)</f>
        <v>170</v>
      </c>
    </row>
    <row r="15" spans="1:54" x14ac:dyDescent="0.3">
      <c r="A15" s="1">
        <v>13</v>
      </c>
      <c r="B15" s="1">
        <f>$B$3 + ((Table1[[#This Row],[Level]] / 10) + $B$3 / 8) * Table1[[#This Row],[Level]] + Equipment!$AK$10</f>
        <v>55.4</v>
      </c>
      <c r="C15" s="1">
        <f xml:space="preserve"> 2*Table1[[#This Row],[INT]]</f>
        <v>57</v>
      </c>
      <c r="D15" s="1">
        <f>$D$3 + ($D$3 / 4) * Table1[[#This Row],[Level]] + Equipment!$AL$10</f>
        <v>28.5</v>
      </c>
      <c r="E15" s="1">
        <f>$E$3 + ($E$3 / 4) * Table1[[#This Row],[Level]] + Equipment!$AM$10</f>
        <v>24.25</v>
      </c>
      <c r="F15" s="1">
        <f>$F$3 + ($F$3 / 4) * Table1[[#This Row],[Level]] + Equipment!$AN$10</f>
        <v>38</v>
      </c>
      <c r="G15" s="1">
        <f>$G$3 + ($G$3 / 4) * Table1[[#This Row],[Level]] + Equipment!$AO$10</f>
        <v>28.5</v>
      </c>
      <c r="H15" s="1">
        <f>$H$3 + ($H$3 / 4) * Table1[[#This Row],[Level]] + Equipment!$AP$10</f>
        <v>33.75</v>
      </c>
      <c r="I15" s="34">
        <f xml:space="preserve"> (4 * (Table1[[#This Row],[Level]] ^ 3))/7 + $I$3</f>
        <v>1355.4285714285713</v>
      </c>
      <c r="K15" s="8">
        <f>CEILING('Blue Slime'!$B$5/ IF('Blue Slime'!$D$5&lt; 10.8, Table1[[#This Row],[STR]], Table1[[#This Row],[STR]] / ('Blue Slime'!$D$5 / 10.8)), 1)</f>
        <v>1</v>
      </c>
      <c r="L15" s="8">
        <f>CEILING('Green Slime'!$B$5/ IF('Green Slime'!$D$5&lt; 10.8, Table1[[#This Row],[STR]], Table1[[#This Row],[STR]] / ('Green Slime'!$D$5 / 10.8)), 1)</f>
        <v>1</v>
      </c>
      <c r="M15" s="8">
        <f>CEILING(Wolf!$B$6/ IF(Wolf!$D$6&lt; 10.8, Table1[[#This Row],[STR]], Table1[[#This Row],[STR]] / (Wolf!$D$6 / 10.8)), 1)</f>
        <v>2</v>
      </c>
      <c r="N15" s="8">
        <f>CEILING('Horned Wolf'!$B$5/ IF('Horned Wolf'!$D$5&lt; 10.8, Table1[[#This Row],[STR]], Table1[[#This Row],[STR]] / ('Horned Wolf'!$D$5 / 10.8)), 1)</f>
        <v>6</v>
      </c>
      <c r="O15" s="14">
        <f>CEILING(Spider!$B$7/ IF(Spider!$D$7&lt; 10.8, Table1[[#This Row],[STR]], Table1[[#This Row],[STR]] / (Spider!$D$7 / 10.8)), 1)</f>
        <v>5</v>
      </c>
      <c r="P15" s="14">
        <f>CEILING('Evolved Spider'!$B$8/ IF('Evolved Spider'!$D$8&lt; 10.8, Table1[[#This Row],[STR]], Table1[[#This Row],[STR]] / ('Evolved Spider'!$D$8 / 10.8)), 1)</f>
        <v>10</v>
      </c>
      <c r="Q15" s="14">
        <f>CEILING(Arachne!$B$4/ IF(Arachne!$D$4&lt; 10.8, Table1[[#This Row],[STR]], Table1[[#This Row],[STR]] / (Arachne!$D$4 / 10.8)), 1)</f>
        <v>13</v>
      </c>
      <c r="R15" s="12">
        <f>CEILING('Earth Elemental'!$B$6/ IF('Earth Elemental'!$D$6&lt; 10.8, Table1[[#This Row],[STR]], Table1[[#This Row],[STR]] / ('Earth Elemental'!$D$6 / 10.8)), 1)</f>
        <v>14</v>
      </c>
      <c r="S15" s="12">
        <f>CEILING('Wind Elemental'!$B$6/ IF('Wind Elemental'!$D$6&lt; 10.8, Table1[[#This Row],[STR]], Table1[[#This Row],[STR]] / ('Wind Elemental'!$D$6 / 10.8)), 1)</f>
        <v>12</v>
      </c>
      <c r="T15" s="12">
        <f>CEILING('Water Elemental'!$B$6/ IF('Water Elemental'!$D$6&lt; 10.8, Table1[[#This Row],[STR]], Table1[[#This Row],[STR]] / ('Water Elemental'!$D$6 / 10.8)), 1)</f>
        <v>18</v>
      </c>
      <c r="U15" s="12">
        <f>CEILING('Fire Elemental'!$B$4/ IF('Fire Elemental'!$D$4&lt; 10.8, Table1[[#This Row],[STR]], Table1[[#This Row],[STR]] / ('Fire Elemental'!$D$4 / 10.8)), 1)</f>
        <v>23</v>
      </c>
      <c r="V15" s="12">
        <f>CEILING(Wyvern!$B$4/ IF(Wyvern!$D$4&lt; 10.8, Table1[[#This Row],[STR]], Table1[[#This Row],[STR]] / (Wyvern!$D$4 / 10.8)), 1)</f>
        <v>31</v>
      </c>
      <c r="W15" s="12">
        <f>CEILING('Evolved Wyvern'!$B$4/ IF('Evolved Wyvern'!$D$4&lt; 10.8, Table1[[#This Row],[STR]], Table1[[#This Row],[STR]] / ('Evolved Wyvern'!$D$4 / 10.8)), 1)</f>
        <v>43</v>
      </c>
      <c r="X15" s="12">
        <f>CEILING(Dragon!$B$4/ IF(Dragon!$D$4&lt; 10.8, Table1[[#This Row],[STR]], Table1[[#This Row],[STR]] / (Dragon!$D$4 / 10.8)), 1)</f>
        <v>71</v>
      </c>
      <c r="Z15" s="8">
        <f>CEILING('Blue Slime'!$M$5/ IF('Blue Slime'!$O$5&lt; 10.8, Table1[[#This Row],[STR]], Table1[[#This Row],[STR]] / ('Blue Slime'!$O$5 / 10.8)), 1)</f>
        <v>1</v>
      </c>
      <c r="AA15" s="8">
        <f>CEILING('Green Slime'!$M$5/ IF('Green Slime'!$O$5&lt; 10.8, Table1[[#This Row],[STR]], Table1[[#This Row],[STR]] / ('Green Slime'!$O$5 / 10.8)), 1)</f>
        <v>2</v>
      </c>
      <c r="AB15" s="8">
        <f>CEILING(Wolf!$M$6/ IF(Wolf!$O$6&lt; 10.8, Table1[[#This Row],[STR]], Table1[[#This Row],[STR]] / (Wolf!$O$6 / 10.8)), 1)</f>
        <v>4</v>
      </c>
      <c r="AC15" s="8">
        <f>CEILING('Horned Wolf'!$M$5/ IF('Horned Wolf'!$O$5&lt; 10.8, Table1[[#This Row],[STR]], Table1[[#This Row],[STR]] / ('Horned Wolf'!$O$5 / 10.8)), 1)</f>
        <v>12</v>
      </c>
      <c r="AD15" s="14">
        <f>CEILING(Spider!$M$7/ IF(Spider!$O$7&lt; 10.8, Table1[[#This Row],[STR]], Table1[[#This Row],[STR]] / (Spider!$O$7 / 10.8)), 1)</f>
        <v>11</v>
      </c>
      <c r="AE15" s="14">
        <f>CEILING('Evolved Spider'!$M$8/ IF('Evolved Spider'!$O$8&lt; 10.8, Table1[[#This Row],[STR]], Table1[[#This Row],[STR]] / ('Evolved Spider'!$O$8 / 10.8)), 1)</f>
        <v>19</v>
      </c>
      <c r="AF15" s="14">
        <f>CEILING(Arachne!$M$4/ IF(Arachne!$O$4&lt; 10.8, Table1[[#This Row],[STR]], Table1[[#This Row],[STR]] / (Arachne!$O$4 / 10.8)), 1)</f>
        <v>26</v>
      </c>
      <c r="AG15" s="12">
        <f>CEILING('Earth Elemental'!$M$6/ IF('Earth Elemental'!$O$6&lt; 10.8, Table1[[#This Row],[STR]], Table1[[#This Row],[STR]] / ('Earth Elemental'!$O$6 / 10.8)), 1)</f>
        <v>24</v>
      </c>
      <c r="AH15" s="12">
        <f>CEILING('Wind Elemental'!$M$6/ IF('Wind Elemental'!$O$6&lt; 10.8, Table1[[#This Row],[STR]], Table1[[#This Row],[STR]] / ('Wind Elemental'!$O$6 / 10.8)), 1)</f>
        <v>20</v>
      </c>
      <c r="AI15" s="12">
        <f>CEILING('Water Elemental'!$M$6/ IF('Water Elemental'!$O$6&lt; 10.8, Table1[[#This Row],[STR]], Table1[[#This Row],[STR]] / ('Water Elemental'!$O$6 / 10.8)), 1)</f>
        <v>28</v>
      </c>
      <c r="AJ15" s="12">
        <f>CEILING('Fire Elemental'!$M$4/ IF('Fire Elemental'!$O$4&lt; 10.8, Table1[[#This Row],[STR]], Table1[[#This Row],[STR]] / ('Fire Elemental'!$O$4 / 10.8)), 1)</f>
        <v>41</v>
      </c>
      <c r="AK15" s="12">
        <f>CEILING(Wyvern!$M$4/ IF(Wyvern!$O$4&lt; 10.8, Table1[[#This Row],[STR]], Table1[[#This Row],[STR]] / (Wyvern!$O$4 / 10.8)), 1)</f>
        <v>51</v>
      </c>
      <c r="AL15" s="12">
        <f>CEILING('Evolved Wyvern'!$M$4/ IF('Evolved Wyvern'!$O$4&lt; 10.8, Table1[[#This Row],[STR]], Table1[[#This Row],[STR]] / ('Evolved Wyvern'!$O$4 / 10.8)), 1)</f>
        <v>68</v>
      </c>
      <c r="AM15" s="12">
        <f>CEILING(Dragon!$M$4/ IF(Dragon!$O$4&lt; 10.8, Table1[[#This Row],[STR]], Table1[[#This Row],[STR]] / (Dragon!$O$4 / 10.8)), 1)</f>
        <v>113</v>
      </c>
      <c r="AO15" s="8">
        <f>CEILING('Blue Slime'!$Z$5/ IF('Blue Slime'!$X$5&lt; 10.8, Table1[[#This Row],[STR]], Table1[[#This Row],[STR]] / ('Blue Slime'!$X$5 / 10.8)), 1)</f>
        <v>2</v>
      </c>
      <c r="AP15" s="8">
        <f>CEILING('Green Slime'!$Z$5/ IF('Green Slime'!$X$5&lt; 10.8, Table1[[#This Row],[STR]], Table1[[#This Row],[STR]] / ('Green Slime'!$X$5 / 10.8)), 1)</f>
        <v>3</v>
      </c>
      <c r="AQ15" s="8">
        <f>CEILING(Wolf!$Z$6/ IF(Wolf!$X$6&lt; 10.8, Table1[[#This Row],[STR]], Table1[[#This Row],[STR]] / (Wolf!$X$6 / 10.8)), 1)</f>
        <v>7</v>
      </c>
      <c r="AR15" s="8">
        <f>CEILING('Horned Wolf'!$Z$5/ IF('Horned Wolf'!$X$5&lt; 10.8, Table1[[#This Row],[STR]], Table1[[#This Row],[STR]] / ('Horned Wolf'!$X$5 / 10.8)), 1)</f>
        <v>20</v>
      </c>
      <c r="AS15" s="13">
        <f>CEILING(Spider!$Z$7/ IF(Spider!$X$7&lt; 10.8, Table1[[#This Row],[STR]], Table1[[#This Row],[STR]] / (Spider!$X$7 / 10.8)), 1)</f>
        <v>18</v>
      </c>
      <c r="AT15" s="13">
        <f>CEILING('Evolved Spider'!$Z$8/ IF('Evolved Spider'!$X$8&lt; 10.8, Table1[[#This Row],[STR]], Table1[[#This Row],[STR]] / ('Evolved Spider'!$X$8 / 10.8)), 1)</f>
        <v>31</v>
      </c>
      <c r="AU15" s="13">
        <f>CEILING(Arachne!$Z$4/ IF(Arachne!$X$4&lt; 10.8, Table1[[#This Row],[STR]], Table1[[#This Row],[STR]] / (Arachne!$X$4 / 10.8)), 1)</f>
        <v>43</v>
      </c>
      <c r="AV15" s="12">
        <f>CEILING('Earth Elemental'!$Z$6/ IF('Earth Elemental'!$X$6&lt; 10.8, Table1[[#This Row],[STR]], Table1[[#This Row],[STR]] / ('Earth Elemental'!$X$6 / 10.8)), 1)</f>
        <v>36</v>
      </c>
      <c r="AW15" s="12">
        <f>CEILING('Wind Elemental'!$Z$6/ IF('Wind Elemental'!$X$6&lt; 10.8, Table1[[#This Row],[STR]], Table1[[#This Row],[STR]] / ('Wind Elemental'!$X$6 / 10.8)), 1)</f>
        <v>28</v>
      </c>
      <c r="AX15" s="12">
        <f>CEILING('Water Elemental'!$Z$6/ IF('Water Elemental'!$X$6&lt; 10.8, Table1[[#This Row],[STR]], Table1[[#This Row],[STR]] / ('Water Elemental'!$X$6 / 10.8)), 1)</f>
        <v>38</v>
      </c>
      <c r="AY15" s="12">
        <f>CEILING('Fire Elemental'!$Z$4/ IF('Fire Elemental'!$X$4&lt; 10.8, Table1[[#This Row],[STR]], Table1[[#This Row],[STR]] / ('Fire Elemental'!$X$4 / 10.8)), 1)</f>
        <v>62</v>
      </c>
      <c r="AZ15" s="12">
        <f>CEILING(Wyvern!$Z$4/ IF(Wyvern!$X$4&lt; 10.8, Table1[[#This Row],[STR]], Table1[[#This Row],[STR]] / (Wyvern!$X$4 / 10.8)), 1)</f>
        <v>75</v>
      </c>
      <c r="BA15" s="12">
        <f>CEILING('Evolved Wyvern'!$Z$4/ IF('Evolved Wyvern'!$X$4&lt; 10.8, Table1[[#This Row],[STR]], Table1[[#This Row],[STR]] / ('Evolved Wyvern'!$X$4 / 10.8)), 1)</f>
        <v>96</v>
      </c>
      <c r="BB15" s="12">
        <f>CEILING(Dragon!$Z$4/ IF(Dragon!$X$4&lt; 10.8, Table1[[#This Row],[STR]], Table1[[#This Row],[STR]] / (Dragon!$X$4 / 10.8)), 1)</f>
        <v>161</v>
      </c>
    </row>
    <row r="16" spans="1:54" x14ac:dyDescent="0.3">
      <c r="A16" s="30">
        <v>14</v>
      </c>
      <c r="B16" s="30">
        <f>$B$3 + ((Table1[[#This Row],[Level]] / 10) + $B$3 / 8) * Table1[[#This Row],[Level]] + Equipment!$AK$10</f>
        <v>59.6</v>
      </c>
      <c r="C16" s="30">
        <f xml:space="preserve"> 2*Table1[[#This Row],[INT]]</f>
        <v>60</v>
      </c>
      <c r="D16" s="30">
        <f>$D$3 + ($D$3 / 4) * Table1[[#This Row],[Level]] + Equipment!$AL$10</f>
        <v>30</v>
      </c>
      <c r="E16" s="30">
        <f>$E$3 + ($E$3 / 4) * Table1[[#This Row],[Level]] + Equipment!$AM$10</f>
        <v>25.5</v>
      </c>
      <c r="F16" s="30">
        <f>$F$3 + ($F$3 / 4) * Table1[[#This Row],[Level]] + Equipment!$AN$10</f>
        <v>40</v>
      </c>
      <c r="G16" s="30">
        <f>$G$3 + ($G$3 / 4) * Table1[[#This Row],[Level]] + Equipment!$AO$10</f>
        <v>30</v>
      </c>
      <c r="H16" s="30">
        <f>$H$3 + ($H$3 / 4) * Table1[[#This Row],[Level]] + Equipment!$AP$10</f>
        <v>35.5</v>
      </c>
      <c r="I16" s="30">
        <f xml:space="preserve"> (4 * (Table1[[#This Row],[Level]] ^ 3))/7 + $I$3</f>
        <v>1668</v>
      </c>
      <c r="K16" s="8">
        <f>CEILING('Blue Slime'!$B$5/ IF('Blue Slime'!$D$5&lt; 10.8, Table1[[#This Row],[STR]], Table1[[#This Row],[STR]] / ('Blue Slime'!$D$5 / 10.8)), 1)</f>
        <v>1</v>
      </c>
      <c r="L16" s="8">
        <f>CEILING('Green Slime'!$B$5/ IF('Green Slime'!$D$5&lt; 10.8, Table1[[#This Row],[STR]], Table1[[#This Row],[STR]] / ('Green Slime'!$D$5 / 10.8)), 1)</f>
        <v>1</v>
      </c>
      <c r="M16" s="8">
        <f>CEILING(Wolf!$B$6/ IF(Wolf!$D$6&lt; 10.8, Table1[[#This Row],[STR]], Table1[[#This Row],[STR]] / (Wolf!$D$6 / 10.8)), 1)</f>
        <v>2</v>
      </c>
      <c r="N16" s="8">
        <f>CEILING('Horned Wolf'!$B$5/ IF('Horned Wolf'!$D$5&lt; 10.8, Table1[[#This Row],[STR]], Table1[[#This Row],[STR]] / ('Horned Wolf'!$D$5 / 10.8)), 1)</f>
        <v>5</v>
      </c>
      <c r="O16" s="14">
        <f>CEILING(Spider!$B$7/ IF(Spider!$D$7&lt; 10.8, Table1[[#This Row],[STR]], Table1[[#This Row],[STR]] / (Spider!$D$7 / 10.8)), 1)</f>
        <v>5</v>
      </c>
      <c r="P16" s="14">
        <f>CEILING('Evolved Spider'!$B$8/ IF('Evolved Spider'!$D$8&lt; 10.8, Table1[[#This Row],[STR]], Table1[[#This Row],[STR]] / ('Evolved Spider'!$D$8 / 10.8)), 1)</f>
        <v>10</v>
      </c>
      <c r="Q16" s="14">
        <f>CEILING(Arachne!$B$4/ IF(Arachne!$D$4&lt; 10.8, Table1[[#This Row],[STR]], Table1[[#This Row],[STR]] / (Arachne!$D$4 / 10.8)), 1)</f>
        <v>13</v>
      </c>
      <c r="R16" s="12">
        <f>CEILING('Earth Elemental'!$B$6/ IF('Earth Elemental'!$D$6&lt; 10.8, Table1[[#This Row],[STR]], Table1[[#This Row],[STR]] / ('Earth Elemental'!$D$6 / 10.8)), 1)</f>
        <v>13</v>
      </c>
      <c r="S16" s="12">
        <f>CEILING('Wind Elemental'!$B$6/ IF('Wind Elemental'!$D$6&lt; 10.8, Table1[[#This Row],[STR]], Table1[[#This Row],[STR]] / ('Wind Elemental'!$D$6 / 10.8)), 1)</f>
        <v>12</v>
      </c>
      <c r="T16" s="12">
        <f>CEILING('Water Elemental'!$B$6/ IF('Water Elemental'!$D$6&lt; 10.8, Table1[[#This Row],[STR]], Table1[[#This Row],[STR]] / ('Water Elemental'!$D$6 / 10.8)), 1)</f>
        <v>17</v>
      </c>
      <c r="U16" s="12">
        <f>CEILING('Fire Elemental'!$B$4/ IF('Fire Elemental'!$D$4&lt; 10.8, Table1[[#This Row],[STR]], Table1[[#This Row],[STR]] / ('Fire Elemental'!$D$4 / 10.8)), 1)</f>
        <v>22</v>
      </c>
      <c r="V16" s="12">
        <f>CEILING(Wyvern!$B$4/ IF(Wyvern!$D$4&lt; 10.8, Table1[[#This Row],[STR]], Table1[[#This Row],[STR]] / (Wyvern!$D$4 / 10.8)), 1)</f>
        <v>30</v>
      </c>
      <c r="W16" s="12">
        <f>CEILING('Evolved Wyvern'!$B$4/ IF('Evolved Wyvern'!$D$4&lt; 10.8, Table1[[#This Row],[STR]], Table1[[#This Row],[STR]] / ('Evolved Wyvern'!$D$4 / 10.8)), 1)</f>
        <v>41</v>
      </c>
      <c r="X16" s="12">
        <f>CEILING(Dragon!$B$4/ IF(Dragon!$D$4&lt; 10.8, Table1[[#This Row],[STR]], Table1[[#This Row],[STR]] / (Dragon!$D$4 / 10.8)), 1)</f>
        <v>67</v>
      </c>
      <c r="Z16" s="8">
        <f>CEILING('Blue Slime'!$M$5/ IF('Blue Slime'!$O$5&lt; 10.8, Table1[[#This Row],[STR]], Table1[[#This Row],[STR]] / ('Blue Slime'!$O$5 / 10.8)), 1)</f>
        <v>1</v>
      </c>
      <c r="AA16" s="8">
        <f>CEILING('Green Slime'!$M$5/ IF('Green Slime'!$O$5&lt; 10.8, Table1[[#This Row],[STR]], Table1[[#This Row],[STR]] / ('Green Slime'!$O$5 / 10.8)), 1)</f>
        <v>2</v>
      </c>
      <c r="AB16" s="8">
        <f>CEILING(Wolf!$M$6/ IF(Wolf!$O$6&lt; 10.8, Table1[[#This Row],[STR]], Table1[[#This Row],[STR]] / (Wolf!$O$6 / 10.8)), 1)</f>
        <v>4</v>
      </c>
      <c r="AC16" s="8">
        <f>CEILING('Horned Wolf'!$M$5/ IF('Horned Wolf'!$O$5&lt; 10.8, Table1[[#This Row],[STR]], Table1[[#This Row],[STR]] / ('Horned Wolf'!$O$5 / 10.8)), 1)</f>
        <v>11</v>
      </c>
      <c r="AD16" s="14">
        <f>CEILING(Spider!$M$7/ IF(Spider!$O$7&lt; 10.8, Table1[[#This Row],[STR]], Table1[[#This Row],[STR]] / (Spider!$O$7 / 10.8)), 1)</f>
        <v>10</v>
      </c>
      <c r="AE16" s="14">
        <f>CEILING('Evolved Spider'!$M$8/ IF('Evolved Spider'!$O$8&lt; 10.8, Table1[[#This Row],[STR]], Table1[[#This Row],[STR]] / ('Evolved Spider'!$O$8 / 10.8)), 1)</f>
        <v>18</v>
      </c>
      <c r="AF16" s="14">
        <f>CEILING(Arachne!$M$4/ IF(Arachne!$O$4&lt; 10.8, Table1[[#This Row],[STR]], Table1[[#This Row],[STR]] / (Arachne!$O$4 / 10.8)), 1)</f>
        <v>25</v>
      </c>
      <c r="AG16" s="12">
        <f>CEILING('Earth Elemental'!$M$6/ IF('Earth Elemental'!$O$6&lt; 10.8, Table1[[#This Row],[STR]], Table1[[#This Row],[STR]] / ('Earth Elemental'!$O$6 / 10.8)), 1)</f>
        <v>22</v>
      </c>
      <c r="AH16" s="12">
        <f>CEILING('Wind Elemental'!$M$6/ IF('Wind Elemental'!$O$6&lt; 10.8, Table1[[#This Row],[STR]], Table1[[#This Row],[STR]] / ('Wind Elemental'!$O$6 / 10.8)), 1)</f>
        <v>19</v>
      </c>
      <c r="AI16" s="12">
        <f>CEILING('Water Elemental'!$M$6/ IF('Water Elemental'!$O$6&lt; 10.8, Table1[[#This Row],[STR]], Table1[[#This Row],[STR]] / ('Water Elemental'!$O$6 / 10.8)), 1)</f>
        <v>27</v>
      </c>
      <c r="AJ16" s="12">
        <f>CEILING('Fire Elemental'!$M$4/ IF('Fire Elemental'!$O$4&lt; 10.8, Table1[[#This Row],[STR]], Table1[[#This Row],[STR]] / ('Fire Elemental'!$O$4 / 10.8)), 1)</f>
        <v>39</v>
      </c>
      <c r="AK16" s="12">
        <f>CEILING(Wyvern!$M$4/ IF(Wyvern!$O$4&lt; 10.8, Table1[[#This Row],[STR]], Table1[[#This Row],[STR]] / (Wyvern!$O$4 / 10.8)), 1)</f>
        <v>49</v>
      </c>
      <c r="AL16" s="12">
        <f>CEILING('Evolved Wyvern'!$M$4/ IF('Evolved Wyvern'!$O$4&lt; 10.8, Table1[[#This Row],[STR]], Table1[[#This Row],[STR]] / ('Evolved Wyvern'!$O$4 / 10.8)), 1)</f>
        <v>65</v>
      </c>
      <c r="AM16" s="12">
        <f>CEILING(Dragon!$M$4/ IF(Dragon!$O$4&lt; 10.8, Table1[[#This Row],[STR]], Table1[[#This Row],[STR]] / (Dragon!$O$4 / 10.8)), 1)</f>
        <v>108</v>
      </c>
      <c r="AO16" s="8">
        <f>CEILING('Blue Slime'!$Z$5/ IF('Blue Slime'!$X$5&lt; 10.8, Table1[[#This Row],[STR]], Table1[[#This Row],[STR]] / ('Blue Slime'!$X$5 / 10.8)), 1)</f>
        <v>2</v>
      </c>
      <c r="AP16" s="8">
        <f>CEILING('Green Slime'!$Z$5/ IF('Green Slime'!$X$5&lt; 10.8, Table1[[#This Row],[STR]], Table1[[#This Row],[STR]] / ('Green Slime'!$X$5 / 10.8)), 1)</f>
        <v>3</v>
      </c>
      <c r="AQ16" s="8">
        <f>CEILING(Wolf!$Z$6/ IF(Wolf!$X$6&lt; 10.8, Table1[[#This Row],[STR]], Table1[[#This Row],[STR]] / (Wolf!$X$6 / 10.8)), 1)</f>
        <v>7</v>
      </c>
      <c r="AR16" s="8">
        <f>CEILING('Horned Wolf'!$Z$5/ IF('Horned Wolf'!$X$5&lt; 10.8, Table1[[#This Row],[STR]], Table1[[#This Row],[STR]] / ('Horned Wolf'!$X$5 / 10.8)), 1)</f>
        <v>19</v>
      </c>
      <c r="AS16" s="13">
        <f>CEILING(Spider!$Z$7/ IF(Spider!$X$7&lt; 10.8, Table1[[#This Row],[STR]], Table1[[#This Row],[STR]] / (Spider!$X$7 / 10.8)), 1)</f>
        <v>17</v>
      </c>
      <c r="AT16" s="13">
        <f>CEILING('Evolved Spider'!$Z$8/ IF('Evolved Spider'!$X$8&lt; 10.8, Table1[[#This Row],[STR]], Table1[[#This Row],[STR]] / ('Evolved Spider'!$X$8 / 10.8)), 1)</f>
        <v>30</v>
      </c>
      <c r="AU16" s="13">
        <f>CEILING(Arachne!$Z$4/ IF(Arachne!$X$4&lt; 10.8, Table1[[#This Row],[STR]], Table1[[#This Row],[STR]] / (Arachne!$X$4 / 10.8)), 1)</f>
        <v>40</v>
      </c>
      <c r="AV16" s="12">
        <f>CEILING('Earth Elemental'!$Z$6/ IF('Earth Elemental'!$X$6&lt; 10.8, Table1[[#This Row],[STR]], Table1[[#This Row],[STR]] / ('Earth Elemental'!$X$6 / 10.8)), 1)</f>
        <v>34</v>
      </c>
      <c r="AW16" s="12">
        <f>CEILING('Wind Elemental'!$Z$6/ IF('Wind Elemental'!$X$6&lt; 10.8, Table1[[#This Row],[STR]], Table1[[#This Row],[STR]] / ('Wind Elemental'!$X$6 / 10.8)), 1)</f>
        <v>26</v>
      </c>
      <c r="AX16" s="12">
        <f>CEILING('Water Elemental'!$Z$6/ IF('Water Elemental'!$X$6&lt; 10.8, Table1[[#This Row],[STR]], Table1[[#This Row],[STR]] / ('Water Elemental'!$X$6 / 10.8)), 1)</f>
        <v>36</v>
      </c>
      <c r="AY16" s="12">
        <f>CEILING('Fire Elemental'!$Z$4/ IF('Fire Elemental'!$X$4&lt; 10.8, Table1[[#This Row],[STR]], Table1[[#This Row],[STR]] / ('Fire Elemental'!$X$4 / 10.8)), 1)</f>
        <v>59</v>
      </c>
      <c r="AZ16" s="12">
        <f>CEILING(Wyvern!$Z$4/ IF(Wyvern!$X$4&lt; 10.8, Table1[[#This Row],[STR]], Table1[[#This Row],[STR]] / (Wyvern!$X$4 / 10.8)), 1)</f>
        <v>71</v>
      </c>
      <c r="BA16" s="12">
        <f>CEILING('Evolved Wyvern'!$Z$4/ IF('Evolved Wyvern'!$X$4&lt; 10.8, Table1[[#This Row],[STR]], Table1[[#This Row],[STR]] / ('Evolved Wyvern'!$X$4 / 10.8)), 1)</f>
        <v>91</v>
      </c>
      <c r="BB16" s="12">
        <f>CEILING(Dragon!$Z$4/ IF(Dragon!$X$4&lt; 10.8, Table1[[#This Row],[STR]], Table1[[#This Row],[STR]] / (Dragon!$X$4 / 10.8)), 1)</f>
        <v>153</v>
      </c>
    </row>
    <row r="17" spans="1:54" x14ac:dyDescent="0.3">
      <c r="A17" s="1">
        <v>15</v>
      </c>
      <c r="B17" s="1">
        <f>$B$3 + ((Table1[[#This Row],[Level]] / 10) + $B$3 / 8) * Table1[[#This Row],[Level]] + Equipment!$AK$18</f>
        <v>76</v>
      </c>
      <c r="C17" s="1">
        <f xml:space="preserve"> 2*Table1[[#This Row],[INT]]</f>
        <v>79</v>
      </c>
      <c r="D17" s="1">
        <f>$D$3 + ($D$3 / 4) * Table1[[#This Row],[Level]] + Equipment!$AL$18</f>
        <v>39.5</v>
      </c>
      <c r="E17" s="1">
        <f>$E$3 + ($E$3 / 4) * Table1[[#This Row],[Level]] + Equipment!$AM$18</f>
        <v>32.75</v>
      </c>
      <c r="F17" s="1">
        <f>$F$3 + ($F$3 / 4) * Table1[[#This Row],[Level]] + Equipment!$AN$18</f>
        <v>52</v>
      </c>
      <c r="G17" s="1">
        <f>$G$3 + ($G$3 / 4) * Table1[[#This Row],[Level]] + Equipment!$AO$18</f>
        <v>39.5</v>
      </c>
      <c r="H17" s="1">
        <f>$H$3 + ($H$3 / 4) * Table1[[#This Row],[Level]] + Equipment!$AP$18</f>
        <v>45.25</v>
      </c>
      <c r="I17" s="34">
        <f xml:space="preserve"> (4 * (Table1[[#This Row],[Level]] ^ 3))/7 + $I$3</f>
        <v>2028.5714285714287</v>
      </c>
      <c r="K17" s="8">
        <f>CEILING('Blue Slime'!$B$5/ IF('Blue Slime'!$D$5&lt; 10.8, Table1[[#This Row],[STR]], Table1[[#This Row],[STR]] / ('Blue Slime'!$D$5 / 10.8)), 1)</f>
        <v>1</v>
      </c>
      <c r="L17" s="8">
        <f>CEILING('Green Slime'!$B$5/ IF('Green Slime'!$D$5&lt; 10.8, Table1[[#This Row],[STR]], Table1[[#This Row],[STR]] / ('Green Slime'!$D$5 / 10.8)), 1)</f>
        <v>1</v>
      </c>
      <c r="M17" s="8">
        <f>CEILING(Wolf!$B$6/ IF(Wolf!$D$6&lt; 10.8, Table1[[#This Row],[STR]], Table1[[#This Row],[STR]] / (Wolf!$D$6 / 10.8)), 1)</f>
        <v>2</v>
      </c>
      <c r="N17" s="8">
        <f>CEILING('Horned Wolf'!$B$5/ IF('Horned Wolf'!$D$5&lt; 10.8, Table1[[#This Row],[STR]], Table1[[#This Row],[STR]] / ('Horned Wolf'!$D$5 / 10.8)), 1)</f>
        <v>4</v>
      </c>
      <c r="O17" s="14">
        <f>CEILING(Spider!$B$7/ IF(Spider!$D$7&lt; 10.8, Table1[[#This Row],[STR]], Table1[[#This Row],[STR]] / (Spider!$D$7 / 10.8)), 1)</f>
        <v>4</v>
      </c>
      <c r="P17" s="14">
        <f>CEILING('Evolved Spider'!$B$8/ IF('Evolved Spider'!$D$8&lt; 10.8, Table1[[#This Row],[STR]], Table1[[#This Row],[STR]] / ('Evolved Spider'!$D$8 / 10.8)), 1)</f>
        <v>8</v>
      </c>
      <c r="Q17" s="14">
        <f>CEILING(Arachne!$B$4/ IF(Arachne!$D$4&lt; 10.8, Table1[[#This Row],[STR]], Table1[[#This Row],[STR]] / (Arachne!$D$4 / 10.8)), 1)</f>
        <v>10</v>
      </c>
      <c r="R17" s="12">
        <f>CEILING('Earth Elemental'!$B$6/ IF('Earth Elemental'!$D$6&lt; 10.8, Table1[[#This Row],[STR]], Table1[[#This Row],[STR]] / ('Earth Elemental'!$D$6 / 10.8)), 1)</f>
        <v>10</v>
      </c>
      <c r="S17" s="12">
        <f>CEILING('Wind Elemental'!$B$6/ IF('Wind Elemental'!$D$6&lt; 10.8, Table1[[#This Row],[STR]], Table1[[#This Row],[STR]] / ('Wind Elemental'!$D$6 / 10.8)), 1)</f>
        <v>9</v>
      </c>
      <c r="T17" s="12">
        <f>CEILING('Water Elemental'!$B$6/ IF('Water Elemental'!$D$6&lt; 10.8, Table1[[#This Row],[STR]], Table1[[#This Row],[STR]] / ('Water Elemental'!$D$6 / 10.8)), 1)</f>
        <v>14</v>
      </c>
      <c r="U17" s="12">
        <f>CEILING('Fire Elemental'!$B$4/ IF('Fire Elemental'!$D$4&lt; 10.8, Table1[[#This Row],[STR]], Table1[[#This Row],[STR]] / ('Fire Elemental'!$D$4 / 10.8)), 1)</f>
        <v>17</v>
      </c>
      <c r="V17" s="12">
        <f>CEILING(Wyvern!$B$4/ IF(Wyvern!$D$4&lt; 10.8, Table1[[#This Row],[STR]], Table1[[#This Row],[STR]] / (Wyvern!$D$4 / 10.8)), 1)</f>
        <v>23</v>
      </c>
      <c r="W17" s="12">
        <f>CEILING('Evolved Wyvern'!$B$4/ IF('Evolved Wyvern'!$D$4&lt; 10.8, Table1[[#This Row],[STR]], Table1[[#This Row],[STR]] / ('Evolved Wyvern'!$D$4 / 10.8)), 1)</f>
        <v>32</v>
      </c>
      <c r="X17" s="12">
        <f>CEILING(Dragon!$B$4/ IF(Dragon!$D$4&lt; 10.8, Table1[[#This Row],[STR]], Table1[[#This Row],[STR]] / (Dragon!$D$4 / 10.8)), 1)</f>
        <v>52</v>
      </c>
      <c r="Z17" s="8">
        <f>CEILING('Blue Slime'!$M$5/ IF('Blue Slime'!$O$5&lt; 10.8, Table1[[#This Row],[STR]], Table1[[#This Row],[STR]] / ('Blue Slime'!$O$5 / 10.8)), 1)</f>
        <v>1</v>
      </c>
      <c r="AA17" s="8">
        <f>CEILING('Green Slime'!$M$5/ IF('Green Slime'!$O$5&lt; 10.8, Table1[[#This Row],[STR]], Table1[[#This Row],[STR]] / ('Green Slime'!$O$5 / 10.8)), 1)</f>
        <v>1</v>
      </c>
      <c r="AB17" s="8">
        <f>CEILING(Wolf!$M$6/ IF(Wolf!$O$6&lt; 10.8, Table1[[#This Row],[STR]], Table1[[#This Row],[STR]] / (Wolf!$O$6 / 10.8)), 1)</f>
        <v>3</v>
      </c>
      <c r="AC17" s="8">
        <f>CEILING('Horned Wolf'!$M$5/ IF('Horned Wolf'!$O$5&lt; 10.8, Table1[[#This Row],[STR]], Table1[[#This Row],[STR]] / ('Horned Wolf'!$O$5 / 10.8)), 1)</f>
        <v>9</v>
      </c>
      <c r="AD17" s="14">
        <f>CEILING(Spider!$M$7/ IF(Spider!$O$7&lt; 10.8, Table1[[#This Row],[STR]], Table1[[#This Row],[STR]] / (Spider!$O$7 / 10.8)), 1)</f>
        <v>8</v>
      </c>
      <c r="AE17" s="14">
        <f>CEILING('Evolved Spider'!$M$8/ IF('Evolved Spider'!$O$8&lt; 10.8, Table1[[#This Row],[STR]], Table1[[#This Row],[STR]] / ('Evolved Spider'!$O$8 / 10.8)), 1)</f>
        <v>14</v>
      </c>
      <c r="AF17" s="14">
        <f>CEILING(Arachne!$M$4/ IF(Arachne!$O$4&lt; 10.8, Table1[[#This Row],[STR]], Table1[[#This Row],[STR]] / (Arachne!$O$4 / 10.8)), 1)</f>
        <v>19</v>
      </c>
      <c r="AG17" s="12">
        <f>CEILING('Earth Elemental'!$M$6/ IF('Earth Elemental'!$O$6&lt; 10.8, Table1[[#This Row],[STR]], Table1[[#This Row],[STR]] / ('Earth Elemental'!$O$6 / 10.8)), 1)</f>
        <v>17</v>
      </c>
      <c r="AH17" s="12">
        <f>CEILING('Wind Elemental'!$M$6/ IF('Wind Elemental'!$O$6&lt; 10.8, Table1[[#This Row],[STR]], Table1[[#This Row],[STR]] / ('Wind Elemental'!$O$6 / 10.8)), 1)</f>
        <v>14</v>
      </c>
      <c r="AI17" s="12">
        <f>CEILING('Water Elemental'!$M$6/ IF('Water Elemental'!$O$6&lt; 10.8, Table1[[#This Row],[STR]], Table1[[#This Row],[STR]] / ('Water Elemental'!$O$6 / 10.8)), 1)</f>
        <v>21</v>
      </c>
      <c r="AJ17" s="12">
        <f>CEILING('Fire Elemental'!$M$4/ IF('Fire Elemental'!$O$4&lt; 10.8, Table1[[#This Row],[STR]], Table1[[#This Row],[STR]] / ('Fire Elemental'!$O$4 / 10.8)), 1)</f>
        <v>30</v>
      </c>
      <c r="AK17" s="12">
        <f>CEILING(Wyvern!$M$4/ IF(Wyvern!$O$4&lt; 10.8, Table1[[#This Row],[STR]], Table1[[#This Row],[STR]] / (Wyvern!$O$4 / 10.8)), 1)</f>
        <v>38</v>
      </c>
      <c r="AL17" s="12">
        <f>CEILING('Evolved Wyvern'!$M$4/ IF('Evolved Wyvern'!$O$4&lt; 10.8, Table1[[#This Row],[STR]], Table1[[#This Row],[STR]] / ('Evolved Wyvern'!$O$4 / 10.8)), 1)</f>
        <v>50</v>
      </c>
      <c r="AM17" s="12">
        <f>CEILING(Dragon!$M$4/ IF(Dragon!$O$4&lt; 10.8, Table1[[#This Row],[STR]], Table1[[#This Row],[STR]] / (Dragon!$O$4 / 10.8)), 1)</f>
        <v>83</v>
      </c>
      <c r="AO17" s="8">
        <f>CEILING('Blue Slime'!$Z$5/ IF('Blue Slime'!$X$5&lt; 10.8, Table1[[#This Row],[STR]], Table1[[#This Row],[STR]] / ('Blue Slime'!$X$5 / 10.8)), 1)</f>
        <v>1</v>
      </c>
      <c r="AP17" s="8">
        <f>CEILING('Green Slime'!$Z$5/ IF('Green Slime'!$X$5&lt; 10.8, Table1[[#This Row],[STR]], Table1[[#This Row],[STR]] / ('Green Slime'!$X$5 / 10.8)), 1)</f>
        <v>2</v>
      </c>
      <c r="AQ17" s="8">
        <f>CEILING(Wolf!$Z$6/ IF(Wolf!$X$6&lt; 10.8, Table1[[#This Row],[STR]], Table1[[#This Row],[STR]] / (Wolf!$X$6 / 10.8)), 1)</f>
        <v>6</v>
      </c>
      <c r="AR17" s="8">
        <f>CEILING('Horned Wolf'!$Z$5/ IF('Horned Wolf'!$X$5&lt; 10.8, Table1[[#This Row],[STR]], Table1[[#This Row],[STR]] / ('Horned Wolf'!$X$5 / 10.8)), 1)</f>
        <v>15</v>
      </c>
      <c r="AS17" s="13">
        <f>CEILING(Spider!$Z$7/ IF(Spider!$X$7&lt; 10.8, Table1[[#This Row],[STR]], Table1[[#This Row],[STR]] / (Spider!$X$7 / 10.8)), 1)</f>
        <v>13</v>
      </c>
      <c r="AT17" s="13">
        <f>CEILING('Evolved Spider'!$Z$8/ IF('Evolved Spider'!$X$8&lt; 10.8, Table1[[#This Row],[STR]], Table1[[#This Row],[STR]] / ('Evolved Spider'!$X$8 / 10.8)), 1)</f>
        <v>23</v>
      </c>
      <c r="AU17" s="13">
        <f>CEILING(Arachne!$Z$4/ IF(Arachne!$X$4&lt; 10.8, Table1[[#This Row],[STR]], Table1[[#This Row],[STR]] / (Arachne!$X$4 / 10.8)), 1)</f>
        <v>31</v>
      </c>
      <c r="AV17" s="12">
        <f>CEILING('Earth Elemental'!$Z$6/ IF('Earth Elemental'!$X$6&lt; 10.8, Table1[[#This Row],[STR]], Table1[[#This Row],[STR]] / ('Earth Elemental'!$X$6 / 10.8)), 1)</f>
        <v>26</v>
      </c>
      <c r="AW17" s="12">
        <f>CEILING('Wind Elemental'!$Z$6/ IF('Wind Elemental'!$X$6&lt; 10.8, Table1[[#This Row],[STR]], Table1[[#This Row],[STR]] / ('Wind Elemental'!$X$6 / 10.8)), 1)</f>
        <v>20</v>
      </c>
      <c r="AX17" s="12">
        <f>CEILING('Water Elemental'!$Z$6/ IF('Water Elemental'!$X$6&lt; 10.8, Table1[[#This Row],[STR]], Table1[[#This Row],[STR]] / ('Water Elemental'!$X$6 / 10.8)), 1)</f>
        <v>28</v>
      </c>
      <c r="AY17" s="12">
        <f>CEILING('Fire Elemental'!$Z$4/ IF('Fire Elemental'!$X$4&lt; 10.8, Table1[[#This Row],[STR]], Table1[[#This Row],[STR]] / ('Fire Elemental'!$X$4 / 10.8)), 1)</f>
        <v>45</v>
      </c>
      <c r="AZ17" s="12">
        <f>CEILING(Wyvern!$Z$4/ IF(Wyvern!$X$4&lt; 10.8, Table1[[#This Row],[STR]], Table1[[#This Row],[STR]] / (Wyvern!$X$4 / 10.8)), 1)</f>
        <v>55</v>
      </c>
      <c r="BA17" s="12">
        <f>CEILING('Evolved Wyvern'!$Z$4/ IF('Evolved Wyvern'!$X$4&lt; 10.8, Table1[[#This Row],[STR]], Table1[[#This Row],[STR]] / ('Evolved Wyvern'!$X$4 / 10.8)), 1)</f>
        <v>70</v>
      </c>
      <c r="BB17" s="12">
        <f>CEILING(Dragon!$Z$4/ IF(Dragon!$X$4&lt; 10.8, Table1[[#This Row],[STR]], Table1[[#This Row],[STR]] / (Dragon!$X$4 / 10.8)), 1)</f>
        <v>118</v>
      </c>
    </row>
    <row r="18" spans="1:54" x14ac:dyDescent="0.3">
      <c r="A18" s="1">
        <v>16</v>
      </c>
      <c r="B18" s="1">
        <f>$B$3 + ((Table1[[#This Row],[Level]] / 10) + $B$3 / 8) * Table1[[#This Row],[Level]] + Equipment!$AK$18</f>
        <v>80.599999999999994</v>
      </c>
      <c r="C18" s="1">
        <f xml:space="preserve"> 2*Table1[[#This Row],[INT]]</f>
        <v>82</v>
      </c>
      <c r="D18" s="1">
        <f>$D$3 + ($D$3 / 4) * Table1[[#This Row],[Level]] + Equipment!$AL$18</f>
        <v>41</v>
      </c>
      <c r="E18" s="1">
        <f>$E$3 + ($E$3 / 4) * Table1[[#This Row],[Level]] + Equipment!$AM$18</f>
        <v>34</v>
      </c>
      <c r="F18" s="1">
        <f>$F$3 + ($F$3 / 4) * Table1[[#This Row],[Level]] + Equipment!$AN$18</f>
        <v>54</v>
      </c>
      <c r="G18" s="1">
        <f>$G$3 + ($G$3 / 4) * Table1[[#This Row],[Level]] + Equipment!$AO$18</f>
        <v>41</v>
      </c>
      <c r="H18" s="1">
        <f>$H$3 + ($H$3 / 4) * Table1[[#This Row],[Level]] + Equipment!$AP$18</f>
        <v>47</v>
      </c>
      <c r="I18" s="34">
        <f xml:space="preserve"> (4 * (Table1[[#This Row],[Level]] ^ 3))/7 + $I$3</f>
        <v>2440.5714285714284</v>
      </c>
      <c r="K18" s="8">
        <f>CEILING('Blue Slime'!$B$5/ IF('Blue Slime'!$D$5&lt; 10.8, Table1[[#This Row],[STR]], Table1[[#This Row],[STR]] / ('Blue Slime'!$D$5 / 10.8)), 1)</f>
        <v>1</v>
      </c>
      <c r="L18" s="8">
        <f>CEILING('Green Slime'!$B$5/ IF('Green Slime'!$D$5&lt; 10.8, Table1[[#This Row],[STR]], Table1[[#This Row],[STR]] / ('Green Slime'!$D$5 / 10.8)), 1)</f>
        <v>1</v>
      </c>
      <c r="M18" s="8">
        <f>CEILING(Wolf!$B$6/ IF(Wolf!$D$6&lt; 10.8, Table1[[#This Row],[STR]], Table1[[#This Row],[STR]] / (Wolf!$D$6 / 10.8)), 1)</f>
        <v>2</v>
      </c>
      <c r="N18" s="8">
        <f>CEILING('Horned Wolf'!$B$5/ IF('Horned Wolf'!$D$5&lt; 10.8, Table1[[#This Row],[STR]], Table1[[#This Row],[STR]] / ('Horned Wolf'!$D$5 / 10.8)), 1)</f>
        <v>4</v>
      </c>
      <c r="O18" s="14">
        <f>CEILING(Spider!$B$7/ IF(Spider!$D$7&lt; 10.8, Table1[[#This Row],[STR]], Table1[[#This Row],[STR]] / (Spider!$D$7 / 10.8)), 1)</f>
        <v>4</v>
      </c>
      <c r="P18" s="14">
        <f>CEILING('Evolved Spider'!$B$8/ IF('Evolved Spider'!$D$8&lt; 10.8, Table1[[#This Row],[STR]], Table1[[#This Row],[STR]] / ('Evolved Spider'!$D$8 / 10.8)), 1)</f>
        <v>7</v>
      </c>
      <c r="Q18" s="14">
        <f>CEILING(Arachne!$B$4/ IF(Arachne!$D$4&lt; 10.8, Table1[[#This Row],[STR]], Table1[[#This Row],[STR]] / (Arachne!$D$4 / 10.8)), 1)</f>
        <v>10</v>
      </c>
      <c r="R18" s="12">
        <f>CEILING('Earth Elemental'!$B$6/ IF('Earth Elemental'!$D$6&lt; 10.8, Table1[[#This Row],[STR]], Table1[[#This Row],[STR]] / ('Earth Elemental'!$D$6 / 10.8)), 1)</f>
        <v>10</v>
      </c>
      <c r="S18" s="12">
        <f>CEILING('Wind Elemental'!$B$6/ IF('Wind Elemental'!$D$6&lt; 10.8, Table1[[#This Row],[STR]], Table1[[#This Row],[STR]] / ('Wind Elemental'!$D$6 / 10.8)), 1)</f>
        <v>9</v>
      </c>
      <c r="T18" s="12">
        <f>CEILING('Water Elemental'!$B$6/ IF('Water Elemental'!$D$6&lt; 10.8, Table1[[#This Row],[STR]], Table1[[#This Row],[STR]] / ('Water Elemental'!$D$6 / 10.8)), 1)</f>
        <v>13</v>
      </c>
      <c r="U18" s="12">
        <f>CEILING('Fire Elemental'!$B$4/ IF('Fire Elemental'!$D$4&lt; 10.8, Table1[[#This Row],[STR]], Table1[[#This Row],[STR]] / ('Fire Elemental'!$D$4 / 10.8)), 1)</f>
        <v>17</v>
      </c>
      <c r="V18" s="12">
        <f>CEILING(Wyvern!$B$4/ IF(Wyvern!$D$4&lt; 10.8, Table1[[#This Row],[STR]], Table1[[#This Row],[STR]] / (Wyvern!$D$4 / 10.8)), 1)</f>
        <v>22</v>
      </c>
      <c r="W18" s="12">
        <f>CEILING('Evolved Wyvern'!$B$4/ IF('Evolved Wyvern'!$D$4&lt; 10.8, Table1[[#This Row],[STR]], Table1[[#This Row],[STR]] / ('Evolved Wyvern'!$D$4 / 10.8)), 1)</f>
        <v>31</v>
      </c>
      <c r="X18" s="12">
        <f>CEILING(Dragon!$B$4/ IF(Dragon!$D$4&lt; 10.8, Table1[[#This Row],[STR]], Table1[[#This Row],[STR]] / (Dragon!$D$4 / 10.8)), 1)</f>
        <v>50</v>
      </c>
      <c r="Z18" s="8">
        <f>CEILING('Blue Slime'!$M$5/ IF('Blue Slime'!$O$5&lt; 10.8, Table1[[#This Row],[STR]], Table1[[#This Row],[STR]] / ('Blue Slime'!$O$5 / 10.8)), 1)</f>
        <v>1</v>
      </c>
      <c r="AA18" s="8">
        <f>CEILING('Green Slime'!$M$5/ IF('Green Slime'!$O$5&lt; 10.8, Table1[[#This Row],[STR]], Table1[[#This Row],[STR]] / ('Green Slime'!$O$5 / 10.8)), 1)</f>
        <v>1</v>
      </c>
      <c r="AB18" s="8">
        <f>CEILING(Wolf!$M$6/ IF(Wolf!$O$6&lt; 10.8, Table1[[#This Row],[STR]], Table1[[#This Row],[STR]] / (Wolf!$O$6 / 10.8)), 1)</f>
        <v>3</v>
      </c>
      <c r="AC18" s="8">
        <f>CEILING('Horned Wolf'!$M$5/ IF('Horned Wolf'!$O$5&lt; 10.8, Table1[[#This Row],[STR]], Table1[[#This Row],[STR]] / ('Horned Wolf'!$O$5 / 10.8)), 1)</f>
        <v>8</v>
      </c>
      <c r="AD18" s="14">
        <f>CEILING(Spider!$M$7/ IF(Spider!$O$7&lt; 10.8, Table1[[#This Row],[STR]], Table1[[#This Row],[STR]] / (Spider!$O$7 / 10.8)), 1)</f>
        <v>8</v>
      </c>
      <c r="AE18" s="14">
        <f>CEILING('Evolved Spider'!$M$8/ IF('Evolved Spider'!$O$8&lt; 10.8, Table1[[#This Row],[STR]], Table1[[#This Row],[STR]] / ('Evolved Spider'!$O$8 / 10.8)), 1)</f>
        <v>14</v>
      </c>
      <c r="AF18" s="14">
        <f>CEILING(Arachne!$M$4/ IF(Arachne!$O$4&lt; 10.8, Table1[[#This Row],[STR]], Table1[[#This Row],[STR]] / (Arachne!$O$4 / 10.8)), 1)</f>
        <v>18</v>
      </c>
      <c r="AG18" s="12">
        <f>CEILING('Earth Elemental'!$M$6/ IF('Earth Elemental'!$O$6&lt; 10.8, Table1[[#This Row],[STR]], Table1[[#This Row],[STR]] / ('Earth Elemental'!$O$6 / 10.8)), 1)</f>
        <v>17</v>
      </c>
      <c r="AH18" s="12">
        <f>CEILING('Wind Elemental'!$M$6/ IF('Wind Elemental'!$O$6&lt; 10.8, Table1[[#This Row],[STR]], Table1[[#This Row],[STR]] / ('Wind Elemental'!$O$6 / 10.8)), 1)</f>
        <v>14</v>
      </c>
      <c r="AI18" s="12">
        <f>CEILING('Water Elemental'!$M$6/ IF('Water Elemental'!$O$6&lt; 10.8, Table1[[#This Row],[STR]], Table1[[#This Row],[STR]] / ('Water Elemental'!$O$6 / 10.8)), 1)</f>
        <v>20</v>
      </c>
      <c r="AJ18" s="12">
        <f>CEILING('Fire Elemental'!$M$4/ IF('Fire Elemental'!$O$4&lt; 10.8, Table1[[#This Row],[STR]], Table1[[#This Row],[STR]] / ('Fire Elemental'!$O$4 / 10.8)), 1)</f>
        <v>29</v>
      </c>
      <c r="AK18" s="12">
        <f>CEILING(Wyvern!$M$4/ IF(Wyvern!$O$4&lt; 10.8, Table1[[#This Row],[STR]], Table1[[#This Row],[STR]] / (Wyvern!$O$4 / 10.8)), 1)</f>
        <v>36</v>
      </c>
      <c r="AL18" s="12">
        <f>CEILING('Evolved Wyvern'!$M$4/ IF('Evolved Wyvern'!$O$4&lt; 10.8, Table1[[#This Row],[STR]], Table1[[#This Row],[STR]] / ('Evolved Wyvern'!$O$4 / 10.8)), 1)</f>
        <v>48</v>
      </c>
      <c r="AM18" s="12">
        <f>CEILING(Dragon!$M$4/ IF(Dragon!$O$4&lt; 10.8, Table1[[#This Row],[STR]], Table1[[#This Row],[STR]] / (Dragon!$O$4 / 10.8)), 1)</f>
        <v>80</v>
      </c>
      <c r="AO18" s="8">
        <f>CEILING('Blue Slime'!$Z$5/ IF('Blue Slime'!$X$5&lt; 10.8, Table1[[#This Row],[STR]], Table1[[#This Row],[STR]] / ('Blue Slime'!$X$5 / 10.8)), 1)</f>
        <v>1</v>
      </c>
      <c r="AP18" s="8">
        <f>CEILING('Green Slime'!$Z$5/ IF('Green Slime'!$X$5&lt; 10.8, Table1[[#This Row],[STR]], Table1[[#This Row],[STR]] / ('Green Slime'!$X$5 / 10.8)), 1)</f>
        <v>2</v>
      </c>
      <c r="AQ18" s="8">
        <f>CEILING(Wolf!$Z$6/ IF(Wolf!$X$6&lt; 10.8, Table1[[#This Row],[STR]], Table1[[#This Row],[STR]] / (Wolf!$X$6 / 10.8)), 1)</f>
        <v>5</v>
      </c>
      <c r="AR18" s="8">
        <f>CEILING('Horned Wolf'!$Z$5/ IF('Horned Wolf'!$X$5&lt; 10.8, Table1[[#This Row],[STR]], Table1[[#This Row],[STR]] / ('Horned Wolf'!$X$5 / 10.8)), 1)</f>
        <v>14</v>
      </c>
      <c r="AS18" s="13">
        <f>CEILING(Spider!$Z$7/ IF(Spider!$X$7&lt; 10.8, Table1[[#This Row],[STR]], Table1[[#This Row],[STR]] / (Spider!$X$7 / 10.8)), 1)</f>
        <v>12</v>
      </c>
      <c r="AT18" s="13">
        <f>CEILING('Evolved Spider'!$Z$8/ IF('Evolved Spider'!$X$8&lt; 10.8, Table1[[#This Row],[STR]], Table1[[#This Row],[STR]] / ('Evolved Spider'!$X$8 / 10.8)), 1)</f>
        <v>22</v>
      </c>
      <c r="AU18" s="13">
        <f>CEILING(Arachne!$Z$4/ IF(Arachne!$X$4&lt; 10.8, Table1[[#This Row],[STR]], Table1[[#This Row],[STR]] / (Arachne!$X$4 / 10.8)), 1)</f>
        <v>30</v>
      </c>
      <c r="AV18" s="12">
        <f>CEILING('Earth Elemental'!$Z$6/ IF('Earth Elemental'!$X$6&lt; 10.8, Table1[[#This Row],[STR]], Table1[[#This Row],[STR]] / ('Earth Elemental'!$X$6 / 10.8)), 1)</f>
        <v>25</v>
      </c>
      <c r="AW18" s="12">
        <f>CEILING('Wind Elemental'!$Z$6/ IF('Wind Elemental'!$X$6&lt; 10.8, Table1[[#This Row],[STR]], Table1[[#This Row],[STR]] / ('Wind Elemental'!$X$6 / 10.8)), 1)</f>
        <v>20</v>
      </c>
      <c r="AX18" s="12">
        <f>CEILING('Water Elemental'!$Z$6/ IF('Water Elemental'!$X$6&lt; 10.8, Table1[[#This Row],[STR]], Table1[[#This Row],[STR]] / ('Water Elemental'!$X$6 / 10.8)), 1)</f>
        <v>27</v>
      </c>
      <c r="AY18" s="12">
        <f>CEILING('Fire Elemental'!$Z$4/ IF('Fire Elemental'!$X$4&lt; 10.8, Table1[[#This Row],[STR]], Table1[[#This Row],[STR]] / ('Fire Elemental'!$X$4 / 10.8)), 1)</f>
        <v>44</v>
      </c>
      <c r="AZ18" s="12">
        <f>CEILING(Wyvern!$Z$4/ IF(Wyvern!$X$4&lt; 10.8, Table1[[#This Row],[STR]], Table1[[#This Row],[STR]] / (Wyvern!$X$4 / 10.8)), 1)</f>
        <v>53</v>
      </c>
      <c r="BA18" s="12">
        <f>CEILING('Evolved Wyvern'!$Z$4/ IF('Evolved Wyvern'!$X$4&lt; 10.8, Table1[[#This Row],[STR]], Table1[[#This Row],[STR]] / ('Evolved Wyvern'!$X$4 / 10.8)), 1)</f>
        <v>67</v>
      </c>
      <c r="BB18" s="12">
        <f>CEILING(Dragon!$Z$4/ IF(Dragon!$X$4&lt; 10.8, Table1[[#This Row],[STR]], Table1[[#This Row],[STR]] / (Dragon!$X$4 / 10.8)), 1)</f>
        <v>113</v>
      </c>
    </row>
    <row r="19" spans="1:54" x14ac:dyDescent="0.3">
      <c r="A19" s="1">
        <v>17</v>
      </c>
      <c r="B19" s="1">
        <f>$B$3 + ((Table1[[#This Row],[Level]] / 10) + $B$3 / 8) * Table1[[#This Row],[Level]] + Equipment!$AK$18</f>
        <v>85.4</v>
      </c>
      <c r="C19" s="1">
        <f xml:space="preserve"> 2*Table1[[#This Row],[INT]]</f>
        <v>85</v>
      </c>
      <c r="D19" s="1">
        <f>$D$3 + ($D$3 / 4) * Table1[[#This Row],[Level]] + Equipment!$AL$18</f>
        <v>42.5</v>
      </c>
      <c r="E19" s="1">
        <f>$E$3 + ($E$3 / 4) * Table1[[#This Row],[Level]] + Equipment!$AM$18</f>
        <v>35.25</v>
      </c>
      <c r="F19" s="1">
        <f>$F$3 + ($F$3 / 4) * Table1[[#This Row],[Level]] + Equipment!$AN$18</f>
        <v>56</v>
      </c>
      <c r="G19" s="1">
        <f>$G$3 + ($G$3 / 4) * Table1[[#This Row],[Level]] + Equipment!$AO$18</f>
        <v>42.5</v>
      </c>
      <c r="H19" s="1">
        <f>$H$3 + ($H$3 / 4) * Table1[[#This Row],[Level]] + Equipment!$AP$18</f>
        <v>48.75</v>
      </c>
      <c r="I19" s="34">
        <f xml:space="preserve"> (4 * (Table1[[#This Row],[Level]] ^ 3))/7 + $I$3</f>
        <v>2907.4285714285716</v>
      </c>
      <c r="K19" s="8">
        <f>CEILING('Blue Slime'!$B$5/ IF('Blue Slime'!$D$5&lt; 10.8, Table1[[#This Row],[STR]], Table1[[#This Row],[STR]] / ('Blue Slime'!$D$5 / 10.8)), 1)</f>
        <v>1</v>
      </c>
      <c r="L19" s="8">
        <f>CEILING('Green Slime'!$B$5/ IF('Green Slime'!$D$5&lt; 10.8, Table1[[#This Row],[STR]], Table1[[#This Row],[STR]] / ('Green Slime'!$D$5 / 10.8)), 1)</f>
        <v>1</v>
      </c>
      <c r="M19" s="8">
        <f>CEILING(Wolf!$B$6/ IF(Wolf!$D$6&lt; 10.8, Table1[[#This Row],[STR]], Table1[[#This Row],[STR]] / (Wolf!$D$6 / 10.8)), 1)</f>
        <v>2</v>
      </c>
      <c r="N19" s="8">
        <f>CEILING('Horned Wolf'!$B$5/ IF('Horned Wolf'!$D$5&lt; 10.8, Table1[[#This Row],[STR]], Table1[[#This Row],[STR]] / ('Horned Wolf'!$D$5 / 10.8)), 1)</f>
        <v>4</v>
      </c>
      <c r="O19" s="14">
        <f>CEILING(Spider!$B$7/ IF(Spider!$D$7&lt; 10.8, Table1[[#This Row],[STR]], Table1[[#This Row],[STR]] / (Spider!$D$7 / 10.8)), 1)</f>
        <v>4</v>
      </c>
      <c r="P19" s="14">
        <f>CEILING('Evolved Spider'!$B$8/ IF('Evolved Spider'!$D$8&lt; 10.8, Table1[[#This Row],[STR]], Table1[[#This Row],[STR]] / ('Evolved Spider'!$D$8 / 10.8)), 1)</f>
        <v>7</v>
      </c>
      <c r="Q19" s="14">
        <f>CEILING(Arachne!$B$4/ IF(Arachne!$D$4&lt; 10.8, Table1[[#This Row],[STR]], Table1[[#This Row],[STR]] / (Arachne!$D$4 / 10.8)), 1)</f>
        <v>9</v>
      </c>
      <c r="R19" s="12">
        <f>CEILING('Earth Elemental'!$B$6/ IF('Earth Elemental'!$D$6&lt; 10.8, Table1[[#This Row],[STR]], Table1[[#This Row],[STR]] / ('Earth Elemental'!$D$6 / 10.8)), 1)</f>
        <v>9</v>
      </c>
      <c r="S19" s="12">
        <f>CEILING('Wind Elemental'!$B$6/ IF('Wind Elemental'!$D$6&lt; 10.8, Table1[[#This Row],[STR]], Table1[[#This Row],[STR]] / ('Wind Elemental'!$D$6 / 10.8)), 1)</f>
        <v>8</v>
      </c>
      <c r="T19" s="12">
        <f>CEILING('Water Elemental'!$B$6/ IF('Water Elemental'!$D$6&lt; 10.8, Table1[[#This Row],[STR]], Table1[[#This Row],[STR]] / ('Water Elemental'!$D$6 / 10.8)), 1)</f>
        <v>13</v>
      </c>
      <c r="U19" s="12">
        <f>CEILING('Fire Elemental'!$B$4/ IF('Fire Elemental'!$D$4&lt; 10.8, Table1[[#This Row],[STR]], Table1[[#This Row],[STR]] / ('Fire Elemental'!$D$4 / 10.8)), 1)</f>
        <v>16</v>
      </c>
      <c r="V19" s="12">
        <f>CEILING(Wyvern!$B$4/ IF(Wyvern!$D$4&lt; 10.8, Table1[[#This Row],[STR]], Table1[[#This Row],[STR]] / (Wyvern!$D$4 / 10.8)), 1)</f>
        <v>21</v>
      </c>
      <c r="W19" s="12">
        <f>CEILING('Evolved Wyvern'!$B$4/ IF('Evolved Wyvern'!$D$4&lt; 10.8, Table1[[#This Row],[STR]], Table1[[#This Row],[STR]] / ('Evolved Wyvern'!$D$4 / 10.8)), 1)</f>
        <v>29</v>
      </c>
      <c r="X19" s="12">
        <f>CEILING(Dragon!$B$4/ IF(Dragon!$D$4&lt; 10.8, Table1[[#This Row],[STR]], Table1[[#This Row],[STR]] / (Dragon!$D$4 / 10.8)), 1)</f>
        <v>48</v>
      </c>
      <c r="Z19" s="8">
        <f>CEILING('Blue Slime'!$M$5/ IF('Blue Slime'!$O$5&lt; 10.8, Table1[[#This Row],[STR]], Table1[[#This Row],[STR]] / ('Blue Slime'!$O$5 / 10.8)), 1)</f>
        <v>1</v>
      </c>
      <c r="AA19" s="8">
        <f>CEILING('Green Slime'!$M$5/ IF('Green Slime'!$O$5&lt; 10.8, Table1[[#This Row],[STR]], Table1[[#This Row],[STR]] / ('Green Slime'!$O$5 / 10.8)), 1)</f>
        <v>1</v>
      </c>
      <c r="AB19" s="8">
        <f>CEILING(Wolf!$M$6/ IF(Wolf!$O$6&lt; 10.8, Table1[[#This Row],[STR]], Table1[[#This Row],[STR]] / (Wolf!$O$6 / 10.8)), 1)</f>
        <v>3</v>
      </c>
      <c r="AC19" s="8">
        <f>CEILING('Horned Wolf'!$M$5/ IF('Horned Wolf'!$O$5&lt; 10.8, Table1[[#This Row],[STR]], Table1[[#This Row],[STR]] / ('Horned Wolf'!$O$5 / 10.8)), 1)</f>
        <v>8</v>
      </c>
      <c r="AD19" s="14">
        <f>CEILING(Spider!$M$7/ IF(Spider!$O$7&lt; 10.8, Table1[[#This Row],[STR]], Table1[[#This Row],[STR]] / (Spider!$O$7 / 10.8)), 1)</f>
        <v>7</v>
      </c>
      <c r="AE19" s="14">
        <f>CEILING('Evolved Spider'!$M$8/ IF('Evolved Spider'!$O$8&lt; 10.8, Table1[[#This Row],[STR]], Table1[[#This Row],[STR]] / ('Evolved Spider'!$O$8 / 10.8)), 1)</f>
        <v>13</v>
      </c>
      <c r="AF19" s="14">
        <f>CEILING(Arachne!$M$4/ IF(Arachne!$O$4&lt; 10.8, Table1[[#This Row],[STR]], Table1[[#This Row],[STR]] / (Arachne!$O$4 / 10.8)), 1)</f>
        <v>18</v>
      </c>
      <c r="AG19" s="12">
        <f>CEILING('Earth Elemental'!$M$6/ IF('Earth Elemental'!$O$6&lt; 10.8, Table1[[#This Row],[STR]], Table1[[#This Row],[STR]] / ('Earth Elemental'!$O$6 / 10.8)), 1)</f>
        <v>16</v>
      </c>
      <c r="AH19" s="12">
        <f>CEILING('Wind Elemental'!$M$6/ IF('Wind Elemental'!$O$6&lt; 10.8, Table1[[#This Row],[STR]], Table1[[#This Row],[STR]] / ('Wind Elemental'!$O$6 / 10.8)), 1)</f>
        <v>13</v>
      </c>
      <c r="AI19" s="12">
        <f>CEILING('Water Elemental'!$M$6/ IF('Water Elemental'!$O$6&lt; 10.8, Table1[[#This Row],[STR]], Table1[[#This Row],[STR]] / ('Water Elemental'!$O$6 / 10.8)), 1)</f>
        <v>19</v>
      </c>
      <c r="AJ19" s="12">
        <f>CEILING('Fire Elemental'!$M$4/ IF('Fire Elemental'!$O$4&lt; 10.8, Table1[[#This Row],[STR]], Table1[[#This Row],[STR]] / ('Fire Elemental'!$O$4 / 10.8)), 1)</f>
        <v>28</v>
      </c>
      <c r="AK19" s="12">
        <f>CEILING(Wyvern!$M$4/ IF(Wyvern!$O$4&lt; 10.8, Table1[[#This Row],[STR]], Table1[[#This Row],[STR]] / (Wyvern!$O$4 / 10.8)), 1)</f>
        <v>35</v>
      </c>
      <c r="AL19" s="12">
        <f>CEILING('Evolved Wyvern'!$M$4/ IF('Evolved Wyvern'!$O$4&lt; 10.8, Table1[[#This Row],[STR]], Table1[[#This Row],[STR]] / ('Evolved Wyvern'!$O$4 / 10.8)), 1)</f>
        <v>46</v>
      </c>
      <c r="AM19" s="12">
        <f>CEILING(Dragon!$M$4/ IF(Dragon!$O$4&lt; 10.8, Table1[[#This Row],[STR]], Table1[[#This Row],[STR]] / (Dragon!$O$4 / 10.8)), 1)</f>
        <v>77</v>
      </c>
      <c r="AO19" s="8">
        <f>CEILING('Blue Slime'!$Z$5/ IF('Blue Slime'!$X$5&lt; 10.8, Table1[[#This Row],[STR]], Table1[[#This Row],[STR]] / ('Blue Slime'!$X$5 / 10.8)), 1)</f>
        <v>1</v>
      </c>
      <c r="AP19" s="8">
        <f>CEILING('Green Slime'!$Z$5/ IF('Green Slime'!$X$5&lt; 10.8, Table1[[#This Row],[STR]], Table1[[#This Row],[STR]] / ('Green Slime'!$X$5 / 10.8)), 1)</f>
        <v>2</v>
      </c>
      <c r="AQ19" s="8">
        <f>CEILING(Wolf!$Z$6/ IF(Wolf!$X$6&lt; 10.8, Table1[[#This Row],[STR]], Table1[[#This Row],[STR]] / (Wolf!$X$6 / 10.8)), 1)</f>
        <v>5</v>
      </c>
      <c r="AR19" s="8">
        <f>CEILING('Horned Wolf'!$Z$5/ IF('Horned Wolf'!$X$5&lt; 10.8, Table1[[#This Row],[STR]], Table1[[#This Row],[STR]] / ('Horned Wolf'!$X$5 / 10.8)), 1)</f>
        <v>14</v>
      </c>
      <c r="AS19" s="13">
        <f>CEILING(Spider!$Z$7/ IF(Spider!$X$7&lt; 10.8, Table1[[#This Row],[STR]], Table1[[#This Row],[STR]] / (Spider!$X$7 / 10.8)), 1)</f>
        <v>12</v>
      </c>
      <c r="AT19" s="13">
        <f>CEILING('Evolved Spider'!$Z$8/ IF('Evolved Spider'!$X$8&lt; 10.8, Table1[[#This Row],[STR]], Table1[[#This Row],[STR]] / ('Evolved Spider'!$X$8 / 10.8)), 1)</f>
        <v>21</v>
      </c>
      <c r="AU19" s="13">
        <f>CEILING(Arachne!$Z$4/ IF(Arachne!$X$4&lt; 10.8, Table1[[#This Row],[STR]], Table1[[#This Row],[STR]] / (Arachne!$X$4 / 10.8)), 1)</f>
        <v>29</v>
      </c>
      <c r="AV19" s="12">
        <f>CEILING('Earth Elemental'!$Z$6/ IF('Earth Elemental'!$X$6&lt; 10.8, Table1[[#This Row],[STR]], Table1[[#This Row],[STR]] / ('Earth Elemental'!$X$6 / 10.8)), 1)</f>
        <v>24</v>
      </c>
      <c r="AW19" s="12">
        <f>CEILING('Wind Elemental'!$Z$6/ IF('Wind Elemental'!$X$6&lt; 10.8, Table1[[#This Row],[STR]], Table1[[#This Row],[STR]] / ('Wind Elemental'!$X$6 / 10.8)), 1)</f>
        <v>19</v>
      </c>
      <c r="AX19" s="12">
        <f>CEILING('Water Elemental'!$Z$6/ IF('Water Elemental'!$X$6&lt; 10.8, Table1[[#This Row],[STR]], Table1[[#This Row],[STR]] / ('Water Elemental'!$X$6 / 10.8)), 1)</f>
        <v>26</v>
      </c>
      <c r="AY19" s="12">
        <f>CEILING('Fire Elemental'!$Z$4/ IF('Fire Elemental'!$X$4&lt; 10.8, Table1[[#This Row],[STR]], Table1[[#This Row],[STR]] / ('Fire Elemental'!$X$4 / 10.8)), 1)</f>
        <v>42</v>
      </c>
      <c r="AZ19" s="12">
        <f>CEILING(Wyvern!$Z$4/ IF(Wyvern!$X$4&lt; 10.8, Table1[[#This Row],[STR]], Table1[[#This Row],[STR]] / (Wyvern!$X$4 / 10.8)), 1)</f>
        <v>51</v>
      </c>
      <c r="BA19" s="12">
        <f>CEILING('Evolved Wyvern'!$Z$4/ IF('Evolved Wyvern'!$X$4&lt; 10.8, Table1[[#This Row],[STR]], Table1[[#This Row],[STR]] / ('Evolved Wyvern'!$X$4 / 10.8)), 1)</f>
        <v>65</v>
      </c>
      <c r="BB19" s="12">
        <f>CEILING(Dragon!$Z$4/ IF(Dragon!$X$4&lt; 10.8, Table1[[#This Row],[STR]], Table1[[#This Row],[STR]] / (Dragon!$X$4 / 10.8)), 1)</f>
        <v>109</v>
      </c>
    </row>
    <row r="20" spans="1:54" x14ac:dyDescent="0.3">
      <c r="A20" s="1">
        <v>18</v>
      </c>
      <c r="B20" s="1">
        <f>$B$3 + ((Table1[[#This Row],[Level]] / 10) + $B$3 / 8) * Table1[[#This Row],[Level]] + Equipment!$AK$18</f>
        <v>90.4</v>
      </c>
      <c r="C20" s="1">
        <f xml:space="preserve"> 2*Table1[[#This Row],[INT]]</f>
        <v>88</v>
      </c>
      <c r="D20" s="1">
        <f>$D$3 + ($D$3 / 4) * Table1[[#This Row],[Level]] + Equipment!$AL$18</f>
        <v>44</v>
      </c>
      <c r="E20" s="1">
        <f>$E$3 + ($E$3 / 4) * Table1[[#This Row],[Level]] + Equipment!$AM$18</f>
        <v>36.5</v>
      </c>
      <c r="F20" s="1">
        <f>$F$3 + ($F$3 / 4) * Table1[[#This Row],[Level]] + Equipment!$AN$18</f>
        <v>58</v>
      </c>
      <c r="G20" s="1">
        <f>$G$3 + ($G$3 / 4) * Table1[[#This Row],[Level]] + Equipment!$AO$18</f>
        <v>44</v>
      </c>
      <c r="H20" s="1">
        <f>$H$3 + ($H$3 / 4) * Table1[[#This Row],[Level]] + Equipment!$AP$18</f>
        <v>50.5</v>
      </c>
      <c r="I20" s="34">
        <f xml:space="preserve"> (4 * (Table1[[#This Row],[Level]] ^ 3))/7 + $I$3</f>
        <v>3432.5714285714284</v>
      </c>
      <c r="K20" s="8">
        <f>CEILING('Blue Slime'!$B$5/ IF('Blue Slime'!$D$5&lt; 10.8, Table1[[#This Row],[STR]], Table1[[#This Row],[STR]] / ('Blue Slime'!$D$5 / 10.8)), 1)</f>
        <v>1</v>
      </c>
      <c r="L20" s="8">
        <f>CEILING('Green Slime'!$B$5/ IF('Green Slime'!$D$5&lt; 10.8, Table1[[#This Row],[STR]], Table1[[#This Row],[STR]] / ('Green Slime'!$D$5 / 10.8)), 1)</f>
        <v>1</v>
      </c>
      <c r="M20" s="8">
        <f>CEILING(Wolf!$B$6/ IF(Wolf!$D$6&lt; 10.8, Table1[[#This Row],[STR]], Table1[[#This Row],[STR]] / (Wolf!$D$6 / 10.8)), 1)</f>
        <v>2</v>
      </c>
      <c r="N20" s="8">
        <f>CEILING('Horned Wolf'!$B$5/ IF('Horned Wolf'!$D$5&lt; 10.8, Table1[[#This Row],[STR]], Table1[[#This Row],[STR]] / ('Horned Wolf'!$D$5 / 10.8)), 1)</f>
        <v>4</v>
      </c>
      <c r="O20" s="14">
        <f>CEILING(Spider!$B$7/ IF(Spider!$D$7&lt; 10.8, Table1[[#This Row],[STR]], Table1[[#This Row],[STR]] / (Spider!$D$7 / 10.8)), 1)</f>
        <v>4</v>
      </c>
      <c r="P20" s="14">
        <f>CEILING('Evolved Spider'!$B$8/ IF('Evolved Spider'!$D$8&lt; 10.8, Table1[[#This Row],[STR]], Table1[[#This Row],[STR]] / ('Evolved Spider'!$D$8 / 10.8)), 1)</f>
        <v>7</v>
      </c>
      <c r="Q20" s="14">
        <f>CEILING(Arachne!$B$4/ IF(Arachne!$D$4&lt; 10.8, Table1[[#This Row],[STR]], Table1[[#This Row],[STR]] / (Arachne!$D$4 / 10.8)), 1)</f>
        <v>9</v>
      </c>
      <c r="R20" s="12">
        <f>CEILING('Earth Elemental'!$B$6/ IF('Earth Elemental'!$D$6&lt; 10.8, Table1[[#This Row],[STR]], Table1[[#This Row],[STR]] / ('Earth Elemental'!$D$6 / 10.8)), 1)</f>
        <v>9</v>
      </c>
      <c r="S20" s="12">
        <f>CEILING('Wind Elemental'!$B$6/ IF('Wind Elemental'!$D$6&lt; 10.8, Table1[[#This Row],[STR]], Table1[[#This Row],[STR]] / ('Wind Elemental'!$D$6 / 10.8)), 1)</f>
        <v>8</v>
      </c>
      <c r="T20" s="12">
        <f>CEILING('Water Elemental'!$B$6/ IF('Water Elemental'!$D$6&lt; 10.8, Table1[[#This Row],[STR]], Table1[[#This Row],[STR]] / ('Water Elemental'!$D$6 / 10.8)), 1)</f>
        <v>12</v>
      </c>
      <c r="U20" s="12">
        <f>CEILING('Fire Elemental'!$B$4/ IF('Fire Elemental'!$D$4&lt; 10.8, Table1[[#This Row],[STR]], Table1[[#This Row],[STR]] / ('Fire Elemental'!$D$4 / 10.8)), 1)</f>
        <v>15</v>
      </c>
      <c r="V20" s="12">
        <f>CEILING(Wyvern!$B$4/ IF(Wyvern!$D$4&lt; 10.8, Table1[[#This Row],[STR]], Table1[[#This Row],[STR]] / (Wyvern!$D$4 / 10.8)), 1)</f>
        <v>21</v>
      </c>
      <c r="W20" s="12">
        <f>CEILING('Evolved Wyvern'!$B$4/ IF('Evolved Wyvern'!$D$4&lt; 10.8, Table1[[#This Row],[STR]], Table1[[#This Row],[STR]] / ('Evolved Wyvern'!$D$4 / 10.8)), 1)</f>
        <v>28</v>
      </c>
      <c r="X20" s="12">
        <f>CEILING(Dragon!$B$4/ IF(Dragon!$D$4&lt; 10.8, Table1[[#This Row],[STR]], Table1[[#This Row],[STR]] / (Dragon!$D$4 / 10.8)), 1)</f>
        <v>47</v>
      </c>
      <c r="Z20" s="8">
        <f>CEILING('Blue Slime'!$M$5/ IF('Blue Slime'!$O$5&lt; 10.8, Table1[[#This Row],[STR]], Table1[[#This Row],[STR]] / ('Blue Slime'!$O$5 / 10.8)), 1)</f>
        <v>1</v>
      </c>
      <c r="AA20" s="8">
        <f>CEILING('Green Slime'!$M$5/ IF('Green Slime'!$O$5&lt; 10.8, Table1[[#This Row],[STR]], Table1[[#This Row],[STR]] / ('Green Slime'!$O$5 / 10.8)), 1)</f>
        <v>1</v>
      </c>
      <c r="AB20" s="8">
        <f>CEILING(Wolf!$M$6/ IF(Wolf!$O$6&lt; 10.8, Table1[[#This Row],[STR]], Table1[[#This Row],[STR]] / (Wolf!$O$6 / 10.8)), 1)</f>
        <v>3</v>
      </c>
      <c r="AC20" s="8">
        <f>CEILING('Horned Wolf'!$M$5/ IF('Horned Wolf'!$O$5&lt; 10.8, Table1[[#This Row],[STR]], Table1[[#This Row],[STR]] / ('Horned Wolf'!$O$5 / 10.8)), 1)</f>
        <v>8</v>
      </c>
      <c r="AD20" s="14">
        <f>CEILING(Spider!$M$7/ IF(Spider!$O$7&lt; 10.8, Table1[[#This Row],[STR]], Table1[[#This Row],[STR]] / (Spider!$O$7 / 10.8)), 1)</f>
        <v>7</v>
      </c>
      <c r="AE20" s="14">
        <f>CEILING('Evolved Spider'!$M$8/ IF('Evolved Spider'!$O$8&lt; 10.8, Table1[[#This Row],[STR]], Table1[[#This Row],[STR]] / ('Evolved Spider'!$O$8 / 10.8)), 1)</f>
        <v>13</v>
      </c>
      <c r="AF20" s="14">
        <f>CEILING(Arachne!$M$4/ IF(Arachne!$O$4&lt; 10.8, Table1[[#This Row],[STR]], Table1[[#This Row],[STR]] / (Arachne!$O$4 / 10.8)), 1)</f>
        <v>17</v>
      </c>
      <c r="AG20" s="12">
        <f>CEILING('Earth Elemental'!$M$6/ IF('Earth Elemental'!$O$6&lt; 10.8, Table1[[#This Row],[STR]], Table1[[#This Row],[STR]] / ('Earth Elemental'!$O$6 / 10.8)), 1)</f>
        <v>16</v>
      </c>
      <c r="AH20" s="12">
        <f>CEILING('Wind Elemental'!$M$6/ IF('Wind Elemental'!$O$6&lt; 10.8, Table1[[#This Row],[STR]], Table1[[#This Row],[STR]] / ('Wind Elemental'!$O$6 / 10.8)), 1)</f>
        <v>13</v>
      </c>
      <c r="AI20" s="12">
        <f>CEILING('Water Elemental'!$M$6/ IF('Water Elemental'!$O$6&lt; 10.8, Table1[[#This Row],[STR]], Table1[[#This Row],[STR]] / ('Water Elemental'!$O$6 / 10.8)), 1)</f>
        <v>18</v>
      </c>
      <c r="AJ20" s="12">
        <f>CEILING('Fire Elemental'!$M$4/ IF('Fire Elemental'!$O$4&lt; 10.8, Table1[[#This Row],[STR]], Table1[[#This Row],[STR]] / ('Fire Elemental'!$O$4 / 10.8)), 1)</f>
        <v>27</v>
      </c>
      <c r="AK20" s="12">
        <f>CEILING(Wyvern!$M$4/ IF(Wyvern!$O$4&lt; 10.8, Table1[[#This Row],[STR]], Table1[[#This Row],[STR]] / (Wyvern!$O$4 / 10.8)), 1)</f>
        <v>34</v>
      </c>
      <c r="AL20" s="12">
        <f>CEILING('Evolved Wyvern'!$M$4/ IF('Evolved Wyvern'!$O$4&lt; 10.8, Table1[[#This Row],[STR]], Table1[[#This Row],[STR]] / ('Evolved Wyvern'!$O$4 / 10.8)), 1)</f>
        <v>45</v>
      </c>
      <c r="AM20" s="12">
        <f>CEILING(Dragon!$M$4/ IF(Dragon!$O$4&lt; 10.8, Table1[[#This Row],[STR]], Table1[[#This Row],[STR]] / (Dragon!$O$4 / 10.8)), 1)</f>
        <v>74</v>
      </c>
      <c r="AO20" s="8">
        <f>CEILING('Blue Slime'!$Z$5/ IF('Blue Slime'!$X$5&lt; 10.8, Table1[[#This Row],[STR]], Table1[[#This Row],[STR]] / ('Blue Slime'!$X$5 / 10.8)), 1)</f>
        <v>1</v>
      </c>
      <c r="AP20" s="8">
        <f>CEILING('Green Slime'!$Z$5/ IF('Green Slime'!$X$5&lt; 10.8, Table1[[#This Row],[STR]], Table1[[#This Row],[STR]] / ('Green Slime'!$X$5 / 10.8)), 1)</f>
        <v>2</v>
      </c>
      <c r="AQ20" s="8">
        <f>CEILING(Wolf!$Z$6/ IF(Wolf!$X$6&lt; 10.8, Table1[[#This Row],[STR]], Table1[[#This Row],[STR]] / (Wolf!$X$6 / 10.8)), 1)</f>
        <v>5</v>
      </c>
      <c r="AR20" s="8">
        <f>CEILING('Horned Wolf'!$Z$5/ IF('Horned Wolf'!$X$5&lt; 10.8, Table1[[#This Row],[STR]], Table1[[#This Row],[STR]] / ('Horned Wolf'!$X$5 / 10.8)), 1)</f>
        <v>13</v>
      </c>
      <c r="AS20" s="13">
        <f>CEILING(Spider!$Z$7/ IF(Spider!$X$7&lt; 10.8, Table1[[#This Row],[STR]], Table1[[#This Row],[STR]] / (Spider!$X$7 / 10.8)), 1)</f>
        <v>12</v>
      </c>
      <c r="AT20" s="13">
        <f>CEILING('Evolved Spider'!$Z$8/ IF('Evolved Spider'!$X$8&lt; 10.8, Table1[[#This Row],[STR]], Table1[[#This Row],[STR]] / ('Evolved Spider'!$X$8 / 10.8)), 1)</f>
        <v>21</v>
      </c>
      <c r="AU20" s="13">
        <f>CEILING(Arachne!$Z$4/ IF(Arachne!$X$4&lt; 10.8, Table1[[#This Row],[STR]], Table1[[#This Row],[STR]] / (Arachne!$X$4 / 10.8)), 1)</f>
        <v>28</v>
      </c>
      <c r="AV20" s="12">
        <f>CEILING('Earth Elemental'!$Z$6/ IF('Earth Elemental'!$X$6&lt; 10.8, Table1[[#This Row],[STR]], Table1[[#This Row],[STR]] / ('Earth Elemental'!$X$6 / 10.8)), 1)</f>
        <v>24</v>
      </c>
      <c r="AW20" s="12">
        <f>CEILING('Wind Elemental'!$Z$6/ IF('Wind Elemental'!$X$6&lt; 10.8, Table1[[#This Row],[STR]], Table1[[#This Row],[STR]] / ('Wind Elemental'!$X$6 / 10.8)), 1)</f>
        <v>18</v>
      </c>
      <c r="AX20" s="12">
        <f>CEILING('Water Elemental'!$Z$6/ IF('Water Elemental'!$X$6&lt; 10.8, Table1[[#This Row],[STR]], Table1[[#This Row],[STR]] / ('Water Elemental'!$X$6 / 10.8)), 1)</f>
        <v>25</v>
      </c>
      <c r="AY20" s="12">
        <f>CEILING('Fire Elemental'!$Z$4/ IF('Fire Elemental'!$X$4&lt; 10.8, Table1[[#This Row],[STR]], Table1[[#This Row],[STR]] / ('Fire Elemental'!$X$4 / 10.8)), 1)</f>
        <v>41</v>
      </c>
      <c r="AZ20" s="12">
        <f>CEILING(Wyvern!$Z$4/ IF(Wyvern!$X$4&lt; 10.8, Table1[[#This Row],[STR]], Table1[[#This Row],[STR]] / (Wyvern!$X$4 / 10.8)), 1)</f>
        <v>49</v>
      </c>
      <c r="BA20" s="12">
        <f>CEILING('Evolved Wyvern'!$Z$4/ IF('Evolved Wyvern'!$X$4&lt; 10.8, Table1[[#This Row],[STR]], Table1[[#This Row],[STR]] / ('Evolved Wyvern'!$X$4 / 10.8)), 1)</f>
        <v>63</v>
      </c>
      <c r="BB20" s="12">
        <f>CEILING(Dragon!$Z$4/ IF(Dragon!$X$4&lt; 10.8, Table1[[#This Row],[STR]], Table1[[#This Row],[STR]] / (Dragon!$X$4 / 10.8)), 1)</f>
        <v>106</v>
      </c>
    </row>
    <row r="21" spans="1:54" x14ac:dyDescent="0.3">
      <c r="A21" s="1">
        <v>19</v>
      </c>
      <c r="B21" s="1">
        <f>$B$3 + ((Table1[[#This Row],[Level]] / 10) + $B$3 / 8) * Table1[[#This Row],[Level]] + Equipment!$AK$18</f>
        <v>95.6</v>
      </c>
      <c r="C21" s="1">
        <f xml:space="preserve"> 2*Table1[[#This Row],[INT]]</f>
        <v>91</v>
      </c>
      <c r="D21" s="1">
        <f>$D$3 + ($D$3 / 4) * Table1[[#This Row],[Level]] + Equipment!$AL$18</f>
        <v>45.5</v>
      </c>
      <c r="E21" s="1">
        <f>$E$3 + ($E$3 / 4) * Table1[[#This Row],[Level]] + Equipment!$AM$18</f>
        <v>37.75</v>
      </c>
      <c r="F21" s="1">
        <f>$F$3 + ($F$3 / 4) * Table1[[#This Row],[Level]] + Equipment!$AN$18</f>
        <v>60</v>
      </c>
      <c r="G21" s="1">
        <f>$G$3 + ($G$3 / 4) * Table1[[#This Row],[Level]] + Equipment!$AO$18</f>
        <v>45.5</v>
      </c>
      <c r="H21" s="1">
        <f>$H$3 + ($H$3 / 4) * Table1[[#This Row],[Level]] + Equipment!$AP$18</f>
        <v>52.25</v>
      </c>
      <c r="I21" s="34">
        <f xml:space="preserve"> (4 * (Table1[[#This Row],[Level]] ^ 3))/7 + $I$3</f>
        <v>4019.4285714285716</v>
      </c>
      <c r="K21" s="8">
        <f>CEILING('Blue Slime'!$B$5/ IF('Blue Slime'!$D$5&lt; 10.8, Table1[[#This Row],[STR]], Table1[[#This Row],[STR]] / ('Blue Slime'!$D$5 / 10.8)), 1)</f>
        <v>1</v>
      </c>
      <c r="L21" s="8">
        <f>CEILING('Green Slime'!$B$5/ IF('Green Slime'!$D$5&lt; 10.8, Table1[[#This Row],[STR]], Table1[[#This Row],[STR]] / ('Green Slime'!$D$5 / 10.8)), 1)</f>
        <v>1</v>
      </c>
      <c r="M21" s="8">
        <f>CEILING(Wolf!$B$6/ IF(Wolf!$D$6&lt; 10.8, Table1[[#This Row],[STR]], Table1[[#This Row],[STR]] / (Wolf!$D$6 / 10.8)), 1)</f>
        <v>2</v>
      </c>
      <c r="N21" s="8">
        <f>CEILING('Horned Wolf'!$B$5/ IF('Horned Wolf'!$D$5&lt; 10.8, Table1[[#This Row],[STR]], Table1[[#This Row],[STR]] / ('Horned Wolf'!$D$5 / 10.8)), 1)</f>
        <v>4</v>
      </c>
      <c r="O21" s="14">
        <f>CEILING(Spider!$B$7/ IF(Spider!$D$7&lt; 10.8, Table1[[#This Row],[STR]], Table1[[#This Row],[STR]] / (Spider!$D$7 / 10.8)), 1)</f>
        <v>4</v>
      </c>
      <c r="P21" s="14">
        <f>CEILING('Evolved Spider'!$B$8/ IF('Evolved Spider'!$D$8&lt; 10.8, Table1[[#This Row],[STR]], Table1[[#This Row],[STR]] / ('Evolved Spider'!$D$8 / 10.8)), 1)</f>
        <v>7</v>
      </c>
      <c r="Q21" s="14">
        <f>CEILING(Arachne!$B$4/ IF(Arachne!$D$4&lt; 10.8, Table1[[#This Row],[STR]], Table1[[#This Row],[STR]] / (Arachne!$D$4 / 10.8)), 1)</f>
        <v>9</v>
      </c>
      <c r="R21" s="12">
        <f>CEILING('Earth Elemental'!$B$6/ IF('Earth Elemental'!$D$6&lt; 10.8, Table1[[#This Row],[STR]], Table1[[#This Row],[STR]] / ('Earth Elemental'!$D$6 / 10.8)), 1)</f>
        <v>9</v>
      </c>
      <c r="S21" s="12">
        <f>CEILING('Wind Elemental'!$B$6/ IF('Wind Elemental'!$D$6&lt; 10.8, Table1[[#This Row],[STR]], Table1[[#This Row],[STR]] / ('Wind Elemental'!$D$6 / 10.8)), 1)</f>
        <v>8</v>
      </c>
      <c r="T21" s="12">
        <f>CEILING('Water Elemental'!$B$6/ IF('Water Elemental'!$D$6&lt; 10.8, Table1[[#This Row],[STR]], Table1[[#This Row],[STR]] / ('Water Elemental'!$D$6 / 10.8)), 1)</f>
        <v>12</v>
      </c>
      <c r="U21" s="12">
        <f>CEILING('Fire Elemental'!$B$4/ IF('Fire Elemental'!$D$4&lt; 10.8, Table1[[#This Row],[STR]], Table1[[#This Row],[STR]] / ('Fire Elemental'!$D$4 / 10.8)), 1)</f>
        <v>15</v>
      </c>
      <c r="V21" s="12">
        <f>CEILING(Wyvern!$B$4/ IF(Wyvern!$D$4&lt; 10.8, Table1[[#This Row],[STR]], Table1[[#This Row],[STR]] / (Wyvern!$D$4 / 10.8)), 1)</f>
        <v>20</v>
      </c>
      <c r="W21" s="12">
        <f>CEILING('Evolved Wyvern'!$B$4/ IF('Evolved Wyvern'!$D$4&lt; 10.8, Table1[[#This Row],[STR]], Table1[[#This Row],[STR]] / ('Evolved Wyvern'!$D$4 / 10.8)), 1)</f>
        <v>28</v>
      </c>
      <c r="X21" s="12">
        <f>CEILING(Dragon!$B$4/ IF(Dragon!$D$4&lt; 10.8, Table1[[#This Row],[STR]], Table1[[#This Row],[STR]] / (Dragon!$D$4 / 10.8)), 1)</f>
        <v>45</v>
      </c>
      <c r="Z21" s="8">
        <f>CEILING('Blue Slime'!$M$5/ IF('Blue Slime'!$O$5&lt; 10.8, Table1[[#This Row],[STR]], Table1[[#This Row],[STR]] / ('Blue Slime'!$O$5 / 10.8)), 1)</f>
        <v>1</v>
      </c>
      <c r="AA21" s="8">
        <f>CEILING('Green Slime'!$M$5/ IF('Green Slime'!$O$5&lt; 10.8, Table1[[#This Row],[STR]], Table1[[#This Row],[STR]] / ('Green Slime'!$O$5 / 10.8)), 1)</f>
        <v>1</v>
      </c>
      <c r="AB21" s="8">
        <f>CEILING(Wolf!$M$6/ IF(Wolf!$O$6&lt; 10.8, Table1[[#This Row],[STR]], Table1[[#This Row],[STR]] / (Wolf!$O$6 / 10.8)), 1)</f>
        <v>3</v>
      </c>
      <c r="AC21" s="8">
        <f>CEILING('Horned Wolf'!$M$5/ IF('Horned Wolf'!$O$5&lt; 10.8, Table1[[#This Row],[STR]], Table1[[#This Row],[STR]] / ('Horned Wolf'!$O$5 / 10.8)), 1)</f>
        <v>8</v>
      </c>
      <c r="AD21" s="14">
        <f>CEILING(Spider!$M$7/ IF(Spider!$O$7&lt; 10.8, Table1[[#This Row],[STR]], Table1[[#This Row],[STR]] / (Spider!$O$7 / 10.8)), 1)</f>
        <v>7</v>
      </c>
      <c r="AE21" s="14">
        <f>CEILING('Evolved Spider'!$M$8/ IF('Evolved Spider'!$O$8&lt; 10.8, Table1[[#This Row],[STR]], Table1[[#This Row],[STR]] / ('Evolved Spider'!$O$8 / 10.8)), 1)</f>
        <v>12</v>
      </c>
      <c r="AF21" s="14">
        <f>CEILING(Arachne!$M$4/ IF(Arachne!$O$4&lt; 10.8, Table1[[#This Row],[STR]], Table1[[#This Row],[STR]] / (Arachne!$O$4 / 10.8)), 1)</f>
        <v>17</v>
      </c>
      <c r="AG21" s="12">
        <f>CEILING('Earth Elemental'!$M$6/ IF('Earth Elemental'!$O$6&lt; 10.8, Table1[[#This Row],[STR]], Table1[[#This Row],[STR]] / ('Earth Elemental'!$O$6 / 10.8)), 1)</f>
        <v>15</v>
      </c>
      <c r="AH21" s="12">
        <f>CEILING('Wind Elemental'!$M$6/ IF('Wind Elemental'!$O$6&lt; 10.8, Table1[[#This Row],[STR]], Table1[[#This Row],[STR]] / ('Wind Elemental'!$O$6 / 10.8)), 1)</f>
        <v>13</v>
      </c>
      <c r="AI21" s="12">
        <f>CEILING('Water Elemental'!$M$6/ IF('Water Elemental'!$O$6&lt; 10.8, Table1[[#This Row],[STR]], Table1[[#This Row],[STR]] / ('Water Elemental'!$O$6 / 10.8)), 1)</f>
        <v>18</v>
      </c>
      <c r="AJ21" s="12">
        <f>CEILING('Fire Elemental'!$M$4/ IF('Fire Elemental'!$O$4&lt; 10.8, Table1[[#This Row],[STR]], Table1[[#This Row],[STR]] / ('Fire Elemental'!$O$4 / 10.8)), 1)</f>
        <v>26</v>
      </c>
      <c r="AK21" s="12">
        <f>CEILING(Wyvern!$M$4/ IF(Wyvern!$O$4&lt; 10.8, Table1[[#This Row],[STR]], Table1[[#This Row],[STR]] / (Wyvern!$O$4 / 10.8)), 1)</f>
        <v>33</v>
      </c>
      <c r="AL21" s="12">
        <f>CEILING('Evolved Wyvern'!$M$4/ IF('Evolved Wyvern'!$O$4&lt; 10.8, Table1[[#This Row],[STR]], Table1[[#This Row],[STR]] / ('Evolved Wyvern'!$O$4 / 10.8)), 1)</f>
        <v>43</v>
      </c>
      <c r="AM21" s="12">
        <f>CEILING(Dragon!$M$4/ IF(Dragon!$O$4&lt; 10.8, Table1[[#This Row],[STR]], Table1[[#This Row],[STR]] / (Dragon!$O$4 / 10.8)), 1)</f>
        <v>72</v>
      </c>
      <c r="AO21" s="8">
        <f>CEILING('Blue Slime'!$Z$5/ IF('Blue Slime'!$X$5&lt; 10.8, Table1[[#This Row],[STR]], Table1[[#This Row],[STR]] / ('Blue Slime'!$X$5 / 10.8)), 1)</f>
        <v>1</v>
      </c>
      <c r="AP21" s="8">
        <f>CEILING('Green Slime'!$Z$5/ IF('Green Slime'!$X$5&lt; 10.8, Table1[[#This Row],[STR]], Table1[[#This Row],[STR]] / ('Green Slime'!$X$5 / 10.8)), 1)</f>
        <v>2</v>
      </c>
      <c r="AQ21" s="8">
        <f>CEILING(Wolf!$Z$6/ IF(Wolf!$X$6&lt; 10.8, Table1[[#This Row],[STR]], Table1[[#This Row],[STR]] / (Wolf!$X$6 / 10.8)), 1)</f>
        <v>5</v>
      </c>
      <c r="AR21" s="8">
        <f>CEILING('Horned Wolf'!$Z$5/ IF('Horned Wolf'!$X$5&lt; 10.8, Table1[[#This Row],[STR]], Table1[[#This Row],[STR]] / ('Horned Wolf'!$X$5 / 10.8)), 1)</f>
        <v>13</v>
      </c>
      <c r="AS21" s="13">
        <f>CEILING(Spider!$Z$7/ IF(Spider!$X$7&lt; 10.8, Table1[[#This Row],[STR]], Table1[[#This Row],[STR]] / (Spider!$X$7 / 10.8)), 1)</f>
        <v>11</v>
      </c>
      <c r="AT21" s="13">
        <f>CEILING('Evolved Spider'!$Z$8/ IF('Evolved Spider'!$X$8&lt; 10.8, Table1[[#This Row],[STR]], Table1[[#This Row],[STR]] / ('Evolved Spider'!$X$8 / 10.8)), 1)</f>
        <v>20</v>
      </c>
      <c r="AU21" s="13">
        <f>CEILING(Arachne!$Z$4/ IF(Arachne!$X$4&lt; 10.8, Table1[[#This Row],[STR]], Table1[[#This Row],[STR]] / (Arachne!$X$4 / 10.8)), 1)</f>
        <v>27</v>
      </c>
      <c r="AV21" s="12">
        <f>CEILING('Earth Elemental'!$Z$6/ IF('Earth Elemental'!$X$6&lt; 10.8, Table1[[#This Row],[STR]], Table1[[#This Row],[STR]] / ('Earth Elemental'!$X$6 / 10.8)), 1)</f>
        <v>23</v>
      </c>
      <c r="AW21" s="12">
        <f>CEILING('Wind Elemental'!$Z$6/ IF('Wind Elemental'!$X$6&lt; 10.8, Table1[[#This Row],[STR]], Table1[[#This Row],[STR]] / ('Wind Elemental'!$X$6 / 10.8)), 1)</f>
        <v>18</v>
      </c>
      <c r="AX21" s="12">
        <f>CEILING('Water Elemental'!$Z$6/ IF('Water Elemental'!$X$6&lt; 10.8, Table1[[#This Row],[STR]], Table1[[#This Row],[STR]] / ('Water Elemental'!$X$6 / 10.8)), 1)</f>
        <v>24</v>
      </c>
      <c r="AY21" s="12">
        <f>CEILING('Fire Elemental'!$Z$4/ IF('Fire Elemental'!$X$4&lt; 10.8, Table1[[#This Row],[STR]], Table1[[#This Row],[STR]] / ('Fire Elemental'!$X$4 / 10.8)), 1)</f>
        <v>39</v>
      </c>
      <c r="AZ21" s="12">
        <f>CEILING(Wyvern!$Z$4/ IF(Wyvern!$X$4&lt; 10.8, Table1[[#This Row],[STR]], Table1[[#This Row],[STR]] / (Wyvern!$X$4 / 10.8)), 1)</f>
        <v>47</v>
      </c>
      <c r="BA21" s="12">
        <f>CEILING('Evolved Wyvern'!$Z$4/ IF('Evolved Wyvern'!$X$4&lt; 10.8, Table1[[#This Row],[STR]], Table1[[#This Row],[STR]] / ('Evolved Wyvern'!$X$4 / 10.8)), 1)</f>
        <v>61</v>
      </c>
      <c r="BB21" s="12">
        <f>CEILING(Dragon!$Z$4/ IF(Dragon!$X$4&lt; 10.8, Table1[[#This Row],[STR]], Table1[[#This Row],[STR]] / (Dragon!$X$4 / 10.8)), 1)</f>
        <v>102</v>
      </c>
    </row>
    <row r="22" spans="1:54" x14ac:dyDescent="0.3">
      <c r="A22" s="1">
        <v>20</v>
      </c>
      <c r="B22" s="1">
        <f>$B$3 + ((Table1[[#This Row],[Level]] / 10) + $B$3 / 8) * Table1[[#This Row],[Level]] + Equipment!$AK$18</f>
        <v>101</v>
      </c>
      <c r="C22" s="1">
        <f xml:space="preserve"> 2*Table1[[#This Row],[INT]]</f>
        <v>94</v>
      </c>
      <c r="D22" s="1">
        <f>$D$3 + ($D$3 / 4) * Table1[[#This Row],[Level]] + Equipment!$AL$18</f>
        <v>47</v>
      </c>
      <c r="E22" s="1">
        <f>$E$3 + ($E$3 / 4) * Table1[[#This Row],[Level]] + Equipment!$AM$18</f>
        <v>39</v>
      </c>
      <c r="F22" s="1">
        <f>$F$3 + ($F$3 / 4) * Table1[[#This Row],[Level]] + Equipment!$AN$18</f>
        <v>62</v>
      </c>
      <c r="G22" s="1">
        <f>$G$3 + ($G$3 / 4) * Table1[[#This Row],[Level]] + Equipment!$AO$18</f>
        <v>47</v>
      </c>
      <c r="H22" s="1">
        <f>$H$3 + ($H$3 / 4) * Table1[[#This Row],[Level]] + Equipment!$AP$18</f>
        <v>54</v>
      </c>
      <c r="I22" s="34">
        <f xml:space="preserve"> (4 * (Table1[[#This Row],[Level]] ^ 3))/7 + $I$3</f>
        <v>4671.4285714285716</v>
      </c>
      <c r="K22" s="8">
        <f>CEILING('Blue Slime'!$B$5/ IF('Blue Slime'!$D$5&lt; 10.8, Table1[[#This Row],[STR]], Table1[[#This Row],[STR]] / ('Blue Slime'!$D$5 / 10.8)), 1)</f>
        <v>1</v>
      </c>
      <c r="L22" s="8">
        <f>CEILING('Green Slime'!$B$5/ IF('Green Slime'!$D$5&lt; 10.8, Table1[[#This Row],[STR]], Table1[[#This Row],[STR]] / ('Green Slime'!$D$5 / 10.8)), 1)</f>
        <v>1</v>
      </c>
      <c r="M22" s="8">
        <f>CEILING(Wolf!$B$6/ IF(Wolf!$D$6&lt; 10.8, Table1[[#This Row],[STR]], Table1[[#This Row],[STR]] / (Wolf!$D$6 / 10.8)), 1)</f>
        <v>2</v>
      </c>
      <c r="N22" s="8">
        <f>CEILING('Horned Wolf'!$B$5/ IF('Horned Wolf'!$D$5&lt; 10.8, Table1[[#This Row],[STR]], Table1[[#This Row],[STR]] / ('Horned Wolf'!$D$5 / 10.8)), 1)</f>
        <v>4</v>
      </c>
      <c r="O22" s="14">
        <f>CEILING(Spider!$B$7/ IF(Spider!$D$7&lt; 10.8, Table1[[#This Row],[STR]], Table1[[#This Row],[STR]] / (Spider!$D$7 / 10.8)), 1)</f>
        <v>4</v>
      </c>
      <c r="P22" s="14">
        <f>CEILING('Evolved Spider'!$B$8/ IF('Evolved Spider'!$D$8&lt; 10.8, Table1[[#This Row],[STR]], Table1[[#This Row],[STR]] / ('Evolved Spider'!$D$8 / 10.8)), 1)</f>
        <v>6</v>
      </c>
      <c r="Q22" s="14">
        <f>CEILING(Arachne!$B$4/ IF(Arachne!$D$4&lt; 10.8, Table1[[#This Row],[STR]], Table1[[#This Row],[STR]] / (Arachne!$D$4 / 10.8)), 1)</f>
        <v>8</v>
      </c>
      <c r="R22" s="12">
        <f>CEILING('Earth Elemental'!$B$6/ IF('Earth Elemental'!$D$6&lt; 10.8, Table1[[#This Row],[STR]], Table1[[#This Row],[STR]] / ('Earth Elemental'!$D$6 / 10.8)), 1)</f>
        <v>9</v>
      </c>
      <c r="S22" s="12">
        <f>CEILING('Wind Elemental'!$B$6/ IF('Wind Elemental'!$D$6&lt; 10.8, Table1[[#This Row],[STR]], Table1[[#This Row],[STR]] / ('Wind Elemental'!$D$6 / 10.8)), 1)</f>
        <v>8</v>
      </c>
      <c r="T22" s="12">
        <f>CEILING('Water Elemental'!$B$6/ IF('Water Elemental'!$D$6&lt; 10.8, Table1[[#This Row],[STR]], Table1[[#This Row],[STR]] / ('Water Elemental'!$D$6 / 10.8)), 1)</f>
        <v>11</v>
      </c>
      <c r="U22" s="12">
        <f>CEILING('Fire Elemental'!$B$4/ IF('Fire Elemental'!$D$4&lt; 10.8, Table1[[#This Row],[STR]], Table1[[#This Row],[STR]] / ('Fire Elemental'!$D$4 / 10.8)), 1)</f>
        <v>14</v>
      </c>
      <c r="V22" s="12">
        <f>CEILING(Wyvern!$B$4/ IF(Wyvern!$D$4&lt; 10.8, Table1[[#This Row],[STR]], Table1[[#This Row],[STR]] / (Wyvern!$D$4 / 10.8)), 1)</f>
        <v>19</v>
      </c>
      <c r="W22" s="12">
        <f>CEILING('Evolved Wyvern'!$B$4/ IF('Evolved Wyvern'!$D$4&lt; 10.8, Table1[[#This Row],[STR]], Table1[[#This Row],[STR]] / ('Evolved Wyvern'!$D$4 / 10.8)), 1)</f>
        <v>27</v>
      </c>
      <c r="X22" s="12">
        <f>CEILING(Dragon!$B$4/ IF(Dragon!$D$4&lt; 10.8, Table1[[#This Row],[STR]], Table1[[#This Row],[STR]] / (Dragon!$D$4 / 10.8)), 1)</f>
        <v>44</v>
      </c>
      <c r="Z22" s="8">
        <f>CEILING('Blue Slime'!$M$5/ IF('Blue Slime'!$O$5&lt; 10.8, Table1[[#This Row],[STR]], Table1[[#This Row],[STR]] / ('Blue Slime'!$O$5 / 10.8)), 1)</f>
        <v>1</v>
      </c>
      <c r="AA22" s="8">
        <f>CEILING('Green Slime'!$M$5/ IF('Green Slime'!$O$5&lt; 10.8, Table1[[#This Row],[STR]], Table1[[#This Row],[STR]] / ('Green Slime'!$O$5 / 10.8)), 1)</f>
        <v>1</v>
      </c>
      <c r="AB22" s="8">
        <f>CEILING(Wolf!$M$6/ IF(Wolf!$O$6&lt; 10.8, Table1[[#This Row],[STR]], Table1[[#This Row],[STR]] / (Wolf!$O$6 / 10.8)), 1)</f>
        <v>3</v>
      </c>
      <c r="AC22" s="8">
        <f>CEILING('Horned Wolf'!$M$5/ IF('Horned Wolf'!$O$5&lt; 10.8, Table1[[#This Row],[STR]], Table1[[#This Row],[STR]] / ('Horned Wolf'!$O$5 / 10.8)), 1)</f>
        <v>7</v>
      </c>
      <c r="AD22" s="14">
        <f>CEILING(Spider!$M$7/ IF(Spider!$O$7&lt; 10.8, Table1[[#This Row],[STR]], Table1[[#This Row],[STR]] / (Spider!$O$7 / 10.8)), 1)</f>
        <v>7</v>
      </c>
      <c r="AE22" s="14">
        <f>CEILING('Evolved Spider'!$M$8/ IF('Evolved Spider'!$O$8&lt; 10.8, Table1[[#This Row],[STR]], Table1[[#This Row],[STR]] / ('Evolved Spider'!$O$8 / 10.8)), 1)</f>
        <v>12</v>
      </c>
      <c r="AF22" s="14">
        <f>CEILING(Arachne!$M$4/ IF(Arachne!$O$4&lt; 10.8, Table1[[#This Row],[STR]], Table1[[#This Row],[STR]] / (Arachne!$O$4 / 10.8)), 1)</f>
        <v>16</v>
      </c>
      <c r="AG22" s="12">
        <f>CEILING('Earth Elemental'!$M$6/ IF('Earth Elemental'!$O$6&lt; 10.8, Table1[[#This Row],[STR]], Table1[[#This Row],[STR]] / ('Earth Elemental'!$O$6 / 10.8)), 1)</f>
        <v>15</v>
      </c>
      <c r="AH22" s="12">
        <f>CEILING('Wind Elemental'!$M$6/ IF('Wind Elemental'!$O$6&lt; 10.8, Table1[[#This Row],[STR]], Table1[[#This Row],[STR]] / ('Wind Elemental'!$O$6 / 10.8)), 1)</f>
        <v>12</v>
      </c>
      <c r="AI22" s="12">
        <f>CEILING('Water Elemental'!$M$6/ IF('Water Elemental'!$O$6&lt; 10.8, Table1[[#This Row],[STR]], Table1[[#This Row],[STR]] / ('Water Elemental'!$O$6 / 10.8)), 1)</f>
        <v>17</v>
      </c>
      <c r="AJ22" s="12">
        <f>CEILING('Fire Elemental'!$M$4/ IF('Fire Elemental'!$O$4&lt; 10.8, Table1[[#This Row],[STR]], Table1[[#This Row],[STR]] / ('Fire Elemental'!$O$4 / 10.8)), 1)</f>
        <v>25</v>
      </c>
      <c r="AK22" s="12">
        <f>CEILING(Wyvern!$M$4/ IF(Wyvern!$O$4&lt; 10.8, Table1[[#This Row],[STR]], Table1[[#This Row],[STR]] / (Wyvern!$O$4 / 10.8)), 1)</f>
        <v>32</v>
      </c>
      <c r="AL22" s="12">
        <f>CEILING('Evolved Wyvern'!$M$4/ IF('Evolved Wyvern'!$O$4&lt; 10.8, Table1[[#This Row],[STR]], Table1[[#This Row],[STR]] / ('Evolved Wyvern'!$O$4 / 10.8)), 1)</f>
        <v>42</v>
      </c>
      <c r="AM22" s="12">
        <f>CEILING(Dragon!$M$4/ IF(Dragon!$O$4&lt; 10.8, Table1[[#This Row],[STR]], Table1[[#This Row],[STR]] / (Dragon!$O$4 / 10.8)), 1)</f>
        <v>70</v>
      </c>
      <c r="AO22" s="8">
        <f>CEILING('Blue Slime'!$Z$5/ IF('Blue Slime'!$X$5&lt; 10.8, Table1[[#This Row],[STR]], Table1[[#This Row],[STR]] / ('Blue Slime'!$X$5 / 10.8)), 1)</f>
        <v>1</v>
      </c>
      <c r="AP22" s="8">
        <f>CEILING('Green Slime'!$Z$5/ IF('Green Slime'!$X$5&lt; 10.8, Table1[[#This Row],[STR]], Table1[[#This Row],[STR]] / ('Green Slime'!$X$5 / 10.8)), 1)</f>
        <v>2</v>
      </c>
      <c r="AQ22" s="8">
        <f>CEILING(Wolf!$Z$6/ IF(Wolf!$X$6&lt; 10.8, Table1[[#This Row],[STR]], Table1[[#This Row],[STR]] / (Wolf!$X$6 / 10.8)), 1)</f>
        <v>5</v>
      </c>
      <c r="AR22" s="8">
        <f>CEILING('Horned Wolf'!$Z$5/ IF('Horned Wolf'!$X$5&lt; 10.8, Table1[[#This Row],[STR]], Table1[[#This Row],[STR]] / ('Horned Wolf'!$X$5 / 10.8)), 1)</f>
        <v>12</v>
      </c>
      <c r="AS22" s="13">
        <f>CEILING(Spider!$Z$7/ IF(Spider!$X$7&lt; 10.8, Table1[[#This Row],[STR]], Table1[[#This Row],[STR]] / (Spider!$X$7 / 10.8)), 1)</f>
        <v>11</v>
      </c>
      <c r="AT22" s="13">
        <f>CEILING('Evolved Spider'!$Z$8/ IF('Evolved Spider'!$X$8&lt; 10.8, Table1[[#This Row],[STR]], Table1[[#This Row],[STR]] / ('Evolved Spider'!$X$8 / 10.8)), 1)</f>
        <v>19</v>
      </c>
      <c r="AU22" s="13">
        <f>CEILING(Arachne!$Z$4/ IF(Arachne!$X$4&lt; 10.8, Table1[[#This Row],[STR]], Table1[[#This Row],[STR]] / (Arachne!$X$4 / 10.8)), 1)</f>
        <v>26</v>
      </c>
      <c r="AV22" s="12">
        <f>CEILING('Earth Elemental'!$Z$6/ IF('Earth Elemental'!$X$6&lt; 10.8, Table1[[#This Row],[STR]], Table1[[#This Row],[STR]] / ('Earth Elemental'!$X$6 / 10.8)), 1)</f>
        <v>22</v>
      </c>
      <c r="AW22" s="12">
        <f>CEILING('Wind Elemental'!$Z$6/ IF('Wind Elemental'!$X$6&lt; 10.8, Table1[[#This Row],[STR]], Table1[[#This Row],[STR]] / ('Wind Elemental'!$X$6 / 10.8)), 1)</f>
        <v>17</v>
      </c>
      <c r="AX22" s="12">
        <f>CEILING('Water Elemental'!$Z$6/ IF('Water Elemental'!$X$6&lt; 10.8, Table1[[#This Row],[STR]], Table1[[#This Row],[STR]] / ('Water Elemental'!$X$6 / 10.8)), 1)</f>
        <v>24</v>
      </c>
      <c r="AY22" s="12">
        <f>CEILING('Fire Elemental'!$Z$4/ IF('Fire Elemental'!$X$4&lt; 10.8, Table1[[#This Row],[STR]], Table1[[#This Row],[STR]] / ('Fire Elemental'!$X$4 / 10.8)), 1)</f>
        <v>38</v>
      </c>
      <c r="AZ22" s="12">
        <f>CEILING(Wyvern!$Z$4/ IF(Wyvern!$X$4&lt; 10.8, Table1[[#This Row],[STR]], Table1[[#This Row],[STR]] / (Wyvern!$X$4 / 10.8)), 1)</f>
        <v>46</v>
      </c>
      <c r="BA22" s="12">
        <f>CEILING('Evolved Wyvern'!$Z$4/ IF('Evolved Wyvern'!$X$4&lt; 10.8, Table1[[#This Row],[STR]], Table1[[#This Row],[STR]] / ('Evolved Wyvern'!$X$4 / 10.8)), 1)</f>
        <v>59</v>
      </c>
      <c r="BB22" s="12">
        <f>CEILING(Dragon!$Z$4/ IF(Dragon!$X$4&lt; 10.8, Table1[[#This Row],[STR]], Table1[[#This Row],[STR]] / (Dragon!$X$4 / 10.8)), 1)</f>
        <v>99</v>
      </c>
    </row>
    <row r="23" spans="1:54" x14ac:dyDescent="0.3">
      <c r="A23" s="1">
        <v>21</v>
      </c>
      <c r="B23" s="1">
        <f>$B$3 + ((Table1[[#This Row],[Level]] / 10) + $B$3 / 8) * Table1[[#This Row],[Level]] + Equipment!$AK$18</f>
        <v>106.60000000000001</v>
      </c>
      <c r="C23" s="1">
        <f xml:space="preserve"> 2*Table1[[#This Row],[INT]]</f>
        <v>97</v>
      </c>
      <c r="D23" s="1">
        <f>$D$3 + ($D$3 / 4) * Table1[[#This Row],[Level]] + Equipment!$AL$18</f>
        <v>48.5</v>
      </c>
      <c r="E23" s="1">
        <f>$E$3 + ($E$3 / 4) * Table1[[#This Row],[Level]] + Equipment!$AM$18</f>
        <v>40.25</v>
      </c>
      <c r="F23" s="1">
        <f>$F$3 + ($F$3 / 4) * Table1[[#This Row],[Level]] + Equipment!$AN$18</f>
        <v>64</v>
      </c>
      <c r="G23" s="1">
        <f>$G$3 + ($G$3 / 4) * Table1[[#This Row],[Level]] + Equipment!$AO$18</f>
        <v>48.5</v>
      </c>
      <c r="H23" s="1">
        <f>$H$3 + ($H$3 / 4) * Table1[[#This Row],[Level]] + Equipment!$AP$18</f>
        <v>55.75</v>
      </c>
      <c r="I23" s="34">
        <f xml:space="preserve"> (4 * (Table1[[#This Row],[Level]] ^ 3))/7 + $I$3</f>
        <v>5392</v>
      </c>
      <c r="K23" s="8">
        <f>CEILING('Blue Slime'!$B$5/ IF('Blue Slime'!$D$5&lt; 10.8, Table1[[#This Row],[STR]], Table1[[#This Row],[STR]] / ('Blue Slime'!$D$5 / 10.8)), 1)</f>
        <v>1</v>
      </c>
      <c r="L23" s="8">
        <f>CEILING('Green Slime'!$B$5/ IF('Green Slime'!$D$5&lt; 10.8, Table1[[#This Row],[STR]], Table1[[#This Row],[STR]] / ('Green Slime'!$D$5 / 10.8)), 1)</f>
        <v>1</v>
      </c>
      <c r="M23" s="8">
        <f>CEILING(Wolf!$B$6/ IF(Wolf!$D$6&lt; 10.8, Table1[[#This Row],[STR]], Table1[[#This Row],[STR]] / (Wolf!$D$6 / 10.8)), 1)</f>
        <v>2</v>
      </c>
      <c r="N23" s="8">
        <f>CEILING('Horned Wolf'!$B$5/ IF('Horned Wolf'!$D$5&lt; 10.8, Table1[[#This Row],[STR]], Table1[[#This Row],[STR]] / ('Horned Wolf'!$D$5 / 10.8)), 1)</f>
        <v>4</v>
      </c>
      <c r="O23" s="8">
        <f>CEILING(Spider!$B$7/ IF(Spider!$D$7&lt; 10.8, Table1[[#This Row],[STR]], Table1[[#This Row],[STR]] / (Spider!$D$7 / 10.8)), 1)</f>
        <v>3</v>
      </c>
      <c r="P23" s="8">
        <f>CEILING('Evolved Spider'!$B$8/ IF('Evolved Spider'!$D$8&lt; 10.8, Table1[[#This Row],[STR]], Table1[[#This Row],[STR]] / ('Evolved Spider'!$D$8 / 10.8)), 1)</f>
        <v>6</v>
      </c>
      <c r="Q23" s="8">
        <f>CEILING(Arachne!$B$4/ IF(Arachne!$D$4&lt; 10.8, Table1[[#This Row],[STR]], Table1[[#This Row],[STR]] / (Arachne!$D$4 / 10.8)), 1)</f>
        <v>8</v>
      </c>
      <c r="R23" s="15">
        <f>CEILING('Earth Elemental'!$B$6/ IF('Earth Elemental'!$D$6&lt; 10.8, Table1[[#This Row],[STR]], Table1[[#This Row],[STR]] / ('Earth Elemental'!$D$6 / 10.8)), 1)</f>
        <v>8</v>
      </c>
      <c r="S23" s="15">
        <f>CEILING('Wind Elemental'!$B$6/ IF('Wind Elemental'!$D$6&lt; 10.8, Table1[[#This Row],[STR]], Table1[[#This Row],[STR]] / ('Wind Elemental'!$D$6 / 10.8)), 1)</f>
        <v>7</v>
      </c>
      <c r="T23" s="15">
        <f>CEILING('Water Elemental'!$B$6/ IF('Water Elemental'!$D$6&lt; 10.8, Table1[[#This Row],[STR]], Table1[[#This Row],[STR]] / ('Water Elemental'!$D$6 / 10.8)), 1)</f>
        <v>11</v>
      </c>
      <c r="U23" s="15">
        <f>CEILING('Fire Elemental'!$B$4/ IF('Fire Elemental'!$D$4&lt; 10.8, Table1[[#This Row],[STR]], Table1[[#This Row],[STR]] / ('Fire Elemental'!$D$4 / 10.8)), 1)</f>
        <v>14</v>
      </c>
      <c r="V23" s="12">
        <f>CEILING(Wyvern!$B$4/ IF(Wyvern!$D$4&lt; 10.8, Table1[[#This Row],[STR]], Table1[[#This Row],[STR]] / (Wyvern!$D$4 / 10.8)), 1)</f>
        <v>19</v>
      </c>
      <c r="W23" s="12">
        <f>CEILING('Evolved Wyvern'!$B$4/ IF('Evolved Wyvern'!$D$4&lt; 10.8, Table1[[#This Row],[STR]], Table1[[#This Row],[STR]] / ('Evolved Wyvern'!$D$4 / 10.8)), 1)</f>
        <v>26</v>
      </c>
      <c r="X23" s="12">
        <f>CEILING(Dragon!$B$4/ IF(Dragon!$D$4&lt; 10.8, Table1[[#This Row],[STR]], Table1[[#This Row],[STR]] / (Dragon!$D$4 / 10.8)), 1)</f>
        <v>42</v>
      </c>
      <c r="Z23" s="8">
        <f>CEILING('Blue Slime'!$M$5/ IF('Blue Slime'!$O$5&lt; 10.8, Table1[[#This Row],[STR]], Table1[[#This Row],[STR]] / ('Blue Slime'!$O$5 / 10.8)), 1)</f>
        <v>1</v>
      </c>
      <c r="AA23" s="8">
        <f>CEILING('Green Slime'!$M$5/ IF('Green Slime'!$O$5&lt; 10.8, Table1[[#This Row],[STR]], Table1[[#This Row],[STR]] / ('Green Slime'!$O$5 / 10.8)), 1)</f>
        <v>1</v>
      </c>
      <c r="AB23" s="8">
        <f>CEILING(Wolf!$M$6/ IF(Wolf!$O$6&lt; 10.8, Table1[[#This Row],[STR]], Table1[[#This Row],[STR]] / (Wolf!$O$6 / 10.8)), 1)</f>
        <v>3</v>
      </c>
      <c r="AC23" s="8">
        <f>CEILING('Horned Wolf'!$M$5/ IF('Horned Wolf'!$O$5&lt; 10.8, Table1[[#This Row],[STR]], Table1[[#This Row],[STR]] / ('Horned Wolf'!$O$5 / 10.8)), 1)</f>
        <v>7</v>
      </c>
      <c r="AD23" s="8">
        <f>CEILING(Spider!$M$7/ IF(Spider!$O$7&lt; 10.8, Table1[[#This Row],[STR]], Table1[[#This Row],[STR]] / (Spider!$O$7 / 10.8)), 1)</f>
        <v>6</v>
      </c>
      <c r="AE23" s="8">
        <f>CEILING('Evolved Spider'!$M$8/ IF('Evolved Spider'!$O$8&lt; 10.8, Table1[[#This Row],[STR]], Table1[[#This Row],[STR]] / ('Evolved Spider'!$O$8 / 10.8)), 1)</f>
        <v>12</v>
      </c>
      <c r="AF23" s="8">
        <f>CEILING(Arachne!$M$4/ IF(Arachne!$O$4&lt; 10.8, Table1[[#This Row],[STR]], Table1[[#This Row],[STR]] / (Arachne!$O$4 / 10.8)), 1)</f>
        <v>16</v>
      </c>
      <c r="AG23" s="15">
        <f>CEILING('Earth Elemental'!$M$6/ IF('Earth Elemental'!$O$6&lt; 10.8, Table1[[#This Row],[STR]], Table1[[#This Row],[STR]] / ('Earth Elemental'!$O$6 / 10.8)), 1)</f>
        <v>14</v>
      </c>
      <c r="AH23" s="15">
        <f>CEILING('Wind Elemental'!$M$6/ IF('Wind Elemental'!$O$6&lt; 10.8, Table1[[#This Row],[STR]], Table1[[#This Row],[STR]] / ('Wind Elemental'!$O$6 / 10.8)), 1)</f>
        <v>12</v>
      </c>
      <c r="AI23" s="15">
        <f>CEILING('Water Elemental'!$M$6/ IF('Water Elemental'!$O$6&lt; 10.8, Table1[[#This Row],[STR]], Table1[[#This Row],[STR]] / ('Water Elemental'!$O$6 / 10.8)), 1)</f>
        <v>17</v>
      </c>
      <c r="AJ23" s="15">
        <f>CEILING('Fire Elemental'!$M$4/ IF('Fire Elemental'!$O$4&lt; 10.8, Table1[[#This Row],[STR]], Table1[[#This Row],[STR]] / ('Fire Elemental'!$O$4 / 10.8)), 1)</f>
        <v>24</v>
      </c>
      <c r="AK23" s="12">
        <f>CEILING(Wyvern!$M$4/ IF(Wyvern!$O$4&lt; 10.8, Table1[[#This Row],[STR]], Table1[[#This Row],[STR]] / (Wyvern!$O$4 / 10.8)), 1)</f>
        <v>31</v>
      </c>
      <c r="AL23" s="12">
        <f>CEILING('Evolved Wyvern'!$M$4/ IF('Evolved Wyvern'!$O$4&lt; 10.8, Table1[[#This Row],[STR]], Table1[[#This Row],[STR]] / ('Evolved Wyvern'!$O$4 / 10.8)), 1)</f>
        <v>41</v>
      </c>
      <c r="AM23" s="12">
        <f>CEILING(Dragon!$M$4/ IF(Dragon!$O$4&lt; 10.8, Table1[[#This Row],[STR]], Table1[[#This Row],[STR]] / (Dragon!$O$4 / 10.8)), 1)</f>
        <v>68</v>
      </c>
      <c r="AO23" s="8">
        <f>CEILING('Blue Slime'!$Z$5/ IF('Blue Slime'!$X$5&lt; 10.8, Table1[[#This Row],[STR]], Table1[[#This Row],[STR]] / ('Blue Slime'!$X$5 / 10.8)), 1)</f>
        <v>1</v>
      </c>
      <c r="AP23" s="8">
        <f>CEILING('Green Slime'!$Z$5/ IF('Green Slime'!$X$5&lt; 10.8, Table1[[#This Row],[STR]], Table1[[#This Row],[STR]] / ('Green Slime'!$X$5 / 10.8)), 1)</f>
        <v>2</v>
      </c>
      <c r="AQ23" s="8">
        <f>CEILING(Wolf!$Z$6/ IF(Wolf!$X$6&lt; 10.8, Table1[[#This Row],[STR]], Table1[[#This Row],[STR]] / (Wolf!$X$6 / 10.8)), 1)</f>
        <v>5</v>
      </c>
      <c r="AR23" s="8">
        <f>CEILING('Horned Wolf'!$Z$5/ IF('Horned Wolf'!$X$5&lt; 10.8, Table1[[#This Row],[STR]], Table1[[#This Row],[STR]] / ('Horned Wolf'!$X$5 / 10.8)), 1)</f>
        <v>12</v>
      </c>
      <c r="AS23" s="8">
        <f>CEILING(Spider!$Z$7/ IF(Spider!$X$7&lt; 10.8, Table1[[#This Row],[STR]], Table1[[#This Row],[STR]] / (Spider!$X$7 / 10.8)), 1)</f>
        <v>11</v>
      </c>
      <c r="AT23" s="8">
        <f>CEILING('Evolved Spider'!$Z$8/ IF('Evolved Spider'!$X$8&lt; 10.8, Table1[[#This Row],[STR]], Table1[[#This Row],[STR]] / ('Evolved Spider'!$X$8 / 10.8)), 1)</f>
        <v>19</v>
      </c>
      <c r="AU23" s="8">
        <f>CEILING(Arachne!$Z$4/ IF(Arachne!$X$4&lt; 10.8, Table1[[#This Row],[STR]], Table1[[#This Row],[STR]] / (Arachne!$X$4 / 10.8)), 1)</f>
        <v>25</v>
      </c>
      <c r="AV23" s="15">
        <f>CEILING('Earth Elemental'!$Z$6/ IF('Earth Elemental'!$X$6&lt; 10.8, Table1[[#This Row],[STR]], Table1[[#This Row],[STR]] / ('Earth Elemental'!$X$6 / 10.8)), 1)</f>
        <v>21</v>
      </c>
      <c r="AW23" s="15">
        <f>CEILING('Wind Elemental'!$Z$6/ IF('Wind Elemental'!$X$6&lt; 10.8, Table1[[#This Row],[STR]], Table1[[#This Row],[STR]] / ('Wind Elemental'!$X$6 / 10.8)), 1)</f>
        <v>17</v>
      </c>
      <c r="AX23" s="15">
        <f>CEILING('Water Elemental'!$Z$6/ IF('Water Elemental'!$X$6&lt; 10.8, Table1[[#This Row],[STR]], Table1[[#This Row],[STR]] / ('Water Elemental'!$X$6 / 10.8)), 1)</f>
        <v>23</v>
      </c>
      <c r="AY23" s="15">
        <f>CEILING('Fire Elemental'!$Z$4/ IF('Fire Elemental'!$X$4&lt; 10.8, Table1[[#This Row],[STR]], Table1[[#This Row],[STR]] / ('Fire Elemental'!$X$4 / 10.8)), 1)</f>
        <v>37</v>
      </c>
      <c r="AZ23" s="12">
        <f>CEILING(Wyvern!$Z$4/ IF(Wyvern!$X$4&lt; 10.8, Table1[[#This Row],[STR]], Table1[[#This Row],[STR]] / (Wyvern!$X$4 / 10.8)), 1)</f>
        <v>45</v>
      </c>
      <c r="BA23" s="12">
        <f>CEILING('Evolved Wyvern'!$Z$4/ IF('Evolved Wyvern'!$X$4&lt; 10.8, Table1[[#This Row],[STR]], Table1[[#This Row],[STR]] / ('Evolved Wyvern'!$X$4 / 10.8)), 1)</f>
        <v>57</v>
      </c>
      <c r="BB23" s="12">
        <f>CEILING(Dragon!$Z$4/ IF(Dragon!$X$4&lt; 10.8, Table1[[#This Row],[STR]], Table1[[#This Row],[STR]] / (Dragon!$X$4 / 10.8)), 1)</f>
        <v>96</v>
      </c>
    </row>
    <row r="24" spans="1:54" x14ac:dyDescent="0.3">
      <c r="A24" s="1">
        <v>22</v>
      </c>
      <c r="B24" s="1">
        <f>$B$3 + ((Table1[[#This Row],[Level]] / 10) + $B$3 / 8) * Table1[[#This Row],[Level]] + Equipment!$AK$18</f>
        <v>112.4</v>
      </c>
      <c r="C24" s="1">
        <f xml:space="preserve"> 2*Table1[[#This Row],[INT]]</f>
        <v>100</v>
      </c>
      <c r="D24" s="1">
        <f>$D$3 + ($D$3 / 4) * Table1[[#This Row],[Level]] + Equipment!$AL$18</f>
        <v>50</v>
      </c>
      <c r="E24" s="1">
        <f>$E$3 + ($E$3 / 4) * Table1[[#This Row],[Level]] + Equipment!$AM$18</f>
        <v>41.5</v>
      </c>
      <c r="F24" s="1">
        <f>$F$3 + ($F$3 / 4) * Table1[[#This Row],[Level]] + Equipment!$AN$18</f>
        <v>66</v>
      </c>
      <c r="G24" s="1">
        <f>$G$3 + ($G$3 / 4) * Table1[[#This Row],[Level]] + Equipment!$AO$18</f>
        <v>50</v>
      </c>
      <c r="H24" s="1">
        <f>$H$3 + ($H$3 / 4) * Table1[[#This Row],[Level]] + Equipment!$AP$18</f>
        <v>57.5</v>
      </c>
      <c r="I24" s="34">
        <f xml:space="preserve"> (4 * (Table1[[#This Row],[Level]] ^ 3))/7 + $I$3</f>
        <v>6184.5714285714284</v>
      </c>
      <c r="K24" s="8">
        <f>CEILING('Blue Slime'!$B$5/ IF('Blue Slime'!$D$5&lt; 10.8, Table1[[#This Row],[STR]], Table1[[#This Row],[STR]] / ('Blue Slime'!$D$5 / 10.8)), 1)</f>
        <v>1</v>
      </c>
      <c r="L24" s="8">
        <f>CEILING('Green Slime'!$B$5/ IF('Green Slime'!$D$5&lt; 10.8, Table1[[#This Row],[STR]], Table1[[#This Row],[STR]] / ('Green Slime'!$D$5 / 10.8)), 1)</f>
        <v>1</v>
      </c>
      <c r="M24" s="8">
        <f>CEILING(Wolf!$B$6/ IF(Wolf!$D$6&lt; 10.8, Table1[[#This Row],[STR]], Table1[[#This Row],[STR]] / (Wolf!$D$6 / 10.8)), 1)</f>
        <v>2</v>
      </c>
      <c r="N24" s="8">
        <f>CEILING('Horned Wolf'!$B$5/ IF('Horned Wolf'!$D$5&lt; 10.8, Table1[[#This Row],[STR]], Table1[[#This Row],[STR]] / ('Horned Wolf'!$D$5 / 10.8)), 1)</f>
        <v>3</v>
      </c>
      <c r="O24" s="8">
        <f>CEILING(Spider!$B$7/ IF(Spider!$D$7&lt; 10.8, Table1[[#This Row],[STR]], Table1[[#This Row],[STR]] / (Spider!$D$7 / 10.8)), 1)</f>
        <v>3</v>
      </c>
      <c r="P24" s="8">
        <f>CEILING('Evolved Spider'!$B$8/ IF('Evolved Spider'!$D$8&lt; 10.8, Table1[[#This Row],[STR]], Table1[[#This Row],[STR]] / ('Evolved Spider'!$D$8 / 10.8)), 1)</f>
        <v>6</v>
      </c>
      <c r="Q24" s="8">
        <f>CEILING(Arachne!$B$4/ IF(Arachne!$D$4&lt; 10.8, Table1[[#This Row],[STR]], Table1[[#This Row],[STR]] / (Arachne!$D$4 / 10.8)), 1)</f>
        <v>8</v>
      </c>
      <c r="R24" s="15">
        <f>CEILING('Earth Elemental'!$B$6/ IF('Earth Elemental'!$D$6&lt; 10.8, Table1[[#This Row],[STR]], Table1[[#This Row],[STR]] / ('Earth Elemental'!$D$6 / 10.8)), 1)</f>
        <v>8</v>
      </c>
      <c r="S24" s="15">
        <f>CEILING('Wind Elemental'!$B$6/ IF('Wind Elemental'!$D$6&lt; 10.8, Table1[[#This Row],[STR]], Table1[[#This Row],[STR]] / ('Wind Elemental'!$D$6 / 10.8)), 1)</f>
        <v>7</v>
      </c>
      <c r="T24" s="15">
        <f>CEILING('Water Elemental'!$B$6/ IF('Water Elemental'!$D$6&lt; 10.8, Table1[[#This Row],[STR]], Table1[[#This Row],[STR]] / ('Water Elemental'!$D$6 / 10.8)), 1)</f>
        <v>11</v>
      </c>
      <c r="U24" s="15">
        <f>CEILING('Fire Elemental'!$B$4/ IF('Fire Elemental'!$D$4&lt; 10.8, Table1[[#This Row],[STR]], Table1[[#This Row],[STR]] / ('Fire Elemental'!$D$4 / 10.8)), 1)</f>
        <v>14</v>
      </c>
      <c r="V24" s="12">
        <f>CEILING(Wyvern!$B$4/ IF(Wyvern!$D$4&lt; 10.8, Table1[[#This Row],[STR]], Table1[[#This Row],[STR]] / (Wyvern!$D$4 / 10.8)), 1)</f>
        <v>18</v>
      </c>
      <c r="W24" s="12">
        <f>CEILING('Evolved Wyvern'!$B$4/ IF('Evolved Wyvern'!$D$4&lt; 10.8, Table1[[#This Row],[STR]], Table1[[#This Row],[STR]] / ('Evolved Wyvern'!$D$4 / 10.8)), 1)</f>
        <v>25</v>
      </c>
      <c r="X24" s="12">
        <f>CEILING(Dragon!$B$4/ IF(Dragon!$D$4&lt; 10.8, Table1[[#This Row],[STR]], Table1[[#This Row],[STR]] / (Dragon!$D$4 / 10.8)), 1)</f>
        <v>41</v>
      </c>
      <c r="Z24" s="8">
        <f>CEILING('Blue Slime'!$M$5/ IF('Blue Slime'!$O$5&lt; 10.8, Table1[[#This Row],[STR]], Table1[[#This Row],[STR]] / ('Blue Slime'!$O$5 / 10.8)), 1)</f>
        <v>1</v>
      </c>
      <c r="AA24" s="8">
        <f>CEILING('Green Slime'!$M$5/ IF('Green Slime'!$O$5&lt; 10.8, Table1[[#This Row],[STR]], Table1[[#This Row],[STR]] / ('Green Slime'!$O$5 / 10.8)), 1)</f>
        <v>1</v>
      </c>
      <c r="AB24" s="8">
        <f>CEILING(Wolf!$M$6/ IF(Wolf!$O$6&lt; 10.8, Table1[[#This Row],[STR]], Table1[[#This Row],[STR]] / (Wolf!$O$6 / 10.8)), 1)</f>
        <v>3</v>
      </c>
      <c r="AC24" s="8">
        <f>CEILING('Horned Wolf'!$M$5/ IF('Horned Wolf'!$O$5&lt; 10.8, Table1[[#This Row],[STR]], Table1[[#This Row],[STR]] / ('Horned Wolf'!$O$5 / 10.8)), 1)</f>
        <v>7</v>
      </c>
      <c r="AD24" s="8">
        <f>CEILING(Spider!$M$7/ IF(Spider!$O$7&lt; 10.8, Table1[[#This Row],[STR]], Table1[[#This Row],[STR]] / (Spider!$O$7 / 10.8)), 1)</f>
        <v>6</v>
      </c>
      <c r="AE24" s="8">
        <f>CEILING('Evolved Spider'!$M$8/ IF('Evolved Spider'!$O$8&lt; 10.8, Table1[[#This Row],[STR]], Table1[[#This Row],[STR]] / ('Evolved Spider'!$O$8 / 10.8)), 1)</f>
        <v>11</v>
      </c>
      <c r="AF24" s="8">
        <f>CEILING(Arachne!$M$4/ IF(Arachne!$O$4&lt; 10.8, Table1[[#This Row],[STR]], Table1[[#This Row],[STR]] / (Arachne!$O$4 / 10.8)), 1)</f>
        <v>15</v>
      </c>
      <c r="AG24" s="15">
        <f>CEILING('Earth Elemental'!$M$6/ IF('Earth Elemental'!$O$6&lt; 10.8, Table1[[#This Row],[STR]], Table1[[#This Row],[STR]] / ('Earth Elemental'!$O$6 / 10.8)), 1)</f>
        <v>14</v>
      </c>
      <c r="AH24" s="15">
        <f>CEILING('Wind Elemental'!$M$6/ IF('Wind Elemental'!$O$6&lt; 10.8, Table1[[#This Row],[STR]], Table1[[#This Row],[STR]] / ('Wind Elemental'!$O$6 / 10.8)), 1)</f>
        <v>11</v>
      </c>
      <c r="AI24" s="15">
        <f>CEILING('Water Elemental'!$M$6/ IF('Water Elemental'!$O$6&lt; 10.8, Table1[[#This Row],[STR]], Table1[[#This Row],[STR]] / ('Water Elemental'!$O$6 / 10.8)), 1)</f>
        <v>16</v>
      </c>
      <c r="AJ24" s="15">
        <f>CEILING('Fire Elemental'!$M$4/ IF('Fire Elemental'!$O$4&lt; 10.8, Table1[[#This Row],[STR]], Table1[[#This Row],[STR]] / ('Fire Elemental'!$O$4 / 10.8)), 1)</f>
        <v>24</v>
      </c>
      <c r="AK24" s="12">
        <f>CEILING(Wyvern!$M$4/ IF(Wyvern!$O$4&lt; 10.8, Table1[[#This Row],[STR]], Table1[[#This Row],[STR]] / (Wyvern!$O$4 / 10.8)), 1)</f>
        <v>30</v>
      </c>
      <c r="AL24" s="12">
        <f>CEILING('Evolved Wyvern'!$M$4/ IF('Evolved Wyvern'!$O$4&lt; 10.8, Table1[[#This Row],[STR]], Table1[[#This Row],[STR]] / ('Evolved Wyvern'!$O$4 / 10.8)), 1)</f>
        <v>39</v>
      </c>
      <c r="AM24" s="12">
        <f>CEILING(Dragon!$M$4/ IF(Dragon!$O$4&lt; 10.8, Table1[[#This Row],[STR]], Table1[[#This Row],[STR]] / (Dragon!$O$4 / 10.8)), 1)</f>
        <v>66</v>
      </c>
      <c r="AO24" s="8">
        <f>CEILING('Blue Slime'!$Z$5/ IF('Blue Slime'!$X$5&lt; 10.8, Table1[[#This Row],[STR]], Table1[[#This Row],[STR]] / ('Blue Slime'!$X$5 / 10.8)), 1)</f>
        <v>1</v>
      </c>
      <c r="AP24" s="8">
        <f>CEILING('Green Slime'!$Z$5/ IF('Green Slime'!$X$5&lt; 10.8, Table1[[#This Row],[STR]], Table1[[#This Row],[STR]] / ('Green Slime'!$X$5 / 10.8)), 1)</f>
        <v>2</v>
      </c>
      <c r="AQ24" s="8">
        <f>CEILING(Wolf!$Z$6/ IF(Wolf!$X$6&lt; 10.8, Table1[[#This Row],[STR]], Table1[[#This Row],[STR]] / (Wolf!$X$6 / 10.8)), 1)</f>
        <v>4</v>
      </c>
      <c r="AR24" s="8">
        <f>CEILING('Horned Wolf'!$Z$5/ IF('Horned Wolf'!$X$5&lt; 10.8, Table1[[#This Row],[STR]], Table1[[#This Row],[STR]] / ('Horned Wolf'!$X$5 / 10.8)), 1)</f>
        <v>12</v>
      </c>
      <c r="AS24" s="8">
        <f>CEILING(Spider!$Z$7/ IF(Spider!$X$7&lt; 10.8, Table1[[#This Row],[STR]], Table1[[#This Row],[STR]] / (Spider!$X$7 / 10.8)), 1)</f>
        <v>10</v>
      </c>
      <c r="AT24" s="8">
        <f>CEILING('Evolved Spider'!$Z$8/ IF('Evolved Spider'!$X$8&lt; 10.8, Table1[[#This Row],[STR]], Table1[[#This Row],[STR]] / ('Evolved Spider'!$X$8 / 10.8)), 1)</f>
        <v>18</v>
      </c>
      <c r="AU24" s="8">
        <f>CEILING(Arachne!$Z$4/ IF(Arachne!$X$4&lt; 10.8, Table1[[#This Row],[STR]], Table1[[#This Row],[STR]] / (Arachne!$X$4 / 10.8)), 1)</f>
        <v>25</v>
      </c>
      <c r="AV24" s="15">
        <f>CEILING('Earth Elemental'!$Z$6/ IF('Earth Elemental'!$X$6&lt; 10.8, Table1[[#This Row],[STR]], Table1[[#This Row],[STR]] / ('Earth Elemental'!$X$6 / 10.8)), 1)</f>
        <v>21</v>
      </c>
      <c r="AW24" s="15">
        <f>CEILING('Wind Elemental'!$Z$6/ IF('Wind Elemental'!$X$6&lt; 10.8, Table1[[#This Row],[STR]], Table1[[#This Row],[STR]] / ('Wind Elemental'!$X$6 / 10.8)), 1)</f>
        <v>16</v>
      </c>
      <c r="AX24" s="15">
        <f>CEILING('Water Elemental'!$Z$6/ IF('Water Elemental'!$X$6&lt; 10.8, Table1[[#This Row],[STR]], Table1[[#This Row],[STR]] / ('Water Elemental'!$X$6 / 10.8)), 1)</f>
        <v>22</v>
      </c>
      <c r="AY24" s="15">
        <f>CEILING('Fire Elemental'!$Z$4/ IF('Fire Elemental'!$X$4&lt; 10.8, Table1[[#This Row],[STR]], Table1[[#This Row],[STR]] / ('Fire Elemental'!$X$4 / 10.8)), 1)</f>
        <v>36</v>
      </c>
      <c r="AZ24" s="12">
        <f>CEILING(Wyvern!$Z$4/ IF(Wyvern!$X$4&lt; 10.8, Table1[[#This Row],[STR]], Table1[[#This Row],[STR]] / (Wyvern!$X$4 / 10.8)), 1)</f>
        <v>43</v>
      </c>
      <c r="BA24" s="12">
        <f>CEILING('Evolved Wyvern'!$Z$4/ IF('Evolved Wyvern'!$X$4&lt; 10.8, Table1[[#This Row],[STR]], Table1[[#This Row],[STR]] / ('Evolved Wyvern'!$X$4 / 10.8)), 1)</f>
        <v>55</v>
      </c>
      <c r="BB24" s="12">
        <f>CEILING(Dragon!$Z$4/ IF(Dragon!$X$4&lt; 10.8, Table1[[#This Row],[STR]], Table1[[#This Row],[STR]] / (Dragon!$X$4 / 10.8)), 1)</f>
        <v>93</v>
      </c>
    </row>
    <row r="25" spans="1:54" x14ac:dyDescent="0.3">
      <c r="A25" s="1">
        <v>23</v>
      </c>
      <c r="B25" s="1">
        <f>$B$3 + ((Table1[[#This Row],[Level]] / 10) + $B$3 / 8) * Table1[[#This Row],[Level]] + Equipment!$AK$18</f>
        <v>118.39999999999999</v>
      </c>
      <c r="C25" s="1">
        <f xml:space="preserve"> 2*Table1[[#This Row],[INT]]</f>
        <v>103</v>
      </c>
      <c r="D25" s="1">
        <f>$D$3 + ($D$3 / 4) * Table1[[#This Row],[Level]] + Equipment!$AL$18</f>
        <v>51.5</v>
      </c>
      <c r="E25" s="1">
        <f>$E$3 + ($E$3 / 4) * Table1[[#This Row],[Level]] + Equipment!$AM$18</f>
        <v>42.75</v>
      </c>
      <c r="F25" s="1">
        <f>$F$3 + ($F$3 / 4) * Table1[[#This Row],[Level]] + Equipment!$AN$18</f>
        <v>68</v>
      </c>
      <c r="G25" s="1">
        <f>$G$3 + ($G$3 / 4) * Table1[[#This Row],[Level]] + Equipment!$AO$18</f>
        <v>51.5</v>
      </c>
      <c r="H25" s="1">
        <f>$H$3 + ($H$3 / 4) * Table1[[#This Row],[Level]] + Equipment!$AP$18</f>
        <v>59.25</v>
      </c>
      <c r="I25" s="34">
        <f xml:space="preserve"> (4 * (Table1[[#This Row],[Level]] ^ 3))/7 + $I$3</f>
        <v>7052.5714285714284</v>
      </c>
      <c r="K25" s="8">
        <f>CEILING('Blue Slime'!$B$5/ IF('Blue Slime'!$D$5&lt; 10.8, Table1[[#This Row],[STR]], Table1[[#This Row],[STR]] / ('Blue Slime'!$D$5 / 10.8)), 1)</f>
        <v>1</v>
      </c>
      <c r="L25" s="8">
        <f>CEILING('Green Slime'!$B$5/ IF('Green Slime'!$D$5&lt; 10.8, Table1[[#This Row],[STR]], Table1[[#This Row],[STR]] / ('Green Slime'!$D$5 / 10.8)), 1)</f>
        <v>1</v>
      </c>
      <c r="M25" s="8">
        <f>CEILING(Wolf!$B$6/ IF(Wolf!$D$6&lt; 10.8, Table1[[#This Row],[STR]], Table1[[#This Row],[STR]] / (Wolf!$D$6 / 10.8)), 1)</f>
        <v>2</v>
      </c>
      <c r="N25" s="8">
        <f>CEILING('Horned Wolf'!$B$5/ IF('Horned Wolf'!$D$5&lt; 10.8, Table1[[#This Row],[STR]], Table1[[#This Row],[STR]] / ('Horned Wolf'!$D$5 / 10.8)), 1)</f>
        <v>3</v>
      </c>
      <c r="O25" s="8">
        <f>CEILING(Spider!$B$7/ IF(Spider!$D$7&lt; 10.8, Table1[[#This Row],[STR]], Table1[[#This Row],[STR]] / (Spider!$D$7 / 10.8)), 1)</f>
        <v>3</v>
      </c>
      <c r="P25" s="8">
        <f>CEILING('Evolved Spider'!$B$8/ IF('Evolved Spider'!$D$8&lt; 10.8, Table1[[#This Row],[STR]], Table1[[#This Row],[STR]] / ('Evolved Spider'!$D$8 / 10.8)), 1)</f>
        <v>6</v>
      </c>
      <c r="Q25" s="8">
        <f>CEILING(Arachne!$B$4/ IF(Arachne!$D$4&lt; 10.8, Table1[[#This Row],[STR]], Table1[[#This Row],[STR]] / (Arachne!$D$4 / 10.8)), 1)</f>
        <v>8</v>
      </c>
      <c r="R25" s="15">
        <f>CEILING('Earth Elemental'!$B$6/ IF('Earth Elemental'!$D$6&lt; 10.8, Table1[[#This Row],[STR]], Table1[[#This Row],[STR]] / ('Earth Elemental'!$D$6 / 10.8)), 1)</f>
        <v>8</v>
      </c>
      <c r="S25" s="15">
        <f>CEILING('Wind Elemental'!$B$6/ IF('Wind Elemental'!$D$6&lt; 10.8, Table1[[#This Row],[STR]], Table1[[#This Row],[STR]] / ('Wind Elemental'!$D$6 / 10.8)), 1)</f>
        <v>7</v>
      </c>
      <c r="T25" s="15">
        <f>CEILING('Water Elemental'!$B$6/ IF('Water Elemental'!$D$6&lt; 10.8, Table1[[#This Row],[STR]], Table1[[#This Row],[STR]] / ('Water Elemental'!$D$6 / 10.8)), 1)</f>
        <v>10</v>
      </c>
      <c r="U25" s="15">
        <f>CEILING('Fire Elemental'!$B$4/ IF('Fire Elemental'!$D$4&lt; 10.8, Table1[[#This Row],[STR]], Table1[[#This Row],[STR]] / ('Fire Elemental'!$D$4 / 10.8)), 1)</f>
        <v>13</v>
      </c>
      <c r="V25" s="12">
        <f>CEILING(Wyvern!$B$4/ IF(Wyvern!$D$4&lt; 10.8, Table1[[#This Row],[STR]], Table1[[#This Row],[STR]] / (Wyvern!$D$4 / 10.8)), 1)</f>
        <v>18</v>
      </c>
      <c r="W25" s="12">
        <f>CEILING('Evolved Wyvern'!$B$4/ IF('Evolved Wyvern'!$D$4&lt; 10.8, Table1[[#This Row],[STR]], Table1[[#This Row],[STR]] / ('Evolved Wyvern'!$D$4 / 10.8)), 1)</f>
        <v>24</v>
      </c>
      <c r="X25" s="12">
        <f>CEILING(Dragon!$B$4/ IF(Dragon!$D$4&lt; 10.8, Table1[[#This Row],[STR]], Table1[[#This Row],[STR]] / (Dragon!$D$4 / 10.8)), 1)</f>
        <v>40</v>
      </c>
      <c r="Z25" s="8">
        <f>CEILING('Blue Slime'!$M$5/ IF('Blue Slime'!$O$5&lt; 10.8, Table1[[#This Row],[STR]], Table1[[#This Row],[STR]] / ('Blue Slime'!$O$5 / 10.8)), 1)</f>
        <v>1</v>
      </c>
      <c r="AA25" s="8">
        <f>CEILING('Green Slime'!$M$5/ IF('Green Slime'!$O$5&lt; 10.8, Table1[[#This Row],[STR]], Table1[[#This Row],[STR]] / ('Green Slime'!$O$5 / 10.8)), 1)</f>
        <v>1</v>
      </c>
      <c r="AB25" s="8">
        <f>CEILING(Wolf!$M$6/ IF(Wolf!$O$6&lt; 10.8, Table1[[#This Row],[STR]], Table1[[#This Row],[STR]] / (Wolf!$O$6 / 10.8)), 1)</f>
        <v>3</v>
      </c>
      <c r="AC25" s="8">
        <f>CEILING('Horned Wolf'!$M$5/ IF('Horned Wolf'!$O$5&lt; 10.8, Table1[[#This Row],[STR]], Table1[[#This Row],[STR]] / ('Horned Wolf'!$O$5 / 10.8)), 1)</f>
        <v>7</v>
      </c>
      <c r="AD25" s="8">
        <f>CEILING(Spider!$M$7/ IF(Spider!$O$7&lt; 10.8, Table1[[#This Row],[STR]], Table1[[#This Row],[STR]] / (Spider!$O$7 / 10.8)), 1)</f>
        <v>6</v>
      </c>
      <c r="AE25" s="8">
        <f>CEILING('Evolved Spider'!$M$8/ IF('Evolved Spider'!$O$8&lt; 10.8, Table1[[#This Row],[STR]], Table1[[#This Row],[STR]] / ('Evolved Spider'!$O$8 / 10.8)), 1)</f>
        <v>11</v>
      </c>
      <c r="AF25" s="8">
        <f>CEILING(Arachne!$M$4/ IF(Arachne!$O$4&lt; 10.8, Table1[[#This Row],[STR]], Table1[[#This Row],[STR]] / (Arachne!$O$4 / 10.8)), 1)</f>
        <v>15</v>
      </c>
      <c r="AG25" s="15">
        <f>CEILING('Earth Elemental'!$M$6/ IF('Earth Elemental'!$O$6&lt; 10.8, Table1[[#This Row],[STR]], Table1[[#This Row],[STR]] / ('Earth Elemental'!$O$6 / 10.8)), 1)</f>
        <v>13</v>
      </c>
      <c r="AH25" s="15">
        <f>CEILING('Wind Elemental'!$M$6/ IF('Wind Elemental'!$O$6&lt; 10.8, Table1[[#This Row],[STR]], Table1[[#This Row],[STR]] / ('Wind Elemental'!$O$6 / 10.8)), 1)</f>
        <v>11</v>
      </c>
      <c r="AI25" s="15">
        <f>CEILING('Water Elemental'!$M$6/ IF('Water Elemental'!$O$6&lt; 10.8, Table1[[#This Row],[STR]], Table1[[#This Row],[STR]] / ('Water Elemental'!$O$6 / 10.8)), 1)</f>
        <v>16</v>
      </c>
      <c r="AJ25" s="15">
        <f>CEILING('Fire Elemental'!$M$4/ IF('Fire Elemental'!$O$4&lt; 10.8, Table1[[#This Row],[STR]], Table1[[#This Row],[STR]] / ('Fire Elemental'!$O$4 / 10.8)), 1)</f>
        <v>23</v>
      </c>
      <c r="AK25" s="12">
        <f>CEILING(Wyvern!$M$4/ IF(Wyvern!$O$4&lt; 10.8, Table1[[#This Row],[STR]], Table1[[#This Row],[STR]] / (Wyvern!$O$4 / 10.8)), 1)</f>
        <v>29</v>
      </c>
      <c r="AL25" s="12">
        <f>CEILING('Evolved Wyvern'!$M$4/ IF('Evolved Wyvern'!$O$4&lt; 10.8, Table1[[#This Row],[STR]], Table1[[#This Row],[STR]] / ('Evolved Wyvern'!$O$4 / 10.8)), 1)</f>
        <v>38</v>
      </c>
      <c r="AM25" s="12">
        <f>CEILING(Dragon!$M$4/ IF(Dragon!$O$4&lt; 10.8, Table1[[#This Row],[STR]], Table1[[#This Row],[STR]] / (Dragon!$O$4 / 10.8)), 1)</f>
        <v>64</v>
      </c>
      <c r="AO25" s="8">
        <f>CEILING('Blue Slime'!$Z$5/ IF('Blue Slime'!$X$5&lt; 10.8, Table1[[#This Row],[STR]], Table1[[#This Row],[STR]] / ('Blue Slime'!$X$5 / 10.8)), 1)</f>
        <v>1</v>
      </c>
      <c r="AP25" s="8">
        <f>CEILING('Green Slime'!$Z$5/ IF('Green Slime'!$X$5&lt; 10.8, Table1[[#This Row],[STR]], Table1[[#This Row],[STR]] / ('Green Slime'!$X$5 / 10.8)), 1)</f>
        <v>2</v>
      </c>
      <c r="AQ25" s="8">
        <f>CEILING(Wolf!$Z$6/ IF(Wolf!$X$6&lt; 10.8, Table1[[#This Row],[STR]], Table1[[#This Row],[STR]] / (Wolf!$X$6 / 10.8)), 1)</f>
        <v>4</v>
      </c>
      <c r="AR25" s="8">
        <f>CEILING('Horned Wolf'!$Z$5/ IF('Horned Wolf'!$X$5&lt; 10.8, Table1[[#This Row],[STR]], Table1[[#This Row],[STR]] / ('Horned Wolf'!$X$5 / 10.8)), 1)</f>
        <v>11</v>
      </c>
      <c r="AS25" s="8">
        <f>CEILING(Spider!$Z$7/ IF(Spider!$X$7&lt; 10.8, Table1[[#This Row],[STR]], Table1[[#This Row],[STR]] / (Spider!$X$7 / 10.8)), 1)</f>
        <v>10</v>
      </c>
      <c r="AT25" s="8">
        <f>CEILING('Evolved Spider'!$Z$8/ IF('Evolved Spider'!$X$8&lt; 10.8, Table1[[#This Row],[STR]], Table1[[#This Row],[STR]] / ('Evolved Spider'!$X$8 / 10.8)), 1)</f>
        <v>18</v>
      </c>
      <c r="AU25" s="8">
        <f>CEILING(Arachne!$Z$4/ IF(Arachne!$X$4&lt; 10.8, Table1[[#This Row],[STR]], Table1[[#This Row],[STR]] / (Arachne!$X$4 / 10.8)), 1)</f>
        <v>24</v>
      </c>
      <c r="AV25" s="15">
        <f>CEILING('Earth Elemental'!$Z$6/ IF('Earth Elemental'!$X$6&lt; 10.8, Table1[[#This Row],[STR]], Table1[[#This Row],[STR]] / ('Earth Elemental'!$X$6 / 10.8)), 1)</f>
        <v>20</v>
      </c>
      <c r="AW25" s="15">
        <f>CEILING('Wind Elemental'!$Z$6/ IF('Wind Elemental'!$X$6&lt; 10.8, Table1[[#This Row],[STR]], Table1[[#This Row],[STR]] / ('Wind Elemental'!$X$6 / 10.8)), 1)</f>
        <v>16</v>
      </c>
      <c r="AX25" s="15">
        <f>CEILING('Water Elemental'!$Z$6/ IF('Water Elemental'!$X$6&lt; 10.8, Table1[[#This Row],[STR]], Table1[[#This Row],[STR]] / ('Water Elemental'!$X$6 / 10.8)), 1)</f>
        <v>21</v>
      </c>
      <c r="AY25" s="15">
        <f>CEILING('Fire Elemental'!$Z$4/ IF('Fire Elemental'!$X$4&lt; 10.8, Table1[[#This Row],[STR]], Table1[[#This Row],[STR]] / ('Fire Elemental'!$X$4 / 10.8)), 1)</f>
        <v>35</v>
      </c>
      <c r="AZ25" s="12">
        <f>CEILING(Wyvern!$Z$4/ IF(Wyvern!$X$4&lt; 10.8, Table1[[#This Row],[STR]], Table1[[#This Row],[STR]] / (Wyvern!$X$4 / 10.8)), 1)</f>
        <v>42</v>
      </c>
      <c r="BA25" s="12">
        <f>CEILING('Evolved Wyvern'!$Z$4/ IF('Evolved Wyvern'!$X$4&lt; 10.8, Table1[[#This Row],[STR]], Table1[[#This Row],[STR]] / ('Evolved Wyvern'!$X$4 / 10.8)), 1)</f>
        <v>54</v>
      </c>
      <c r="BB25" s="12">
        <f>CEILING(Dragon!$Z$4/ IF(Dragon!$X$4&lt; 10.8, Table1[[#This Row],[STR]], Table1[[#This Row],[STR]] / (Dragon!$X$4 / 10.8)), 1)</f>
        <v>90</v>
      </c>
    </row>
    <row r="26" spans="1:54" x14ac:dyDescent="0.3">
      <c r="A26" s="30">
        <v>24</v>
      </c>
      <c r="B26" s="30">
        <f>$B$3 + ((Table1[[#This Row],[Level]] / 10) + $B$3 / 8) * Table1[[#This Row],[Level]] + Equipment!$AK$18</f>
        <v>124.6</v>
      </c>
      <c r="C26" s="30">
        <f xml:space="preserve"> 2*Table1[[#This Row],[INT]]</f>
        <v>106</v>
      </c>
      <c r="D26" s="30">
        <f>$D$3 + ($D$3 / 4) * Table1[[#This Row],[Level]] + Equipment!$AL$18</f>
        <v>53</v>
      </c>
      <c r="E26" s="30">
        <f>$E$3 + ($E$3 / 4) * Table1[[#This Row],[Level]] + Equipment!$AM$18</f>
        <v>44</v>
      </c>
      <c r="F26" s="30">
        <f>$F$3 + ($F$3 / 4) * Table1[[#This Row],[Level]] + Equipment!$AN$18</f>
        <v>70</v>
      </c>
      <c r="G26" s="30">
        <f>$G$3 + ($G$3 / 4) * Table1[[#This Row],[Level]] + Equipment!$AO$18</f>
        <v>53</v>
      </c>
      <c r="H26" s="30">
        <f>$H$3 + ($H$3 / 4) * Table1[[#This Row],[Level]] + Equipment!$AP$18</f>
        <v>61</v>
      </c>
      <c r="I26" s="30">
        <f xml:space="preserve"> (4 * (Table1[[#This Row],[Level]] ^ 3))/7 + $I$3</f>
        <v>7999.4285714285716</v>
      </c>
      <c r="K26" s="8">
        <f>CEILING('Blue Slime'!$B$5/ IF('Blue Slime'!$D$5&lt; 10.8, Table1[[#This Row],[STR]], Table1[[#This Row],[STR]] / ('Blue Slime'!$D$5 / 10.8)), 1)</f>
        <v>1</v>
      </c>
      <c r="L26" s="8">
        <f>CEILING('Green Slime'!$B$5/ IF('Green Slime'!$D$5&lt; 10.8, Table1[[#This Row],[STR]], Table1[[#This Row],[STR]] / ('Green Slime'!$D$5 / 10.8)), 1)</f>
        <v>1</v>
      </c>
      <c r="M26" s="8">
        <f>CEILING(Wolf!$B$6/ IF(Wolf!$D$6&lt; 10.8, Table1[[#This Row],[STR]], Table1[[#This Row],[STR]] / (Wolf!$D$6 / 10.8)), 1)</f>
        <v>2</v>
      </c>
      <c r="N26" s="8">
        <f>CEILING('Horned Wolf'!$B$5/ IF('Horned Wolf'!$D$5&lt; 10.8, Table1[[#This Row],[STR]], Table1[[#This Row],[STR]] / ('Horned Wolf'!$D$5 / 10.8)), 1)</f>
        <v>3</v>
      </c>
      <c r="O26" s="8">
        <f>CEILING(Spider!$B$7/ IF(Spider!$D$7&lt; 10.8, Table1[[#This Row],[STR]], Table1[[#This Row],[STR]] / (Spider!$D$7 / 10.8)), 1)</f>
        <v>3</v>
      </c>
      <c r="P26" s="8">
        <f>CEILING('Evolved Spider'!$B$8/ IF('Evolved Spider'!$D$8&lt; 10.8, Table1[[#This Row],[STR]], Table1[[#This Row],[STR]] / ('Evolved Spider'!$D$8 / 10.8)), 1)</f>
        <v>6</v>
      </c>
      <c r="Q26" s="8">
        <f>CEILING(Arachne!$B$4/ IF(Arachne!$D$4&lt; 10.8, Table1[[#This Row],[STR]], Table1[[#This Row],[STR]] / (Arachne!$D$4 / 10.8)), 1)</f>
        <v>7</v>
      </c>
      <c r="R26" s="15">
        <f>CEILING('Earth Elemental'!$B$6/ IF('Earth Elemental'!$D$6&lt; 10.8, Table1[[#This Row],[STR]], Table1[[#This Row],[STR]] / ('Earth Elemental'!$D$6 / 10.8)), 1)</f>
        <v>8</v>
      </c>
      <c r="S26" s="15">
        <f>CEILING('Wind Elemental'!$B$6/ IF('Wind Elemental'!$D$6&lt; 10.8, Table1[[#This Row],[STR]], Table1[[#This Row],[STR]] / ('Wind Elemental'!$D$6 / 10.8)), 1)</f>
        <v>7</v>
      </c>
      <c r="T26" s="15">
        <f>CEILING('Water Elemental'!$B$6/ IF('Water Elemental'!$D$6&lt; 10.8, Table1[[#This Row],[STR]], Table1[[#This Row],[STR]] / ('Water Elemental'!$D$6 / 10.8)), 1)</f>
        <v>10</v>
      </c>
      <c r="U26" s="15">
        <f>CEILING('Fire Elemental'!$B$4/ IF('Fire Elemental'!$D$4&lt; 10.8, Table1[[#This Row],[STR]], Table1[[#This Row],[STR]] / ('Fire Elemental'!$D$4 / 10.8)), 1)</f>
        <v>13</v>
      </c>
      <c r="V26" s="12">
        <f>CEILING(Wyvern!$B$4/ IF(Wyvern!$D$4&lt; 10.8, Table1[[#This Row],[STR]], Table1[[#This Row],[STR]] / (Wyvern!$D$4 / 10.8)), 1)</f>
        <v>17</v>
      </c>
      <c r="W26" s="12">
        <f>CEILING('Evolved Wyvern'!$B$4/ IF('Evolved Wyvern'!$D$4&lt; 10.8, Table1[[#This Row],[STR]], Table1[[#This Row],[STR]] / ('Evolved Wyvern'!$D$4 / 10.8)), 1)</f>
        <v>24</v>
      </c>
      <c r="X26" s="12">
        <f>CEILING(Dragon!$B$4/ IF(Dragon!$D$4&lt; 10.8, Table1[[#This Row],[STR]], Table1[[#This Row],[STR]] / (Dragon!$D$4 / 10.8)), 1)</f>
        <v>39</v>
      </c>
      <c r="Z26" s="8">
        <f>CEILING('Blue Slime'!$M$5/ IF('Blue Slime'!$O$5&lt; 10.8, Table1[[#This Row],[STR]], Table1[[#This Row],[STR]] / ('Blue Slime'!$O$5 / 10.8)), 1)</f>
        <v>1</v>
      </c>
      <c r="AA26" s="8">
        <f>CEILING('Green Slime'!$M$5/ IF('Green Slime'!$O$5&lt; 10.8, Table1[[#This Row],[STR]], Table1[[#This Row],[STR]] / ('Green Slime'!$O$5 / 10.8)), 1)</f>
        <v>1</v>
      </c>
      <c r="AB26" s="8">
        <f>CEILING(Wolf!$M$6/ IF(Wolf!$O$6&lt; 10.8, Table1[[#This Row],[STR]], Table1[[#This Row],[STR]] / (Wolf!$O$6 / 10.8)), 1)</f>
        <v>3</v>
      </c>
      <c r="AC26" s="8">
        <f>CEILING('Horned Wolf'!$M$5/ IF('Horned Wolf'!$O$5&lt; 10.8, Table1[[#This Row],[STR]], Table1[[#This Row],[STR]] / ('Horned Wolf'!$O$5 / 10.8)), 1)</f>
        <v>7</v>
      </c>
      <c r="AD26" s="8">
        <f>CEILING(Spider!$M$7/ IF(Spider!$O$7&lt; 10.8, Table1[[#This Row],[STR]], Table1[[#This Row],[STR]] / (Spider!$O$7 / 10.8)), 1)</f>
        <v>6</v>
      </c>
      <c r="AE26" s="8">
        <f>CEILING('Evolved Spider'!$M$8/ IF('Evolved Spider'!$O$8&lt; 10.8, Table1[[#This Row],[STR]], Table1[[#This Row],[STR]] / ('Evolved Spider'!$O$8 / 10.8)), 1)</f>
        <v>11</v>
      </c>
      <c r="AF26" s="8">
        <f>CEILING(Arachne!$M$4/ IF(Arachne!$O$4&lt; 10.8, Table1[[#This Row],[STR]], Table1[[#This Row],[STR]] / (Arachne!$O$4 / 10.8)), 1)</f>
        <v>14</v>
      </c>
      <c r="AG26" s="15">
        <f>CEILING('Earth Elemental'!$M$6/ IF('Earth Elemental'!$O$6&lt; 10.8, Table1[[#This Row],[STR]], Table1[[#This Row],[STR]] / ('Earth Elemental'!$O$6 / 10.8)), 1)</f>
        <v>13</v>
      </c>
      <c r="AH26" s="15">
        <f>CEILING('Wind Elemental'!$M$6/ IF('Wind Elemental'!$O$6&lt; 10.8, Table1[[#This Row],[STR]], Table1[[#This Row],[STR]] / ('Wind Elemental'!$O$6 / 10.8)), 1)</f>
        <v>11</v>
      </c>
      <c r="AI26" s="15">
        <f>CEILING('Water Elemental'!$M$6/ IF('Water Elemental'!$O$6&lt; 10.8, Table1[[#This Row],[STR]], Table1[[#This Row],[STR]] / ('Water Elemental'!$O$6 / 10.8)), 1)</f>
        <v>15</v>
      </c>
      <c r="AJ26" s="15">
        <f>CEILING('Fire Elemental'!$M$4/ IF('Fire Elemental'!$O$4&lt; 10.8, Table1[[#This Row],[STR]], Table1[[#This Row],[STR]] / ('Fire Elemental'!$O$4 / 10.8)), 1)</f>
        <v>22</v>
      </c>
      <c r="AK26" s="12">
        <f>CEILING(Wyvern!$M$4/ IF(Wyvern!$O$4&lt; 10.8, Table1[[#This Row],[STR]], Table1[[#This Row],[STR]] / (Wyvern!$O$4 / 10.8)), 1)</f>
        <v>28</v>
      </c>
      <c r="AL26" s="12">
        <f>CEILING('Evolved Wyvern'!$M$4/ IF('Evolved Wyvern'!$O$4&lt; 10.8, Table1[[#This Row],[STR]], Table1[[#This Row],[STR]] / ('Evolved Wyvern'!$O$4 / 10.8)), 1)</f>
        <v>37</v>
      </c>
      <c r="AM26" s="12">
        <f>CEILING(Dragon!$M$4/ IF(Dragon!$O$4&lt; 10.8, Table1[[#This Row],[STR]], Table1[[#This Row],[STR]] / (Dragon!$O$4 / 10.8)), 1)</f>
        <v>62</v>
      </c>
      <c r="AO26" s="8">
        <f>CEILING('Blue Slime'!$Z$5/ IF('Blue Slime'!$X$5&lt; 10.8, Table1[[#This Row],[STR]], Table1[[#This Row],[STR]] / ('Blue Slime'!$X$5 / 10.8)), 1)</f>
        <v>1</v>
      </c>
      <c r="AP26" s="8">
        <f>CEILING('Green Slime'!$Z$5/ IF('Green Slime'!$X$5&lt; 10.8, Table1[[#This Row],[STR]], Table1[[#This Row],[STR]] / ('Green Slime'!$X$5 / 10.8)), 1)</f>
        <v>2</v>
      </c>
      <c r="AQ26" s="8">
        <f>CEILING(Wolf!$Z$6/ IF(Wolf!$X$6&lt; 10.8, Table1[[#This Row],[STR]], Table1[[#This Row],[STR]] / (Wolf!$X$6 / 10.8)), 1)</f>
        <v>4</v>
      </c>
      <c r="AR26" s="8">
        <f>CEILING('Horned Wolf'!$Z$5/ IF('Horned Wolf'!$X$5&lt; 10.8, Table1[[#This Row],[STR]], Table1[[#This Row],[STR]] / ('Horned Wolf'!$X$5 / 10.8)), 1)</f>
        <v>11</v>
      </c>
      <c r="AS26" s="8">
        <f>CEILING(Spider!$Z$7/ IF(Spider!$X$7&lt; 10.8, Table1[[#This Row],[STR]], Table1[[#This Row],[STR]] / (Spider!$X$7 / 10.8)), 1)</f>
        <v>10</v>
      </c>
      <c r="AT26" s="8">
        <f>CEILING('Evolved Spider'!$Z$8/ IF('Evolved Spider'!$X$8&lt; 10.8, Table1[[#This Row],[STR]], Table1[[#This Row],[STR]] / ('Evolved Spider'!$X$8 / 10.8)), 1)</f>
        <v>17</v>
      </c>
      <c r="AU26" s="8">
        <f>CEILING(Arachne!$Z$4/ IF(Arachne!$X$4&lt; 10.8, Table1[[#This Row],[STR]], Table1[[#This Row],[STR]] / (Arachne!$X$4 / 10.8)), 1)</f>
        <v>23</v>
      </c>
      <c r="AV26" s="15">
        <f>CEILING('Earth Elemental'!$Z$6/ IF('Earth Elemental'!$X$6&lt; 10.8, Table1[[#This Row],[STR]], Table1[[#This Row],[STR]] / ('Earth Elemental'!$X$6 / 10.8)), 1)</f>
        <v>20</v>
      </c>
      <c r="AW26" s="15">
        <f>CEILING('Wind Elemental'!$Z$6/ IF('Wind Elemental'!$X$6&lt; 10.8, Table1[[#This Row],[STR]], Table1[[#This Row],[STR]] / ('Wind Elemental'!$X$6 / 10.8)), 1)</f>
        <v>15</v>
      </c>
      <c r="AX26" s="15">
        <f>CEILING('Water Elemental'!$Z$6/ IF('Water Elemental'!$X$6&lt; 10.8, Table1[[#This Row],[STR]], Table1[[#This Row],[STR]] / ('Water Elemental'!$X$6 / 10.8)), 1)</f>
        <v>21</v>
      </c>
      <c r="AY26" s="15">
        <f>CEILING('Fire Elemental'!$Z$4/ IF('Fire Elemental'!$X$4&lt; 10.8, Table1[[#This Row],[STR]], Table1[[#This Row],[STR]] / ('Fire Elemental'!$X$4 / 10.8)), 1)</f>
        <v>34</v>
      </c>
      <c r="AZ26" s="12">
        <f>CEILING(Wyvern!$Z$4/ IF(Wyvern!$X$4&lt; 10.8, Table1[[#This Row],[STR]], Table1[[#This Row],[STR]] / (Wyvern!$X$4 / 10.8)), 1)</f>
        <v>41</v>
      </c>
      <c r="BA26" s="12">
        <f>CEILING('Evolved Wyvern'!$Z$4/ IF('Evolved Wyvern'!$X$4&lt; 10.8, Table1[[#This Row],[STR]], Table1[[#This Row],[STR]] / ('Evolved Wyvern'!$X$4 / 10.8)), 1)</f>
        <v>52</v>
      </c>
      <c r="BB26" s="12">
        <f>CEILING(Dragon!$Z$4/ IF(Dragon!$X$4&lt; 10.8, Table1[[#This Row],[STR]], Table1[[#This Row],[STR]] / (Dragon!$X$4 / 10.8)), 1)</f>
        <v>88</v>
      </c>
    </row>
    <row r="27" spans="1:54" x14ac:dyDescent="0.3">
      <c r="A27" s="1">
        <v>25</v>
      </c>
      <c r="B27" s="1">
        <f>$B$3 + ((Table1[[#This Row],[Level]] / 10) + $B$3 / 8) * Table1[[#This Row],[Level]] + Equipment!$AK$26</f>
        <v>153</v>
      </c>
      <c r="C27" s="1">
        <f xml:space="preserve"> 2*Table1[[#This Row],[INT]]</f>
        <v>117</v>
      </c>
      <c r="D27" s="1">
        <f>$D$3 + ($D$3 / 4) * Table1[[#This Row],[Level]]+ Equipment!$AL$26</f>
        <v>61.5</v>
      </c>
      <c r="E27" s="1">
        <f>$E$3 + ($E$3 / 4) * Table1[[#This Row],[Level]]+ Equipment!$AM$26</f>
        <v>51.25</v>
      </c>
      <c r="F27" s="1">
        <f>$F$3 + ($F$3 / 4) * Table1[[#This Row],[Level]]+ Equipment!$AN$26</f>
        <v>82</v>
      </c>
      <c r="G27" s="1">
        <f>$G$3 + ($G$3 / 4) * Table1[[#This Row],[Level]]+ Equipment!$AO$26</f>
        <v>58.5</v>
      </c>
      <c r="H27" s="1">
        <f>$H$3 + ($H$3 / 4) * Table1[[#This Row],[Level]]+ Equipment!$AP$26</f>
        <v>71.75</v>
      </c>
      <c r="I27" s="34">
        <f xml:space="preserve"> (4 * (Table1[[#This Row],[Level]] ^ 3))/7 + $I$3</f>
        <v>9028.5714285714294</v>
      </c>
      <c r="K27" s="8">
        <f>CEILING('Blue Slime'!$B$5/ IF('Blue Slime'!$D$5&lt; 10.8, Table1[[#This Row],[STR]], Table1[[#This Row],[STR]] / ('Blue Slime'!$D$5 / 10.8)), 1)</f>
        <v>1</v>
      </c>
      <c r="L27" s="8">
        <f>CEILING('Green Slime'!$B$5/ IF('Green Slime'!$D$5&lt; 10.8, Table1[[#This Row],[STR]], Table1[[#This Row],[STR]] / ('Green Slime'!$D$5 / 10.8)), 1)</f>
        <v>1</v>
      </c>
      <c r="M27" s="8">
        <f>CEILING(Wolf!$B$6/ IF(Wolf!$D$6&lt; 10.8, Table1[[#This Row],[STR]], Table1[[#This Row],[STR]] / (Wolf!$D$6 / 10.8)), 1)</f>
        <v>1</v>
      </c>
      <c r="N27" s="8">
        <f>CEILING('Horned Wolf'!$B$5/ IF('Horned Wolf'!$D$5&lt; 10.8, Table1[[#This Row],[STR]], Table1[[#This Row],[STR]] / ('Horned Wolf'!$D$5 / 10.8)), 1)</f>
        <v>3</v>
      </c>
      <c r="O27" s="8">
        <f>CEILING(Spider!$B$7/ IF(Spider!$D$7&lt; 10.8, Table1[[#This Row],[STR]], Table1[[#This Row],[STR]] / (Spider!$D$7 / 10.8)), 1)</f>
        <v>3</v>
      </c>
      <c r="P27" s="8">
        <f>CEILING('Evolved Spider'!$B$8/ IF('Evolved Spider'!$D$8&lt; 10.8, Table1[[#This Row],[STR]], Table1[[#This Row],[STR]] / ('Evolved Spider'!$D$8 / 10.8)), 1)</f>
        <v>5</v>
      </c>
      <c r="Q27" s="8">
        <f>CEILING(Arachne!$B$4/ IF(Arachne!$D$4&lt; 10.8, Table1[[#This Row],[STR]], Table1[[#This Row],[STR]] / (Arachne!$D$4 / 10.8)), 1)</f>
        <v>6</v>
      </c>
      <c r="R27" s="15">
        <f>CEILING('Earth Elemental'!$B$6/ IF('Earth Elemental'!$D$6&lt; 10.8, Table1[[#This Row],[STR]], Table1[[#This Row],[STR]] / ('Earth Elemental'!$D$6 / 10.8)), 1)</f>
        <v>7</v>
      </c>
      <c r="S27" s="15">
        <f>CEILING('Wind Elemental'!$B$6/ IF('Wind Elemental'!$D$6&lt; 10.8, Table1[[#This Row],[STR]], Table1[[#This Row],[STR]] / ('Wind Elemental'!$D$6 / 10.8)), 1)</f>
        <v>6</v>
      </c>
      <c r="T27" s="15">
        <f>CEILING('Water Elemental'!$B$6/ IF('Water Elemental'!$D$6&lt; 10.8, Table1[[#This Row],[STR]], Table1[[#This Row],[STR]] / ('Water Elemental'!$D$6 / 10.8)), 1)</f>
        <v>9</v>
      </c>
      <c r="U27" s="15">
        <f>CEILING('Fire Elemental'!$B$4/ IF('Fire Elemental'!$D$4&lt; 10.8, Table1[[#This Row],[STR]], Table1[[#This Row],[STR]] / ('Fire Elemental'!$D$4 / 10.8)), 1)</f>
        <v>11</v>
      </c>
      <c r="V27" s="12">
        <f>CEILING(Wyvern!$B$4/ IF(Wyvern!$D$4&lt; 10.8, Table1[[#This Row],[STR]], Table1[[#This Row],[STR]] / (Wyvern!$D$4 / 10.8)), 1)</f>
        <v>15</v>
      </c>
      <c r="W27" s="12">
        <f>CEILING('Evolved Wyvern'!$B$4/ IF('Evolved Wyvern'!$D$4&lt; 10.8, Table1[[#This Row],[STR]], Table1[[#This Row],[STR]] / ('Evolved Wyvern'!$D$4 / 10.8)), 1)</f>
        <v>20</v>
      </c>
      <c r="X27" s="12">
        <f>CEILING(Dragon!$B$4/ IF(Dragon!$D$4&lt; 10.8, Table1[[#This Row],[STR]], Table1[[#This Row],[STR]] / (Dragon!$D$4 / 10.8)), 1)</f>
        <v>33</v>
      </c>
      <c r="Z27" s="8">
        <f>CEILING('Blue Slime'!$M$5/ IF('Blue Slime'!$O$5&lt; 10.8, Table1[[#This Row],[STR]], Table1[[#This Row],[STR]] / ('Blue Slime'!$O$5 / 10.8)), 1)</f>
        <v>1</v>
      </c>
      <c r="AA27" s="8">
        <f>CEILING('Green Slime'!$M$5/ IF('Green Slime'!$O$5&lt; 10.8, Table1[[#This Row],[STR]], Table1[[#This Row],[STR]] / ('Green Slime'!$O$5 / 10.8)), 1)</f>
        <v>1</v>
      </c>
      <c r="AB27" s="8">
        <f>CEILING(Wolf!$M$6/ IF(Wolf!$O$6&lt; 10.8, Table1[[#This Row],[STR]], Table1[[#This Row],[STR]] / (Wolf!$O$6 / 10.8)), 1)</f>
        <v>2</v>
      </c>
      <c r="AC27" s="8">
        <f>CEILING('Horned Wolf'!$M$5/ IF('Horned Wolf'!$O$5&lt; 10.8, Table1[[#This Row],[STR]], Table1[[#This Row],[STR]] / ('Horned Wolf'!$O$5 / 10.8)), 1)</f>
        <v>6</v>
      </c>
      <c r="AD27" s="8">
        <f>CEILING(Spider!$M$7/ IF(Spider!$O$7&lt; 10.8, Table1[[#This Row],[STR]], Table1[[#This Row],[STR]] / (Spider!$O$7 / 10.8)), 1)</f>
        <v>5</v>
      </c>
      <c r="AE27" s="8">
        <f>CEILING('Evolved Spider'!$M$8/ IF('Evolved Spider'!$O$8&lt; 10.8, Table1[[#This Row],[STR]], Table1[[#This Row],[STR]] / ('Evolved Spider'!$O$8 / 10.8)), 1)</f>
        <v>9</v>
      </c>
      <c r="AF27" s="8">
        <f>CEILING(Arachne!$M$4/ IF(Arachne!$O$4&lt; 10.8, Table1[[#This Row],[STR]], Table1[[#This Row],[STR]] / (Arachne!$O$4 / 10.8)), 1)</f>
        <v>12</v>
      </c>
      <c r="AG27" s="15">
        <f>CEILING('Earth Elemental'!$M$6/ IF('Earth Elemental'!$O$6&lt; 10.8, Table1[[#This Row],[STR]], Table1[[#This Row],[STR]] / ('Earth Elemental'!$O$6 / 10.8)), 1)</f>
        <v>11</v>
      </c>
      <c r="AH27" s="15">
        <f>CEILING('Wind Elemental'!$M$6/ IF('Wind Elemental'!$O$6&lt; 10.8, Table1[[#This Row],[STR]], Table1[[#This Row],[STR]] / ('Wind Elemental'!$O$6 / 10.8)), 1)</f>
        <v>9</v>
      </c>
      <c r="AI27" s="15">
        <f>CEILING('Water Elemental'!$M$6/ IF('Water Elemental'!$O$6&lt; 10.8, Table1[[#This Row],[STR]], Table1[[#This Row],[STR]] / ('Water Elemental'!$O$6 / 10.8)), 1)</f>
        <v>13</v>
      </c>
      <c r="AJ27" s="15">
        <f>CEILING('Fire Elemental'!$M$4/ IF('Fire Elemental'!$O$4&lt; 10.8, Table1[[#This Row],[STR]], Table1[[#This Row],[STR]] / ('Fire Elemental'!$O$4 / 10.8)), 1)</f>
        <v>19</v>
      </c>
      <c r="AK27" s="12">
        <f>CEILING(Wyvern!$M$4/ IF(Wyvern!$O$4&lt; 10.8, Table1[[#This Row],[STR]], Table1[[#This Row],[STR]] / (Wyvern!$O$4 / 10.8)), 1)</f>
        <v>24</v>
      </c>
      <c r="AL27" s="12">
        <f>CEILING('Evolved Wyvern'!$M$4/ IF('Evolved Wyvern'!$O$4&lt; 10.8, Table1[[#This Row],[STR]], Table1[[#This Row],[STR]] / ('Evolved Wyvern'!$O$4 / 10.8)), 1)</f>
        <v>32</v>
      </c>
      <c r="AM27" s="12">
        <f>CEILING(Dragon!$M$4/ IF(Dragon!$O$4&lt; 10.8, Table1[[#This Row],[STR]], Table1[[#This Row],[STR]] / (Dragon!$O$4 / 10.8)), 1)</f>
        <v>53</v>
      </c>
      <c r="AO27" s="8">
        <f>CEILING('Blue Slime'!$Z$5/ IF('Blue Slime'!$X$5&lt; 10.8, Table1[[#This Row],[STR]], Table1[[#This Row],[STR]] / ('Blue Slime'!$X$5 / 10.8)), 1)</f>
        <v>1</v>
      </c>
      <c r="AP27" s="8">
        <f>CEILING('Green Slime'!$Z$5/ IF('Green Slime'!$X$5&lt; 10.8, Table1[[#This Row],[STR]], Table1[[#This Row],[STR]] / ('Green Slime'!$X$5 / 10.8)), 1)</f>
        <v>2</v>
      </c>
      <c r="AQ27" s="8">
        <f>CEILING(Wolf!$Z$6/ IF(Wolf!$X$6&lt; 10.8, Table1[[#This Row],[STR]], Table1[[#This Row],[STR]] / (Wolf!$X$6 / 10.8)), 1)</f>
        <v>4</v>
      </c>
      <c r="AR27" s="8">
        <f>CEILING('Horned Wolf'!$Z$5/ IF('Horned Wolf'!$X$5&lt; 10.8, Table1[[#This Row],[STR]], Table1[[#This Row],[STR]] / ('Horned Wolf'!$X$5 / 10.8)), 1)</f>
        <v>10</v>
      </c>
      <c r="AS27" s="8">
        <f>CEILING(Spider!$Z$7/ IF(Spider!$X$7&lt; 10.8, Table1[[#This Row],[STR]], Table1[[#This Row],[STR]] / (Spider!$X$7 / 10.8)), 1)</f>
        <v>8</v>
      </c>
      <c r="AT27" s="8">
        <f>CEILING('Evolved Spider'!$Z$8/ IF('Evolved Spider'!$X$8&lt; 10.8, Table1[[#This Row],[STR]], Table1[[#This Row],[STR]] / ('Evolved Spider'!$X$8 / 10.8)), 1)</f>
        <v>15</v>
      </c>
      <c r="AU27" s="8">
        <f>CEILING(Arachne!$Z$4/ IF(Arachne!$X$4&lt; 10.8, Table1[[#This Row],[STR]], Table1[[#This Row],[STR]] / (Arachne!$X$4 / 10.8)), 1)</f>
        <v>20</v>
      </c>
      <c r="AV27" s="15">
        <f>CEILING('Earth Elemental'!$Z$6/ IF('Earth Elemental'!$X$6&lt; 10.8, Table1[[#This Row],[STR]], Table1[[#This Row],[STR]] / ('Earth Elemental'!$X$6 / 10.8)), 1)</f>
        <v>17</v>
      </c>
      <c r="AW27" s="15">
        <f>CEILING('Wind Elemental'!$Z$6/ IF('Wind Elemental'!$X$6&lt; 10.8, Table1[[#This Row],[STR]], Table1[[#This Row],[STR]] / ('Wind Elemental'!$X$6 / 10.8)), 1)</f>
        <v>13</v>
      </c>
      <c r="AX27" s="15">
        <f>CEILING('Water Elemental'!$Z$6/ IF('Water Elemental'!$X$6&lt; 10.8, Table1[[#This Row],[STR]], Table1[[#This Row],[STR]] / ('Water Elemental'!$X$6 / 10.8)), 1)</f>
        <v>18</v>
      </c>
      <c r="AY27" s="15">
        <f>CEILING('Fire Elemental'!$Z$4/ IF('Fire Elemental'!$X$4&lt; 10.8, Table1[[#This Row],[STR]], Table1[[#This Row],[STR]] / ('Fire Elemental'!$X$4 / 10.8)), 1)</f>
        <v>29</v>
      </c>
      <c r="AZ27" s="12">
        <f>CEILING(Wyvern!$Z$4/ IF(Wyvern!$X$4&lt; 10.8, Table1[[#This Row],[STR]], Table1[[#This Row],[STR]] / (Wyvern!$X$4 / 10.8)), 1)</f>
        <v>35</v>
      </c>
      <c r="BA27" s="12">
        <f>CEILING('Evolved Wyvern'!$Z$4/ IF('Evolved Wyvern'!$X$4&lt; 10.8, Table1[[#This Row],[STR]], Table1[[#This Row],[STR]] / ('Evolved Wyvern'!$X$4 / 10.8)), 1)</f>
        <v>45</v>
      </c>
      <c r="BB27" s="12">
        <f>CEILING(Dragon!$Z$4/ IF(Dragon!$X$4&lt; 10.8, Table1[[#This Row],[STR]], Table1[[#This Row],[STR]] / (Dragon!$X$4 / 10.8)), 1)</f>
        <v>75</v>
      </c>
    </row>
    <row r="28" spans="1:54" x14ac:dyDescent="0.3">
      <c r="A28" s="1">
        <v>26</v>
      </c>
      <c r="B28" s="1">
        <f>$B$3 + ((Table1[[#This Row],[Level]] / 10) + $B$3 / 8) * Table1[[#This Row],[Level]] + Equipment!$AK$26</f>
        <v>159.6</v>
      </c>
      <c r="C28" s="1">
        <f xml:space="preserve"> 2*Table1[[#This Row],[INT]]</f>
        <v>120</v>
      </c>
      <c r="D28" s="1">
        <f>$D$3 + ($D$3 / 4) * Table1[[#This Row],[Level]]+ Equipment!$AL$26</f>
        <v>63</v>
      </c>
      <c r="E28" s="1">
        <f>$E$3 + ($E$3 / 4) * Table1[[#This Row],[Level]]+ Equipment!$AM$26</f>
        <v>52.5</v>
      </c>
      <c r="F28" s="1">
        <f>$F$3 + ($F$3 / 4) * Table1[[#This Row],[Level]]+ Equipment!$AN$26</f>
        <v>84</v>
      </c>
      <c r="G28" s="1">
        <f>$G$3 + ($G$3 / 4) * Table1[[#This Row],[Level]]+ Equipment!$AO$26</f>
        <v>60</v>
      </c>
      <c r="H28" s="1">
        <f>$H$3 + ($H$3 / 4) * Table1[[#This Row],[Level]]+ Equipment!$AP$26</f>
        <v>73.5</v>
      </c>
      <c r="I28" s="34">
        <f xml:space="preserve"> (4 * (Table1[[#This Row],[Level]] ^ 3))/7 + $I$3</f>
        <v>10143.428571428571</v>
      </c>
      <c r="K28" s="8">
        <f>CEILING('Blue Slime'!$B$5/ IF('Blue Slime'!$D$5&lt; 10.8, Table1[[#This Row],[STR]], Table1[[#This Row],[STR]] / ('Blue Slime'!$D$5 / 10.8)), 1)</f>
        <v>1</v>
      </c>
      <c r="L28" s="8">
        <f>CEILING('Green Slime'!$B$5/ IF('Green Slime'!$D$5&lt; 10.8, Table1[[#This Row],[STR]], Table1[[#This Row],[STR]] / ('Green Slime'!$D$5 / 10.8)), 1)</f>
        <v>1</v>
      </c>
      <c r="M28" s="8">
        <f>CEILING(Wolf!$B$6/ IF(Wolf!$D$6&lt; 10.8, Table1[[#This Row],[STR]], Table1[[#This Row],[STR]] / (Wolf!$D$6 / 10.8)), 1)</f>
        <v>1</v>
      </c>
      <c r="N28" s="8">
        <f>CEILING('Horned Wolf'!$B$5/ IF('Horned Wolf'!$D$5&lt; 10.8, Table1[[#This Row],[STR]], Table1[[#This Row],[STR]] / ('Horned Wolf'!$D$5 / 10.8)), 1)</f>
        <v>3</v>
      </c>
      <c r="O28" s="8">
        <f>CEILING(Spider!$B$7/ IF(Spider!$D$7&lt; 10.8, Table1[[#This Row],[STR]], Table1[[#This Row],[STR]] / (Spider!$D$7 / 10.8)), 1)</f>
        <v>3</v>
      </c>
      <c r="P28" s="8">
        <f>CEILING('Evolved Spider'!$B$8/ IF('Evolved Spider'!$D$8&lt; 10.8, Table1[[#This Row],[STR]], Table1[[#This Row],[STR]] / ('Evolved Spider'!$D$8 / 10.8)), 1)</f>
        <v>5</v>
      </c>
      <c r="Q28" s="8">
        <f>CEILING(Arachne!$B$4/ IF(Arachne!$D$4&lt; 10.8, Table1[[#This Row],[STR]], Table1[[#This Row],[STR]] / (Arachne!$D$4 / 10.8)), 1)</f>
        <v>6</v>
      </c>
      <c r="R28" s="15">
        <f>CEILING('Earth Elemental'!$B$6/ IF('Earth Elemental'!$D$6&lt; 10.8, Table1[[#This Row],[STR]], Table1[[#This Row],[STR]] / ('Earth Elemental'!$D$6 / 10.8)), 1)</f>
        <v>6</v>
      </c>
      <c r="S28" s="15">
        <f>CEILING('Wind Elemental'!$B$6/ IF('Wind Elemental'!$D$6&lt; 10.8, Table1[[#This Row],[STR]], Table1[[#This Row],[STR]] / ('Wind Elemental'!$D$6 / 10.8)), 1)</f>
        <v>6</v>
      </c>
      <c r="T28" s="15">
        <f>CEILING('Water Elemental'!$B$6/ IF('Water Elemental'!$D$6&lt; 10.8, Table1[[#This Row],[STR]], Table1[[#This Row],[STR]] / ('Water Elemental'!$D$6 / 10.8)), 1)</f>
        <v>9</v>
      </c>
      <c r="U28" s="15">
        <f>CEILING('Fire Elemental'!$B$4/ IF('Fire Elemental'!$D$4&lt; 10.8, Table1[[#This Row],[STR]], Table1[[#This Row],[STR]] / ('Fire Elemental'!$D$4 / 10.8)), 1)</f>
        <v>11</v>
      </c>
      <c r="V28" s="12">
        <f>CEILING(Wyvern!$B$4/ IF(Wyvern!$D$4&lt; 10.8, Table1[[#This Row],[STR]], Table1[[#This Row],[STR]] / (Wyvern!$D$4 / 10.8)), 1)</f>
        <v>14</v>
      </c>
      <c r="W28" s="12">
        <f>CEILING('Evolved Wyvern'!$B$4/ IF('Evolved Wyvern'!$D$4&lt; 10.8, Table1[[#This Row],[STR]], Table1[[#This Row],[STR]] / ('Evolved Wyvern'!$D$4 / 10.8)), 1)</f>
        <v>20</v>
      </c>
      <c r="X28" s="12">
        <f>CEILING(Dragon!$B$4/ IF(Dragon!$D$4&lt; 10.8, Table1[[#This Row],[STR]], Table1[[#This Row],[STR]] / (Dragon!$D$4 / 10.8)), 1)</f>
        <v>32</v>
      </c>
      <c r="Z28" s="8">
        <f>CEILING('Blue Slime'!$M$5/ IF('Blue Slime'!$O$5&lt; 10.8, Table1[[#This Row],[STR]], Table1[[#This Row],[STR]] / ('Blue Slime'!$O$5 / 10.8)), 1)</f>
        <v>1</v>
      </c>
      <c r="AA28" s="8">
        <f>CEILING('Green Slime'!$M$5/ IF('Green Slime'!$O$5&lt; 10.8, Table1[[#This Row],[STR]], Table1[[#This Row],[STR]] / ('Green Slime'!$O$5 / 10.8)), 1)</f>
        <v>1</v>
      </c>
      <c r="AB28" s="8">
        <f>CEILING(Wolf!$M$6/ IF(Wolf!$O$6&lt; 10.8, Table1[[#This Row],[STR]], Table1[[#This Row],[STR]] / (Wolf!$O$6 / 10.8)), 1)</f>
        <v>2</v>
      </c>
      <c r="AC28" s="8">
        <f>CEILING('Horned Wolf'!$M$5/ IF('Horned Wolf'!$O$5&lt; 10.8, Table1[[#This Row],[STR]], Table1[[#This Row],[STR]] / ('Horned Wolf'!$O$5 / 10.8)), 1)</f>
        <v>6</v>
      </c>
      <c r="AD28" s="8">
        <f>CEILING(Spider!$M$7/ IF(Spider!$O$7&lt; 10.8, Table1[[#This Row],[STR]], Table1[[#This Row],[STR]] / (Spider!$O$7 / 10.8)), 1)</f>
        <v>5</v>
      </c>
      <c r="AE28" s="8">
        <f>CEILING('Evolved Spider'!$M$8/ IF('Evolved Spider'!$O$8&lt; 10.8, Table1[[#This Row],[STR]], Table1[[#This Row],[STR]] / ('Evolved Spider'!$O$8 / 10.8)), 1)</f>
        <v>9</v>
      </c>
      <c r="AF28" s="8">
        <f>CEILING(Arachne!$M$4/ IF(Arachne!$O$4&lt; 10.8, Table1[[#This Row],[STR]], Table1[[#This Row],[STR]] / (Arachne!$O$4 / 10.8)), 1)</f>
        <v>12</v>
      </c>
      <c r="AG28" s="15">
        <f>CEILING('Earth Elemental'!$M$6/ IF('Earth Elemental'!$O$6&lt; 10.8, Table1[[#This Row],[STR]], Table1[[#This Row],[STR]] / ('Earth Elemental'!$O$6 / 10.8)), 1)</f>
        <v>11</v>
      </c>
      <c r="AH28" s="15">
        <f>CEILING('Wind Elemental'!$M$6/ IF('Wind Elemental'!$O$6&lt; 10.8, Table1[[#This Row],[STR]], Table1[[#This Row],[STR]] / ('Wind Elemental'!$O$6 / 10.8)), 1)</f>
        <v>9</v>
      </c>
      <c r="AI28" s="15">
        <f>CEILING('Water Elemental'!$M$6/ IF('Water Elemental'!$O$6&lt; 10.8, Table1[[#This Row],[STR]], Table1[[#This Row],[STR]] / ('Water Elemental'!$O$6 / 10.8)), 1)</f>
        <v>13</v>
      </c>
      <c r="AJ28" s="15">
        <f>CEILING('Fire Elemental'!$M$4/ IF('Fire Elemental'!$O$4&lt; 10.8, Table1[[#This Row],[STR]], Table1[[#This Row],[STR]] / ('Fire Elemental'!$O$4 / 10.8)), 1)</f>
        <v>19</v>
      </c>
      <c r="AK28" s="12">
        <f>CEILING(Wyvern!$M$4/ IF(Wyvern!$O$4&lt; 10.8, Table1[[#This Row],[STR]], Table1[[#This Row],[STR]] / (Wyvern!$O$4 / 10.8)), 1)</f>
        <v>24</v>
      </c>
      <c r="AL28" s="12">
        <f>CEILING('Evolved Wyvern'!$M$4/ IF('Evolved Wyvern'!$O$4&lt; 10.8, Table1[[#This Row],[STR]], Table1[[#This Row],[STR]] / ('Evolved Wyvern'!$O$4 / 10.8)), 1)</f>
        <v>31</v>
      </c>
      <c r="AM28" s="12">
        <f>CEILING(Dragon!$M$4/ IF(Dragon!$O$4&lt; 10.8, Table1[[#This Row],[STR]], Table1[[#This Row],[STR]] / (Dragon!$O$4 / 10.8)), 1)</f>
        <v>52</v>
      </c>
      <c r="AO28" s="8">
        <f>CEILING('Blue Slime'!$Z$5/ IF('Blue Slime'!$X$5&lt; 10.8, Table1[[#This Row],[STR]], Table1[[#This Row],[STR]] / ('Blue Slime'!$X$5 / 10.8)), 1)</f>
        <v>1</v>
      </c>
      <c r="AP28" s="8">
        <f>CEILING('Green Slime'!$Z$5/ IF('Green Slime'!$X$5&lt; 10.8, Table1[[#This Row],[STR]], Table1[[#This Row],[STR]] / ('Green Slime'!$X$5 / 10.8)), 1)</f>
        <v>2</v>
      </c>
      <c r="AQ28" s="8">
        <f>CEILING(Wolf!$Z$6/ IF(Wolf!$X$6&lt; 10.8, Table1[[#This Row],[STR]], Table1[[#This Row],[STR]] / (Wolf!$X$6 / 10.8)), 1)</f>
        <v>4</v>
      </c>
      <c r="AR28" s="8">
        <f>CEILING('Horned Wolf'!$Z$5/ IF('Horned Wolf'!$X$5&lt; 10.8, Table1[[#This Row],[STR]], Table1[[#This Row],[STR]] / ('Horned Wolf'!$X$5 / 10.8)), 1)</f>
        <v>9</v>
      </c>
      <c r="AS28" s="8">
        <f>CEILING(Spider!$Z$7/ IF(Spider!$X$7&lt; 10.8, Table1[[#This Row],[STR]], Table1[[#This Row],[STR]] / (Spider!$X$7 / 10.8)), 1)</f>
        <v>8</v>
      </c>
      <c r="AT28" s="8">
        <f>CEILING('Evolved Spider'!$Z$8/ IF('Evolved Spider'!$X$8&lt; 10.8, Table1[[#This Row],[STR]], Table1[[#This Row],[STR]] / ('Evolved Spider'!$X$8 / 10.8)), 1)</f>
        <v>14</v>
      </c>
      <c r="AU28" s="8">
        <f>CEILING(Arachne!$Z$4/ IF(Arachne!$X$4&lt; 10.8, Table1[[#This Row],[STR]], Table1[[#This Row],[STR]] / (Arachne!$X$4 / 10.8)), 1)</f>
        <v>20</v>
      </c>
      <c r="AV28" s="15">
        <f>CEILING('Earth Elemental'!$Z$6/ IF('Earth Elemental'!$X$6&lt; 10.8, Table1[[#This Row],[STR]], Table1[[#This Row],[STR]] / ('Earth Elemental'!$X$6 / 10.8)), 1)</f>
        <v>16</v>
      </c>
      <c r="AW28" s="15">
        <f>CEILING('Wind Elemental'!$Z$6/ IF('Wind Elemental'!$X$6&lt; 10.8, Table1[[#This Row],[STR]], Table1[[#This Row],[STR]] / ('Wind Elemental'!$X$6 / 10.8)), 1)</f>
        <v>13</v>
      </c>
      <c r="AX28" s="15">
        <f>CEILING('Water Elemental'!$Z$6/ IF('Water Elemental'!$X$6&lt; 10.8, Table1[[#This Row],[STR]], Table1[[#This Row],[STR]] / ('Water Elemental'!$X$6 / 10.8)), 1)</f>
        <v>17</v>
      </c>
      <c r="AY28" s="15">
        <f>CEILING('Fire Elemental'!$Z$4/ IF('Fire Elemental'!$X$4&lt; 10.8, Table1[[#This Row],[STR]], Table1[[#This Row],[STR]] / ('Fire Elemental'!$X$4 / 10.8)), 1)</f>
        <v>28</v>
      </c>
      <c r="AZ28" s="12">
        <f>CEILING(Wyvern!$Z$4/ IF(Wyvern!$X$4&lt; 10.8, Table1[[#This Row],[STR]], Table1[[#This Row],[STR]] / (Wyvern!$X$4 / 10.8)), 1)</f>
        <v>34</v>
      </c>
      <c r="BA28" s="12">
        <f>CEILING('Evolved Wyvern'!$Z$4/ IF('Evolved Wyvern'!$X$4&lt; 10.8, Table1[[#This Row],[STR]], Table1[[#This Row],[STR]] / ('Evolved Wyvern'!$X$4 / 10.8)), 1)</f>
        <v>44</v>
      </c>
      <c r="BB28" s="12">
        <f>CEILING(Dragon!$Z$4/ IF(Dragon!$X$4&lt; 10.8, Table1[[#This Row],[STR]], Table1[[#This Row],[STR]] / (Dragon!$X$4 / 10.8)), 1)</f>
        <v>73</v>
      </c>
    </row>
    <row r="29" spans="1:54" x14ac:dyDescent="0.3">
      <c r="A29" s="1">
        <v>27</v>
      </c>
      <c r="B29" s="1">
        <f>$B$3 + ((Table1[[#This Row],[Level]] / 10) + $B$3 / 8) * Table1[[#This Row],[Level]] + Equipment!$AK$26</f>
        <v>166.4</v>
      </c>
      <c r="C29" s="1">
        <f xml:space="preserve"> 2*Table1[[#This Row],[INT]]</f>
        <v>123</v>
      </c>
      <c r="D29" s="1">
        <f>$D$3 + ($D$3 / 4) * Table1[[#This Row],[Level]]+ Equipment!$AL$26</f>
        <v>64.5</v>
      </c>
      <c r="E29" s="1">
        <f>$E$3 + ($E$3 / 4) * Table1[[#This Row],[Level]]+ Equipment!$AM$26</f>
        <v>53.75</v>
      </c>
      <c r="F29" s="1">
        <f>$F$3 + ($F$3 / 4) * Table1[[#This Row],[Level]]+ Equipment!$AN$26</f>
        <v>86</v>
      </c>
      <c r="G29" s="1">
        <f>$G$3 + ($G$3 / 4) * Table1[[#This Row],[Level]]+ Equipment!$AO$26</f>
        <v>61.5</v>
      </c>
      <c r="H29" s="1">
        <f>$H$3 + ($H$3 / 4) * Table1[[#This Row],[Level]]+ Equipment!$AP$26</f>
        <v>75.25</v>
      </c>
      <c r="I29" s="34">
        <f xml:space="preserve"> (4 * (Table1[[#This Row],[Level]] ^ 3))/7 + $I$3</f>
        <v>11347.428571428571</v>
      </c>
      <c r="K29" s="8">
        <f>CEILING('Blue Slime'!$B$5/ IF('Blue Slime'!$D$5&lt; 10.8, Table1[[#This Row],[STR]], Table1[[#This Row],[STR]] / ('Blue Slime'!$D$5 / 10.8)), 1)</f>
        <v>1</v>
      </c>
      <c r="L29" s="8">
        <f>CEILING('Green Slime'!$B$5/ IF('Green Slime'!$D$5&lt; 10.8, Table1[[#This Row],[STR]], Table1[[#This Row],[STR]] / ('Green Slime'!$D$5 / 10.8)), 1)</f>
        <v>1</v>
      </c>
      <c r="M29" s="8">
        <f>CEILING(Wolf!$B$6/ IF(Wolf!$D$6&lt; 10.8, Table1[[#This Row],[STR]], Table1[[#This Row],[STR]] / (Wolf!$D$6 / 10.8)), 1)</f>
        <v>1</v>
      </c>
      <c r="N29" s="8">
        <f>CEILING('Horned Wolf'!$B$5/ IF('Horned Wolf'!$D$5&lt; 10.8, Table1[[#This Row],[STR]], Table1[[#This Row],[STR]] / ('Horned Wolf'!$D$5 / 10.8)), 1)</f>
        <v>3</v>
      </c>
      <c r="O29" s="8">
        <f>CEILING(Spider!$B$7/ IF(Spider!$D$7&lt; 10.8, Table1[[#This Row],[STR]], Table1[[#This Row],[STR]] / (Spider!$D$7 / 10.8)), 1)</f>
        <v>3</v>
      </c>
      <c r="P29" s="8">
        <f>CEILING('Evolved Spider'!$B$8/ IF('Evolved Spider'!$D$8&lt; 10.8, Table1[[#This Row],[STR]], Table1[[#This Row],[STR]] / ('Evolved Spider'!$D$8 / 10.8)), 1)</f>
        <v>5</v>
      </c>
      <c r="Q29" s="8">
        <f>CEILING(Arachne!$B$4/ IF(Arachne!$D$4&lt; 10.8, Table1[[#This Row],[STR]], Table1[[#This Row],[STR]] / (Arachne!$D$4 / 10.8)), 1)</f>
        <v>6</v>
      </c>
      <c r="R29" s="15">
        <f>CEILING('Earth Elemental'!$B$6/ IF('Earth Elemental'!$D$6&lt; 10.8, Table1[[#This Row],[STR]], Table1[[#This Row],[STR]] / ('Earth Elemental'!$D$6 / 10.8)), 1)</f>
        <v>6</v>
      </c>
      <c r="S29" s="15">
        <f>CEILING('Wind Elemental'!$B$6/ IF('Wind Elemental'!$D$6&lt; 10.8, Table1[[#This Row],[STR]], Table1[[#This Row],[STR]] / ('Wind Elemental'!$D$6 / 10.8)), 1)</f>
        <v>6</v>
      </c>
      <c r="T29" s="15">
        <f>CEILING('Water Elemental'!$B$6/ IF('Water Elemental'!$D$6&lt; 10.8, Table1[[#This Row],[STR]], Table1[[#This Row],[STR]] / ('Water Elemental'!$D$6 / 10.8)), 1)</f>
        <v>8</v>
      </c>
      <c r="U29" s="15">
        <f>CEILING('Fire Elemental'!$B$4/ IF('Fire Elemental'!$D$4&lt; 10.8, Table1[[#This Row],[STR]], Table1[[#This Row],[STR]] / ('Fire Elemental'!$D$4 / 10.8)), 1)</f>
        <v>11</v>
      </c>
      <c r="V29" s="12">
        <f>CEILING(Wyvern!$B$4/ IF(Wyvern!$D$4&lt; 10.8, Table1[[#This Row],[STR]], Table1[[#This Row],[STR]] / (Wyvern!$D$4 / 10.8)), 1)</f>
        <v>14</v>
      </c>
      <c r="W29" s="12">
        <f>CEILING('Evolved Wyvern'!$B$4/ IF('Evolved Wyvern'!$D$4&lt; 10.8, Table1[[#This Row],[STR]], Table1[[#This Row],[STR]] / ('Evolved Wyvern'!$D$4 / 10.8)), 1)</f>
        <v>19</v>
      </c>
      <c r="X29" s="12">
        <f>CEILING(Dragon!$B$4/ IF(Dragon!$D$4&lt; 10.8, Table1[[#This Row],[STR]], Table1[[#This Row],[STR]] / (Dragon!$D$4 / 10.8)), 1)</f>
        <v>32</v>
      </c>
      <c r="Z29" s="8">
        <f>CEILING('Blue Slime'!$M$5/ IF('Blue Slime'!$O$5&lt; 10.8, Table1[[#This Row],[STR]], Table1[[#This Row],[STR]] / ('Blue Slime'!$O$5 / 10.8)), 1)</f>
        <v>1</v>
      </c>
      <c r="AA29" s="8">
        <f>CEILING('Green Slime'!$M$5/ IF('Green Slime'!$O$5&lt; 10.8, Table1[[#This Row],[STR]], Table1[[#This Row],[STR]] / ('Green Slime'!$O$5 / 10.8)), 1)</f>
        <v>1</v>
      </c>
      <c r="AB29" s="8">
        <f>CEILING(Wolf!$M$6/ IF(Wolf!$O$6&lt; 10.8, Table1[[#This Row],[STR]], Table1[[#This Row],[STR]] / (Wolf!$O$6 / 10.8)), 1)</f>
        <v>2</v>
      </c>
      <c r="AC29" s="8">
        <f>CEILING('Horned Wolf'!$M$5/ IF('Horned Wolf'!$O$5&lt; 10.8, Table1[[#This Row],[STR]], Table1[[#This Row],[STR]] / ('Horned Wolf'!$O$5 / 10.8)), 1)</f>
        <v>5</v>
      </c>
      <c r="AD29" s="8">
        <f>CEILING(Spider!$M$7/ IF(Spider!$O$7&lt; 10.8, Table1[[#This Row],[STR]], Table1[[#This Row],[STR]] / (Spider!$O$7 / 10.8)), 1)</f>
        <v>5</v>
      </c>
      <c r="AE29" s="8">
        <f>CEILING('Evolved Spider'!$M$8/ IF('Evolved Spider'!$O$8&lt; 10.8, Table1[[#This Row],[STR]], Table1[[#This Row],[STR]] / ('Evolved Spider'!$O$8 / 10.8)), 1)</f>
        <v>9</v>
      </c>
      <c r="AF29" s="8">
        <f>CEILING(Arachne!$M$4/ IF(Arachne!$O$4&lt; 10.8, Table1[[#This Row],[STR]], Table1[[#This Row],[STR]] / (Arachne!$O$4 / 10.8)), 1)</f>
        <v>12</v>
      </c>
      <c r="AG29" s="15">
        <f>CEILING('Earth Elemental'!$M$6/ IF('Earth Elemental'!$O$6&lt; 10.8, Table1[[#This Row],[STR]], Table1[[#This Row],[STR]] / ('Earth Elemental'!$O$6 / 10.8)), 1)</f>
        <v>11</v>
      </c>
      <c r="AH29" s="15">
        <f>CEILING('Wind Elemental'!$M$6/ IF('Wind Elemental'!$O$6&lt; 10.8, Table1[[#This Row],[STR]], Table1[[#This Row],[STR]] / ('Wind Elemental'!$O$6 / 10.8)), 1)</f>
        <v>9</v>
      </c>
      <c r="AI29" s="15">
        <f>CEILING('Water Elemental'!$M$6/ IF('Water Elemental'!$O$6&lt; 10.8, Table1[[#This Row],[STR]], Table1[[#This Row],[STR]] / ('Water Elemental'!$O$6 / 10.8)), 1)</f>
        <v>13</v>
      </c>
      <c r="AJ29" s="15">
        <f>CEILING('Fire Elemental'!$M$4/ IF('Fire Elemental'!$O$4&lt; 10.8, Table1[[#This Row],[STR]], Table1[[#This Row],[STR]] / ('Fire Elemental'!$O$4 / 10.8)), 1)</f>
        <v>18</v>
      </c>
      <c r="AK29" s="12">
        <f>CEILING(Wyvern!$M$4/ IF(Wyvern!$O$4&lt; 10.8, Table1[[#This Row],[STR]], Table1[[#This Row],[STR]] / (Wyvern!$O$4 / 10.8)), 1)</f>
        <v>23</v>
      </c>
      <c r="AL29" s="12">
        <f>CEILING('Evolved Wyvern'!$M$4/ IF('Evolved Wyvern'!$O$4&lt; 10.8, Table1[[#This Row],[STR]], Table1[[#This Row],[STR]] / ('Evolved Wyvern'!$O$4 / 10.8)), 1)</f>
        <v>30</v>
      </c>
      <c r="AM29" s="12">
        <f>CEILING(Dragon!$M$4/ IF(Dragon!$O$4&lt; 10.8, Table1[[#This Row],[STR]], Table1[[#This Row],[STR]] / (Dragon!$O$4 / 10.8)), 1)</f>
        <v>50</v>
      </c>
      <c r="AO29" s="8">
        <f>CEILING('Blue Slime'!$Z$5/ IF('Blue Slime'!$X$5&lt; 10.8, Table1[[#This Row],[STR]], Table1[[#This Row],[STR]] / ('Blue Slime'!$X$5 / 10.8)), 1)</f>
        <v>1</v>
      </c>
      <c r="AP29" s="8">
        <f>CEILING('Green Slime'!$Z$5/ IF('Green Slime'!$X$5&lt; 10.8, Table1[[#This Row],[STR]], Table1[[#This Row],[STR]] / ('Green Slime'!$X$5 / 10.8)), 1)</f>
        <v>2</v>
      </c>
      <c r="AQ29" s="8">
        <f>CEILING(Wolf!$Z$6/ IF(Wolf!$X$6&lt; 10.8, Table1[[#This Row],[STR]], Table1[[#This Row],[STR]] / (Wolf!$X$6 / 10.8)), 1)</f>
        <v>4</v>
      </c>
      <c r="AR29" s="8">
        <f>CEILING('Horned Wolf'!$Z$5/ IF('Horned Wolf'!$X$5&lt; 10.8, Table1[[#This Row],[STR]], Table1[[#This Row],[STR]] / ('Horned Wolf'!$X$5 / 10.8)), 1)</f>
        <v>9</v>
      </c>
      <c r="AS29" s="8">
        <f>CEILING(Spider!$Z$7/ IF(Spider!$X$7&lt; 10.8, Table1[[#This Row],[STR]], Table1[[#This Row],[STR]] / (Spider!$X$7 / 10.8)), 1)</f>
        <v>8</v>
      </c>
      <c r="AT29" s="8">
        <f>CEILING('Evolved Spider'!$Z$8/ IF('Evolved Spider'!$X$8&lt; 10.8, Table1[[#This Row],[STR]], Table1[[#This Row],[STR]] / ('Evolved Spider'!$X$8 / 10.8)), 1)</f>
        <v>14</v>
      </c>
      <c r="AU29" s="8">
        <f>CEILING(Arachne!$Z$4/ IF(Arachne!$X$4&lt; 10.8, Table1[[#This Row],[STR]], Table1[[#This Row],[STR]] / (Arachne!$X$4 / 10.8)), 1)</f>
        <v>19</v>
      </c>
      <c r="AV29" s="15">
        <f>CEILING('Earth Elemental'!$Z$6/ IF('Earth Elemental'!$X$6&lt; 10.8, Table1[[#This Row],[STR]], Table1[[#This Row],[STR]] / ('Earth Elemental'!$X$6 / 10.8)), 1)</f>
        <v>16</v>
      </c>
      <c r="AW29" s="15">
        <f>CEILING('Wind Elemental'!$Z$6/ IF('Wind Elemental'!$X$6&lt; 10.8, Table1[[#This Row],[STR]], Table1[[#This Row],[STR]] / ('Wind Elemental'!$X$6 / 10.8)), 1)</f>
        <v>13</v>
      </c>
      <c r="AX29" s="15">
        <f>CEILING('Water Elemental'!$Z$6/ IF('Water Elemental'!$X$6&lt; 10.8, Table1[[#This Row],[STR]], Table1[[#This Row],[STR]] / ('Water Elemental'!$X$6 / 10.8)), 1)</f>
        <v>17</v>
      </c>
      <c r="AY29" s="15">
        <f>CEILING('Fire Elemental'!$Z$4/ IF('Fire Elemental'!$X$4&lt; 10.8, Table1[[#This Row],[STR]], Table1[[#This Row],[STR]] / ('Fire Elemental'!$X$4 / 10.8)), 1)</f>
        <v>28</v>
      </c>
      <c r="AZ29" s="12">
        <f>CEILING(Wyvern!$Z$4/ IF(Wyvern!$X$4&lt; 10.8, Table1[[#This Row],[STR]], Table1[[#This Row],[STR]] / (Wyvern!$X$4 / 10.8)), 1)</f>
        <v>33</v>
      </c>
      <c r="BA29" s="12">
        <f>CEILING('Evolved Wyvern'!$Z$4/ IF('Evolved Wyvern'!$X$4&lt; 10.8, Table1[[#This Row],[STR]], Table1[[#This Row],[STR]] / ('Evolved Wyvern'!$X$4 / 10.8)), 1)</f>
        <v>43</v>
      </c>
      <c r="BB29" s="12">
        <f>CEILING(Dragon!$Z$4/ IF(Dragon!$X$4&lt; 10.8, Table1[[#This Row],[STR]], Table1[[#This Row],[STR]] / (Dragon!$X$4 / 10.8)), 1)</f>
        <v>71</v>
      </c>
    </row>
    <row r="30" spans="1:54" x14ac:dyDescent="0.3">
      <c r="A30" s="1">
        <v>28</v>
      </c>
      <c r="B30" s="1">
        <f>$B$3 + ((Table1[[#This Row],[Level]] / 10) + $B$3 / 8) * Table1[[#This Row],[Level]] + Equipment!$AK$26</f>
        <v>173.39999999999998</v>
      </c>
      <c r="C30" s="1">
        <f xml:space="preserve"> 2*Table1[[#This Row],[INT]]</f>
        <v>126</v>
      </c>
      <c r="D30" s="1">
        <f>$D$3 + ($D$3 / 4) * Table1[[#This Row],[Level]]+ Equipment!$AL$26</f>
        <v>66</v>
      </c>
      <c r="E30" s="1">
        <f>$E$3 + ($E$3 / 4) * Table1[[#This Row],[Level]]+ Equipment!$AM$26</f>
        <v>55</v>
      </c>
      <c r="F30" s="1">
        <f>$F$3 + ($F$3 / 4) * Table1[[#This Row],[Level]]+ Equipment!$AN$26</f>
        <v>88</v>
      </c>
      <c r="G30" s="1">
        <f>$G$3 + ($G$3 / 4) * Table1[[#This Row],[Level]]+ Equipment!$AO$26</f>
        <v>63</v>
      </c>
      <c r="H30" s="1">
        <f>$H$3 + ($H$3 / 4) * Table1[[#This Row],[Level]]+ Equipment!$AP$26</f>
        <v>77</v>
      </c>
      <c r="I30" s="34">
        <f xml:space="preserve"> (4 * (Table1[[#This Row],[Level]] ^ 3))/7 + $I$3</f>
        <v>12644</v>
      </c>
      <c r="K30" s="8">
        <f>CEILING('Blue Slime'!$B$5/ IF('Blue Slime'!$D$5&lt; 10.8, Table1[[#This Row],[STR]], Table1[[#This Row],[STR]] / ('Blue Slime'!$D$5 / 10.8)), 1)</f>
        <v>1</v>
      </c>
      <c r="L30" s="8">
        <f>CEILING('Green Slime'!$B$5/ IF('Green Slime'!$D$5&lt; 10.8, Table1[[#This Row],[STR]], Table1[[#This Row],[STR]] / ('Green Slime'!$D$5 / 10.8)), 1)</f>
        <v>1</v>
      </c>
      <c r="M30" s="8">
        <f>CEILING(Wolf!$B$6/ IF(Wolf!$D$6&lt; 10.8, Table1[[#This Row],[STR]], Table1[[#This Row],[STR]] / (Wolf!$D$6 / 10.8)), 1)</f>
        <v>1</v>
      </c>
      <c r="N30" s="8">
        <f>CEILING('Horned Wolf'!$B$5/ IF('Horned Wolf'!$D$5&lt; 10.8, Table1[[#This Row],[STR]], Table1[[#This Row],[STR]] / ('Horned Wolf'!$D$5 / 10.8)), 1)</f>
        <v>3</v>
      </c>
      <c r="O30" s="8">
        <f>CEILING(Spider!$B$7/ IF(Spider!$D$7&lt; 10.8, Table1[[#This Row],[STR]], Table1[[#This Row],[STR]] / (Spider!$D$7 / 10.8)), 1)</f>
        <v>3</v>
      </c>
      <c r="P30" s="8">
        <f>CEILING('Evolved Spider'!$B$8/ IF('Evolved Spider'!$D$8&lt; 10.8, Table1[[#This Row],[STR]], Table1[[#This Row],[STR]] / ('Evolved Spider'!$D$8 / 10.8)), 1)</f>
        <v>5</v>
      </c>
      <c r="Q30" s="8">
        <f>CEILING(Arachne!$B$4/ IF(Arachne!$D$4&lt; 10.8, Table1[[#This Row],[STR]], Table1[[#This Row],[STR]] / (Arachne!$D$4 / 10.8)), 1)</f>
        <v>6</v>
      </c>
      <c r="R30" s="15">
        <f>CEILING('Earth Elemental'!$B$6/ IF('Earth Elemental'!$D$6&lt; 10.8, Table1[[#This Row],[STR]], Table1[[#This Row],[STR]] / ('Earth Elemental'!$D$6 / 10.8)), 1)</f>
        <v>6</v>
      </c>
      <c r="S30" s="15">
        <f>CEILING('Wind Elemental'!$B$6/ IF('Wind Elemental'!$D$6&lt; 10.8, Table1[[#This Row],[STR]], Table1[[#This Row],[STR]] / ('Wind Elemental'!$D$6 / 10.8)), 1)</f>
        <v>6</v>
      </c>
      <c r="T30" s="15">
        <f>CEILING('Water Elemental'!$B$6/ IF('Water Elemental'!$D$6&lt; 10.8, Table1[[#This Row],[STR]], Table1[[#This Row],[STR]] / ('Water Elemental'!$D$6 / 10.8)), 1)</f>
        <v>8</v>
      </c>
      <c r="U30" s="15">
        <f>CEILING('Fire Elemental'!$B$4/ IF('Fire Elemental'!$D$4&lt; 10.8, Table1[[#This Row],[STR]], Table1[[#This Row],[STR]] / ('Fire Elemental'!$D$4 / 10.8)), 1)</f>
        <v>10</v>
      </c>
      <c r="V30" s="12">
        <f>CEILING(Wyvern!$B$4/ IF(Wyvern!$D$4&lt; 10.8, Table1[[#This Row],[STR]], Table1[[#This Row],[STR]] / (Wyvern!$D$4 / 10.8)), 1)</f>
        <v>14</v>
      </c>
      <c r="W30" s="12">
        <f>CEILING('Evolved Wyvern'!$B$4/ IF('Evolved Wyvern'!$D$4&lt; 10.8, Table1[[#This Row],[STR]], Table1[[#This Row],[STR]] / ('Evolved Wyvern'!$D$4 / 10.8)), 1)</f>
        <v>19</v>
      </c>
      <c r="X30" s="12">
        <f>CEILING(Dragon!$B$4/ IF(Dragon!$D$4&lt; 10.8, Table1[[#This Row],[STR]], Table1[[#This Row],[STR]] / (Dragon!$D$4 / 10.8)), 1)</f>
        <v>31</v>
      </c>
      <c r="Z30" s="8">
        <f>CEILING('Blue Slime'!$M$5/ IF('Blue Slime'!$O$5&lt; 10.8, Table1[[#This Row],[STR]], Table1[[#This Row],[STR]] / ('Blue Slime'!$O$5 / 10.8)), 1)</f>
        <v>1</v>
      </c>
      <c r="AA30" s="8">
        <f>CEILING('Green Slime'!$M$5/ IF('Green Slime'!$O$5&lt; 10.8, Table1[[#This Row],[STR]], Table1[[#This Row],[STR]] / ('Green Slime'!$O$5 / 10.8)), 1)</f>
        <v>1</v>
      </c>
      <c r="AB30" s="8">
        <f>CEILING(Wolf!$M$6/ IF(Wolf!$O$6&lt; 10.8, Table1[[#This Row],[STR]], Table1[[#This Row],[STR]] / (Wolf!$O$6 / 10.8)), 1)</f>
        <v>2</v>
      </c>
      <c r="AC30" s="8">
        <f>CEILING('Horned Wolf'!$M$5/ IF('Horned Wolf'!$O$5&lt; 10.8, Table1[[#This Row],[STR]], Table1[[#This Row],[STR]] / ('Horned Wolf'!$O$5 / 10.8)), 1)</f>
        <v>5</v>
      </c>
      <c r="AD30" s="8">
        <f>CEILING(Spider!$M$7/ IF(Spider!$O$7&lt; 10.8, Table1[[#This Row],[STR]], Table1[[#This Row],[STR]] / (Spider!$O$7 / 10.8)), 1)</f>
        <v>5</v>
      </c>
      <c r="AE30" s="8">
        <f>CEILING('Evolved Spider'!$M$8/ IF('Evolved Spider'!$O$8&lt; 10.8, Table1[[#This Row],[STR]], Table1[[#This Row],[STR]] / ('Evolved Spider'!$O$8 / 10.8)), 1)</f>
        <v>9</v>
      </c>
      <c r="AF30" s="8">
        <f>CEILING(Arachne!$M$4/ IF(Arachne!$O$4&lt; 10.8, Table1[[#This Row],[STR]], Table1[[#This Row],[STR]] / (Arachne!$O$4 / 10.8)), 1)</f>
        <v>11</v>
      </c>
      <c r="AG30" s="15">
        <f>CEILING('Earth Elemental'!$M$6/ IF('Earth Elemental'!$O$6&lt; 10.8, Table1[[#This Row],[STR]], Table1[[#This Row],[STR]] / ('Earth Elemental'!$O$6 / 10.8)), 1)</f>
        <v>10</v>
      </c>
      <c r="AH30" s="15">
        <f>CEILING('Wind Elemental'!$M$6/ IF('Wind Elemental'!$O$6&lt; 10.8, Table1[[#This Row],[STR]], Table1[[#This Row],[STR]] / ('Wind Elemental'!$O$6 / 10.8)), 1)</f>
        <v>9</v>
      </c>
      <c r="AI30" s="15">
        <f>CEILING('Water Elemental'!$M$6/ IF('Water Elemental'!$O$6&lt; 10.8, Table1[[#This Row],[STR]], Table1[[#This Row],[STR]] / ('Water Elemental'!$O$6 / 10.8)), 1)</f>
        <v>12</v>
      </c>
      <c r="AJ30" s="15">
        <f>CEILING('Fire Elemental'!$M$4/ IF('Fire Elemental'!$O$4&lt; 10.8, Table1[[#This Row],[STR]], Table1[[#This Row],[STR]] / ('Fire Elemental'!$O$4 / 10.8)), 1)</f>
        <v>18</v>
      </c>
      <c r="AK30" s="12">
        <f>CEILING(Wyvern!$M$4/ IF(Wyvern!$O$4&lt; 10.8, Table1[[#This Row],[STR]], Table1[[#This Row],[STR]] / (Wyvern!$O$4 / 10.8)), 1)</f>
        <v>22</v>
      </c>
      <c r="AL30" s="12">
        <f>CEILING('Evolved Wyvern'!$M$4/ IF('Evolved Wyvern'!$O$4&lt; 10.8, Table1[[#This Row],[STR]], Table1[[#This Row],[STR]] / ('Evolved Wyvern'!$O$4 / 10.8)), 1)</f>
        <v>30</v>
      </c>
      <c r="AM30" s="12">
        <f>CEILING(Dragon!$M$4/ IF(Dragon!$O$4&lt; 10.8, Table1[[#This Row],[STR]], Table1[[#This Row],[STR]] / (Dragon!$O$4 / 10.8)), 1)</f>
        <v>49</v>
      </c>
      <c r="AO30" s="8">
        <f>CEILING('Blue Slime'!$Z$5/ IF('Blue Slime'!$X$5&lt; 10.8, Table1[[#This Row],[STR]], Table1[[#This Row],[STR]] / ('Blue Slime'!$X$5 / 10.8)), 1)</f>
        <v>1</v>
      </c>
      <c r="AP30" s="8">
        <f>CEILING('Green Slime'!$Z$5/ IF('Green Slime'!$X$5&lt; 10.8, Table1[[#This Row],[STR]], Table1[[#This Row],[STR]] / ('Green Slime'!$X$5 / 10.8)), 1)</f>
        <v>2</v>
      </c>
      <c r="AQ30" s="8">
        <f>CEILING(Wolf!$Z$6/ IF(Wolf!$X$6&lt; 10.8, Table1[[#This Row],[STR]], Table1[[#This Row],[STR]] / (Wolf!$X$6 / 10.8)), 1)</f>
        <v>3</v>
      </c>
      <c r="AR30" s="8">
        <f>CEILING('Horned Wolf'!$Z$5/ IF('Horned Wolf'!$X$5&lt; 10.8, Table1[[#This Row],[STR]], Table1[[#This Row],[STR]] / ('Horned Wolf'!$X$5 / 10.8)), 1)</f>
        <v>9</v>
      </c>
      <c r="AS30" s="8">
        <f>CEILING(Spider!$Z$7/ IF(Spider!$X$7&lt; 10.8, Table1[[#This Row],[STR]], Table1[[#This Row],[STR]] / (Spider!$X$7 / 10.8)), 1)</f>
        <v>8</v>
      </c>
      <c r="AT30" s="8">
        <f>CEILING('Evolved Spider'!$Z$8/ IF('Evolved Spider'!$X$8&lt; 10.8, Table1[[#This Row],[STR]], Table1[[#This Row],[STR]] / ('Evolved Spider'!$X$8 / 10.8)), 1)</f>
        <v>14</v>
      </c>
      <c r="AU30" s="8">
        <f>CEILING(Arachne!$Z$4/ IF(Arachne!$X$4&lt; 10.8, Table1[[#This Row],[STR]], Table1[[#This Row],[STR]] / (Arachne!$X$4 / 10.8)), 1)</f>
        <v>19</v>
      </c>
      <c r="AV30" s="15">
        <f>CEILING('Earth Elemental'!$Z$6/ IF('Earth Elemental'!$X$6&lt; 10.8, Table1[[#This Row],[STR]], Table1[[#This Row],[STR]] / ('Earth Elemental'!$X$6 / 10.8)), 1)</f>
        <v>16</v>
      </c>
      <c r="AW30" s="15">
        <f>CEILING('Wind Elemental'!$Z$6/ IF('Wind Elemental'!$X$6&lt; 10.8, Table1[[#This Row],[STR]], Table1[[#This Row],[STR]] / ('Wind Elemental'!$X$6 / 10.8)), 1)</f>
        <v>12</v>
      </c>
      <c r="AX30" s="15">
        <f>CEILING('Water Elemental'!$Z$6/ IF('Water Elemental'!$X$6&lt; 10.8, Table1[[#This Row],[STR]], Table1[[#This Row],[STR]] / ('Water Elemental'!$X$6 / 10.8)), 1)</f>
        <v>17</v>
      </c>
      <c r="AY30" s="15">
        <f>CEILING('Fire Elemental'!$Z$4/ IF('Fire Elemental'!$X$4&lt; 10.8, Table1[[#This Row],[STR]], Table1[[#This Row],[STR]] / ('Fire Elemental'!$X$4 / 10.8)), 1)</f>
        <v>27</v>
      </c>
      <c r="AZ30" s="12">
        <f>CEILING(Wyvern!$Z$4/ IF(Wyvern!$X$4&lt; 10.8, Table1[[#This Row],[STR]], Table1[[#This Row],[STR]] / (Wyvern!$X$4 / 10.8)), 1)</f>
        <v>33</v>
      </c>
      <c r="BA30" s="12">
        <f>CEILING('Evolved Wyvern'!$Z$4/ IF('Evolved Wyvern'!$X$4&lt; 10.8, Table1[[#This Row],[STR]], Table1[[#This Row],[STR]] / ('Evolved Wyvern'!$X$4 / 10.8)), 1)</f>
        <v>42</v>
      </c>
      <c r="BB30" s="12">
        <f>CEILING(Dragon!$Z$4/ IF(Dragon!$X$4&lt; 10.8, Table1[[#This Row],[STR]], Table1[[#This Row],[STR]] / (Dragon!$X$4 / 10.8)), 1)</f>
        <v>70</v>
      </c>
    </row>
    <row r="31" spans="1:54" x14ac:dyDescent="0.3">
      <c r="A31" s="1">
        <v>29</v>
      </c>
      <c r="B31" s="1">
        <f>$B$3 + ((Table1[[#This Row],[Level]] / 10) + $B$3 / 8) * Table1[[#This Row],[Level]] + Equipment!$AK$26</f>
        <v>180.60000000000002</v>
      </c>
      <c r="C31" s="1">
        <f xml:space="preserve"> 2*Table1[[#This Row],[INT]]</f>
        <v>129</v>
      </c>
      <c r="D31" s="1">
        <f>$D$3 + ($D$3 / 4) * Table1[[#This Row],[Level]]+ Equipment!$AL$26</f>
        <v>67.5</v>
      </c>
      <c r="E31" s="1">
        <f>$E$3 + ($E$3 / 4) * Table1[[#This Row],[Level]]+ Equipment!$AM$26</f>
        <v>56.25</v>
      </c>
      <c r="F31" s="1">
        <f>$F$3 + ($F$3 / 4) * Table1[[#This Row],[Level]]+ Equipment!$AN$26</f>
        <v>90</v>
      </c>
      <c r="G31" s="1">
        <f>$G$3 + ($G$3 / 4) * Table1[[#This Row],[Level]]+ Equipment!$AO$26</f>
        <v>64.5</v>
      </c>
      <c r="H31" s="1">
        <f>$H$3 + ($H$3 / 4) * Table1[[#This Row],[Level]]+ Equipment!$AP$26</f>
        <v>78.75</v>
      </c>
      <c r="I31" s="34">
        <f xml:space="preserve"> (4 * (Table1[[#This Row],[Level]] ^ 3))/7 + $I$3</f>
        <v>14036.571428571429</v>
      </c>
      <c r="K31" s="8">
        <f>CEILING('Blue Slime'!$B$5/ IF('Blue Slime'!$D$5&lt; 10.8, Table1[[#This Row],[STR]], Table1[[#This Row],[STR]] / ('Blue Slime'!$D$5 / 10.8)), 1)</f>
        <v>1</v>
      </c>
      <c r="L31" s="8">
        <f>CEILING('Green Slime'!$B$5/ IF('Green Slime'!$D$5&lt; 10.8, Table1[[#This Row],[STR]], Table1[[#This Row],[STR]] / ('Green Slime'!$D$5 / 10.8)), 1)</f>
        <v>1</v>
      </c>
      <c r="M31" s="8">
        <f>CEILING(Wolf!$B$6/ IF(Wolf!$D$6&lt; 10.8, Table1[[#This Row],[STR]], Table1[[#This Row],[STR]] / (Wolf!$D$6 / 10.8)), 1)</f>
        <v>1</v>
      </c>
      <c r="N31" s="8">
        <f>CEILING('Horned Wolf'!$B$5/ IF('Horned Wolf'!$D$5&lt; 10.8, Table1[[#This Row],[STR]], Table1[[#This Row],[STR]] / ('Horned Wolf'!$D$5 / 10.8)), 1)</f>
        <v>3</v>
      </c>
      <c r="O31" s="8">
        <f>CEILING(Spider!$B$7/ IF(Spider!$D$7&lt; 10.8, Table1[[#This Row],[STR]], Table1[[#This Row],[STR]] / (Spider!$D$7 / 10.8)), 1)</f>
        <v>3</v>
      </c>
      <c r="P31" s="8">
        <f>CEILING('Evolved Spider'!$B$8/ IF('Evolved Spider'!$D$8&lt; 10.8, Table1[[#This Row],[STR]], Table1[[#This Row],[STR]] / ('Evolved Spider'!$D$8 / 10.8)), 1)</f>
        <v>5</v>
      </c>
      <c r="Q31" s="8">
        <f>CEILING(Arachne!$B$4/ IF(Arachne!$D$4&lt; 10.8, Table1[[#This Row],[STR]], Table1[[#This Row],[STR]] / (Arachne!$D$4 / 10.8)), 1)</f>
        <v>6</v>
      </c>
      <c r="R31" s="15">
        <f>CEILING('Earth Elemental'!$B$6/ IF('Earth Elemental'!$D$6&lt; 10.8, Table1[[#This Row],[STR]], Table1[[#This Row],[STR]] / ('Earth Elemental'!$D$6 / 10.8)), 1)</f>
        <v>6</v>
      </c>
      <c r="S31" s="15">
        <f>CEILING('Wind Elemental'!$B$6/ IF('Wind Elemental'!$D$6&lt; 10.8, Table1[[#This Row],[STR]], Table1[[#This Row],[STR]] / ('Wind Elemental'!$D$6 / 10.8)), 1)</f>
        <v>5</v>
      </c>
      <c r="T31" s="15">
        <f>CEILING('Water Elemental'!$B$6/ IF('Water Elemental'!$D$6&lt; 10.8, Table1[[#This Row],[STR]], Table1[[#This Row],[STR]] / ('Water Elemental'!$D$6 / 10.8)), 1)</f>
        <v>8</v>
      </c>
      <c r="U31" s="15">
        <f>CEILING('Fire Elemental'!$B$4/ IF('Fire Elemental'!$D$4&lt; 10.8, Table1[[#This Row],[STR]], Table1[[#This Row],[STR]] / ('Fire Elemental'!$D$4 / 10.8)), 1)</f>
        <v>10</v>
      </c>
      <c r="V31" s="12">
        <f>CEILING(Wyvern!$B$4/ IF(Wyvern!$D$4&lt; 10.8, Table1[[#This Row],[STR]], Table1[[#This Row],[STR]] / (Wyvern!$D$4 / 10.8)), 1)</f>
        <v>14</v>
      </c>
      <c r="W31" s="12">
        <f>CEILING('Evolved Wyvern'!$B$4/ IF('Evolved Wyvern'!$D$4&lt; 10.8, Table1[[#This Row],[STR]], Table1[[#This Row],[STR]] / ('Evolved Wyvern'!$D$4 / 10.8)), 1)</f>
        <v>19</v>
      </c>
      <c r="X31" s="12">
        <f>CEILING(Dragon!$B$4/ IF(Dragon!$D$4&lt; 10.8, Table1[[#This Row],[STR]], Table1[[#This Row],[STR]] / (Dragon!$D$4 / 10.8)), 1)</f>
        <v>30</v>
      </c>
      <c r="Z31" s="8">
        <f>CEILING('Blue Slime'!$M$5/ IF('Blue Slime'!$O$5&lt; 10.8, Table1[[#This Row],[STR]], Table1[[#This Row],[STR]] / ('Blue Slime'!$O$5 / 10.8)), 1)</f>
        <v>1</v>
      </c>
      <c r="AA31" s="8">
        <f>CEILING('Green Slime'!$M$5/ IF('Green Slime'!$O$5&lt; 10.8, Table1[[#This Row],[STR]], Table1[[#This Row],[STR]] / ('Green Slime'!$O$5 / 10.8)), 1)</f>
        <v>1</v>
      </c>
      <c r="AB31" s="8">
        <f>CEILING(Wolf!$M$6/ IF(Wolf!$O$6&lt; 10.8, Table1[[#This Row],[STR]], Table1[[#This Row],[STR]] / (Wolf!$O$6 / 10.8)), 1)</f>
        <v>2</v>
      </c>
      <c r="AC31" s="8">
        <f>CEILING('Horned Wolf'!$M$5/ IF('Horned Wolf'!$O$5&lt; 10.8, Table1[[#This Row],[STR]], Table1[[#This Row],[STR]] / ('Horned Wolf'!$O$5 / 10.8)), 1)</f>
        <v>5</v>
      </c>
      <c r="AD31" s="8">
        <f>CEILING(Spider!$M$7/ IF(Spider!$O$7&lt; 10.8, Table1[[#This Row],[STR]], Table1[[#This Row],[STR]] / (Spider!$O$7 / 10.8)), 1)</f>
        <v>5</v>
      </c>
      <c r="AE31" s="8">
        <f>CEILING('Evolved Spider'!$M$8/ IF('Evolved Spider'!$O$8&lt; 10.8, Table1[[#This Row],[STR]], Table1[[#This Row],[STR]] / ('Evolved Spider'!$O$8 / 10.8)), 1)</f>
        <v>8</v>
      </c>
      <c r="AF31" s="8">
        <f>CEILING(Arachne!$M$4/ IF(Arachne!$O$4&lt; 10.8, Table1[[#This Row],[STR]], Table1[[#This Row],[STR]] / (Arachne!$O$4 / 10.8)), 1)</f>
        <v>11</v>
      </c>
      <c r="AG31" s="15">
        <f>CEILING('Earth Elemental'!$M$6/ IF('Earth Elemental'!$O$6&lt; 10.8, Table1[[#This Row],[STR]], Table1[[#This Row],[STR]] / ('Earth Elemental'!$O$6 / 10.8)), 1)</f>
        <v>10</v>
      </c>
      <c r="AH31" s="15">
        <f>CEILING('Wind Elemental'!$M$6/ IF('Wind Elemental'!$O$6&lt; 10.8, Table1[[#This Row],[STR]], Table1[[#This Row],[STR]] / ('Wind Elemental'!$O$6 / 10.8)), 1)</f>
        <v>9</v>
      </c>
      <c r="AI31" s="15">
        <f>CEILING('Water Elemental'!$M$6/ IF('Water Elemental'!$O$6&lt; 10.8, Table1[[#This Row],[STR]], Table1[[#This Row],[STR]] / ('Water Elemental'!$O$6 / 10.8)), 1)</f>
        <v>12</v>
      </c>
      <c r="AJ31" s="15">
        <f>CEILING('Fire Elemental'!$M$4/ IF('Fire Elemental'!$O$4&lt; 10.8, Table1[[#This Row],[STR]], Table1[[#This Row],[STR]] / ('Fire Elemental'!$O$4 / 10.8)), 1)</f>
        <v>17</v>
      </c>
      <c r="AK31" s="12">
        <f>CEILING(Wyvern!$M$4/ IF(Wyvern!$O$4&lt; 10.8, Table1[[#This Row],[STR]], Table1[[#This Row],[STR]] / (Wyvern!$O$4 / 10.8)), 1)</f>
        <v>22</v>
      </c>
      <c r="AL31" s="12">
        <f>CEILING('Evolved Wyvern'!$M$4/ IF('Evolved Wyvern'!$O$4&lt; 10.8, Table1[[#This Row],[STR]], Table1[[#This Row],[STR]] / ('Evolved Wyvern'!$O$4 / 10.8)), 1)</f>
        <v>29</v>
      </c>
      <c r="AM31" s="12">
        <f>CEILING(Dragon!$M$4/ IF(Dragon!$O$4&lt; 10.8, Table1[[#This Row],[STR]], Table1[[#This Row],[STR]] / (Dragon!$O$4 / 10.8)), 1)</f>
        <v>48</v>
      </c>
      <c r="AO31" s="8">
        <f>CEILING('Blue Slime'!$Z$5/ IF('Blue Slime'!$X$5&lt; 10.8, Table1[[#This Row],[STR]], Table1[[#This Row],[STR]] / ('Blue Slime'!$X$5 / 10.8)), 1)</f>
        <v>1</v>
      </c>
      <c r="AP31" s="8">
        <f>CEILING('Green Slime'!$Z$5/ IF('Green Slime'!$X$5&lt; 10.8, Table1[[#This Row],[STR]], Table1[[#This Row],[STR]] / ('Green Slime'!$X$5 / 10.8)), 1)</f>
        <v>2</v>
      </c>
      <c r="AQ31" s="8">
        <f>CEILING(Wolf!$Z$6/ IF(Wolf!$X$6&lt; 10.8, Table1[[#This Row],[STR]], Table1[[#This Row],[STR]] / (Wolf!$X$6 / 10.8)), 1)</f>
        <v>3</v>
      </c>
      <c r="AR31" s="8">
        <f>CEILING('Horned Wolf'!$Z$5/ IF('Horned Wolf'!$X$5&lt; 10.8, Table1[[#This Row],[STR]], Table1[[#This Row],[STR]] / ('Horned Wolf'!$X$5 / 10.8)), 1)</f>
        <v>9</v>
      </c>
      <c r="AS31" s="8">
        <f>CEILING(Spider!$Z$7/ IF(Spider!$X$7&lt; 10.8, Table1[[#This Row],[STR]], Table1[[#This Row],[STR]] / (Spider!$X$7 / 10.8)), 1)</f>
        <v>8</v>
      </c>
      <c r="AT31" s="8">
        <f>CEILING('Evolved Spider'!$Z$8/ IF('Evolved Spider'!$X$8&lt; 10.8, Table1[[#This Row],[STR]], Table1[[#This Row],[STR]] / ('Evolved Spider'!$X$8 / 10.8)), 1)</f>
        <v>14</v>
      </c>
      <c r="AU31" s="8">
        <f>CEILING(Arachne!$Z$4/ IF(Arachne!$X$4&lt; 10.8, Table1[[#This Row],[STR]], Table1[[#This Row],[STR]] / (Arachne!$X$4 / 10.8)), 1)</f>
        <v>18</v>
      </c>
      <c r="AV31" s="15">
        <f>CEILING('Earth Elemental'!$Z$6/ IF('Earth Elemental'!$X$6&lt; 10.8, Table1[[#This Row],[STR]], Table1[[#This Row],[STR]] / ('Earth Elemental'!$X$6 / 10.8)), 1)</f>
        <v>15</v>
      </c>
      <c r="AW31" s="15">
        <f>CEILING('Wind Elemental'!$Z$6/ IF('Wind Elemental'!$X$6&lt; 10.8, Table1[[#This Row],[STR]], Table1[[#This Row],[STR]] / ('Wind Elemental'!$X$6 / 10.8)), 1)</f>
        <v>12</v>
      </c>
      <c r="AX31" s="15">
        <f>CEILING('Water Elemental'!$Z$6/ IF('Water Elemental'!$X$6&lt; 10.8, Table1[[#This Row],[STR]], Table1[[#This Row],[STR]] / ('Water Elemental'!$X$6 / 10.8)), 1)</f>
        <v>16</v>
      </c>
      <c r="AY31" s="15">
        <f>CEILING('Fire Elemental'!$Z$4/ IF('Fire Elemental'!$X$4&lt; 10.8, Table1[[#This Row],[STR]], Table1[[#This Row],[STR]] / ('Fire Elemental'!$X$4 / 10.8)), 1)</f>
        <v>26</v>
      </c>
      <c r="AZ31" s="12">
        <f>CEILING(Wyvern!$Z$4/ IF(Wyvern!$X$4&lt; 10.8, Table1[[#This Row],[STR]], Table1[[#This Row],[STR]] / (Wyvern!$X$4 / 10.8)), 1)</f>
        <v>32</v>
      </c>
      <c r="BA31" s="12">
        <f>CEILING('Evolved Wyvern'!$Z$4/ IF('Evolved Wyvern'!$X$4&lt; 10.8, Table1[[#This Row],[STR]], Table1[[#This Row],[STR]] / ('Evolved Wyvern'!$X$4 / 10.8)), 1)</f>
        <v>41</v>
      </c>
      <c r="BB31" s="12">
        <f>CEILING(Dragon!$Z$4/ IF(Dragon!$X$4&lt; 10.8, Table1[[#This Row],[STR]], Table1[[#This Row],[STR]] / (Dragon!$X$4 / 10.8)), 1)</f>
        <v>68</v>
      </c>
    </row>
    <row r="32" spans="1:54" x14ac:dyDescent="0.3">
      <c r="A32" s="1">
        <v>30</v>
      </c>
      <c r="B32" s="1">
        <f>$B$3 + ((Table1[[#This Row],[Level]] / 10) + $B$3 / 8) * Table1[[#This Row],[Level]] + Equipment!$AK$26</f>
        <v>188</v>
      </c>
      <c r="C32" s="1">
        <f xml:space="preserve"> 2*Table1[[#This Row],[INT]]</f>
        <v>132</v>
      </c>
      <c r="D32" s="1">
        <f>$D$3 + ($D$3 / 4) * Table1[[#This Row],[Level]]+ Equipment!$AL$26</f>
        <v>69</v>
      </c>
      <c r="E32" s="1">
        <f>$E$3 + ($E$3 / 4) * Table1[[#This Row],[Level]]+ Equipment!$AM$26</f>
        <v>57.5</v>
      </c>
      <c r="F32" s="1">
        <f>$F$3 + ($F$3 / 4) * Table1[[#This Row],[Level]]+ Equipment!$AN$26</f>
        <v>92</v>
      </c>
      <c r="G32" s="1">
        <f>$G$3 + ($G$3 / 4) * Table1[[#This Row],[Level]]+ Equipment!$AO$26</f>
        <v>66</v>
      </c>
      <c r="H32" s="1">
        <f>$H$3 + ($H$3 / 4) * Table1[[#This Row],[Level]]+ Equipment!$AP$26</f>
        <v>80.5</v>
      </c>
      <c r="I32" s="34">
        <f xml:space="preserve"> (4 * (Table1[[#This Row],[Level]] ^ 3))/7 + $I$3</f>
        <v>15528.571428571429</v>
      </c>
      <c r="K32" s="8">
        <f>CEILING('Blue Slime'!$B$5/ IF('Blue Slime'!$D$5&lt; 10.8, Table1[[#This Row],[STR]], Table1[[#This Row],[STR]] / ('Blue Slime'!$D$5 / 10.8)), 1)</f>
        <v>1</v>
      </c>
      <c r="L32" s="8">
        <f>CEILING('Green Slime'!$B$5/ IF('Green Slime'!$D$5&lt; 10.8, Table1[[#This Row],[STR]], Table1[[#This Row],[STR]] / ('Green Slime'!$D$5 / 10.8)), 1)</f>
        <v>1</v>
      </c>
      <c r="M32" s="8">
        <f>CEILING(Wolf!$B$6/ IF(Wolf!$D$6&lt; 10.8, Table1[[#This Row],[STR]], Table1[[#This Row],[STR]] / (Wolf!$D$6 / 10.8)), 1)</f>
        <v>1</v>
      </c>
      <c r="N32" s="8">
        <f>CEILING('Horned Wolf'!$B$5/ IF('Horned Wolf'!$D$5&lt; 10.8, Table1[[#This Row],[STR]], Table1[[#This Row],[STR]] / ('Horned Wolf'!$D$5 / 10.8)), 1)</f>
        <v>3</v>
      </c>
      <c r="O32" s="8">
        <f>CEILING(Spider!$B$7/ IF(Spider!$D$7&lt; 10.8, Table1[[#This Row],[STR]], Table1[[#This Row],[STR]] / (Spider!$D$7 / 10.8)), 1)</f>
        <v>3</v>
      </c>
      <c r="P32" s="8">
        <f>CEILING('Evolved Spider'!$B$8/ IF('Evolved Spider'!$D$8&lt; 10.8, Table1[[#This Row],[STR]], Table1[[#This Row],[STR]] / ('Evolved Spider'!$D$8 / 10.8)), 1)</f>
        <v>5</v>
      </c>
      <c r="Q32" s="8">
        <f>CEILING(Arachne!$B$4/ IF(Arachne!$D$4&lt; 10.8, Table1[[#This Row],[STR]], Table1[[#This Row],[STR]] / (Arachne!$D$4 / 10.8)), 1)</f>
        <v>6</v>
      </c>
      <c r="R32" s="15">
        <f>CEILING('Earth Elemental'!$B$6/ IF('Earth Elemental'!$D$6&lt; 10.8, Table1[[#This Row],[STR]], Table1[[#This Row],[STR]] / ('Earth Elemental'!$D$6 / 10.8)), 1)</f>
        <v>6</v>
      </c>
      <c r="S32" s="15">
        <f>CEILING('Wind Elemental'!$B$6/ IF('Wind Elemental'!$D$6&lt; 10.8, Table1[[#This Row],[STR]], Table1[[#This Row],[STR]] / ('Wind Elemental'!$D$6 / 10.8)), 1)</f>
        <v>5</v>
      </c>
      <c r="T32" s="15">
        <f>CEILING('Water Elemental'!$B$6/ IF('Water Elemental'!$D$6&lt; 10.8, Table1[[#This Row],[STR]], Table1[[#This Row],[STR]] / ('Water Elemental'!$D$6 / 10.8)), 1)</f>
        <v>8</v>
      </c>
      <c r="U32" s="15">
        <f>CEILING('Fire Elemental'!$B$4/ IF('Fire Elemental'!$D$4&lt; 10.8, Table1[[#This Row],[STR]], Table1[[#This Row],[STR]] / ('Fire Elemental'!$D$4 / 10.8)), 1)</f>
        <v>10</v>
      </c>
      <c r="V32" s="12">
        <f>CEILING(Wyvern!$B$4/ IF(Wyvern!$D$4&lt; 10.8, Table1[[#This Row],[STR]], Table1[[#This Row],[STR]] / (Wyvern!$D$4 / 10.8)), 1)</f>
        <v>13</v>
      </c>
      <c r="W32" s="12">
        <f>CEILING('Evolved Wyvern'!$B$4/ IF('Evolved Wyvern'!$D$4&lt; 10.8, Table1[[#This Row],[STR]], Table1[[#This Row],[STR]] / ('Evolved Wyvern'!$D$4 / 10.8)), 1)</f>
        <v>18</v>
      </c>
      <c r="X32" s="12">
        <f>CEILING(Dragon!$B$4/ IF(Dragon!$D$4&lt; 10.8, Table1[[#This Row],[STR]], Table1[[#This Row],[STR]] / (Dragon!$D$4 / 10.8)), 1)</f>
        <v>30</v>
      </c>
      <c r="Z32" s="8">
        <f>CEILING('Blue Slime'!$M$5/ IF('Blue Slime'!$O$5&lt; 10.8, Table1[[#This Row],[STR]], Table1[[#This Row],[STR]] / ('Blue Slime'!$O$5 / 10.8)), 1)</f>
        <v>1</v>
      </c>
      <c r="AA32" s="8">
        <f>CEILING('Green Slime'!$M$5/ IF('Green Slime'!$O$5&lt; 10.8, Table1[[#This Row],[STR]], Table1[[#This Row],[STR]] / ('Green Slime'!$O$5 / 10.8)), 1)</f>
        <v>1</v>
      </c>
      <c r="AB32" s="8">
        <f>CEILING(Wolf!$M$6/ IF(Wolf!$O$6&lt; 10.8, Table1[[#This Row],[STR]], Table1[[#This Row],[STR]] / (Wolf!$O$6 / 10.8)), 1)</f>
        <v>2</v>
      </c>
      <c r="AC32" s="8">
        <f>CEILING('Horned Wolf'!$M$5/ IF('Horned Wolf'!$O$5&lt; 10.8, Table1[[#This Row],[STR]], Table1[[#This Row],[STR]] / ('Horned Wolf'!$O$5 / 10.8)), 1)</f>
        <v>5</v>
      </c>
      <c r="AD32" s="8">
        <f>CEILING(Spider!$M$7/ IF(Spider!$O$7&lt; 10.8, Table1[[#This Row],[STR]], Table1[[#This Row],[STR]] / (Spider!$O$7 / 10.8)), 1)</f>
        <v>5</v>
      </c>
      <c r="AE32" s="8">
        <f>CEILING('Evolved Spider'!$M$8/ IF('Evolved Spider'!$O$8&lt; 10.8, Table1[[#This Row],[STR]], Table1[[#This Row],[STR]] / ('Evolved Spider'!$O$8 / 10.8)), 1)</f>
        <v>8</v>
      </c>
      <c r="AF32" s="8">
        <f>CEILING(Arachne!$M$4/ IF(Arachne!$O$4&lt; 10.8, Table1[[#This Row],[STR]], Table1[[#This Row],[STR]] / (Arachne!$O$4 / 10.8)), 1)</f>
        <v>11</v>
      </c>
      <c r="AG32" s="15">
        <f>CEILING('Earth Elemental'!$M$6/ IF('Earth Elemental'!$O$6&lt; 10.8, Table1[[#This Row],[STR]], Table1[[#This Row],[STR]] / ('Earth Elemental'!$O$6 / 10.8)), 1)</f>
        <v>10</v>
      </c>
      <c r="AH32" s="15">
        <f>CEILING('Wind Elemental'!$M$6/ IF('Wind Elemental'!$O$6&lt; 10.8, Table1[[#This Row],[STR]], Table1[[#This Row],[STR]] / ('Wind Elemental'!$O$6 / 10.8)), 1)</f>
        <v>8</v>
      </c>
      <c r="AI32" s="15">
        <f>CEILING('Water Elemental'!$M$6/ IF('Water Elemental'!$O$6&lt; 10.8, Table1[[#This Row],[STR]], Table1[[#This Row],[STR]] / ('Water Elemental'!$O$6 / 10.8)), 1)</f>
        <v>12</v>
      </c>
      <c r="AJ32" s="15">
        <f>CEILING('Fire Elemental'!$M$4/ IF('Fire Elemental'!$O$4&lt; 10.8, Table1[[#This Row],[STR]], Table1[[#This Row],[STR]] / ('Fire Elemental'!$O$4 / 10.8)), 1)</f>
        <v>17</v>
      </c>
      <c r="AK32" s="12">
        <f>CEILING(Wyvern!$M$4/ IF(Wyvern!$O$4&lt; 10.8, Table1[[#This Row],[STR]], Table1[[#This Row],[STR]] / (Wyvern!$O$4 / 10.8)), 1)</f>
        <v>22</v>
      </c>
      <c r="AL32" s="12">
        <f>CEILING('Evolved Wyvern'!$M$4/ IF('Evolved Wyvern'!$O$4&lt; 10.8, Table1[[#This Row],[STR]], Table1[[#This Row],[STR]] / ('Evolved Wyvern'!$O$4 / 10.8)), 1)</f>
        <v>28</v>
      </c>
      <c r="AM32" s="12">
        <f>CEILING(Dragon!$M$4/ IF(Dragon!$O$4&lt; 10.8, Table1[[#This Row],[STR]], Table1[[#This Row],[STR]] / (Dragon!$O$4 / 10.8)), 1)</f>
        <v>47</v>
      </c>
      <c r="AO32" s="8">
        <f>CEILING('Blue Slime'!$Z$5/ IF('Blue Slime'!$X$5&lt; 10.8, Table1[[#This Row],[STR]], Table1[[#This Row],[STR]] / ('Blue Slime'!$X$5 / 10.8)), 1)</f>
        <v>1</v>
      </c>
      <c r="AP32" s="8">
        <f>CEILING('Green Slime'!$Z$5/ IF('Green Slime'!$X$5&lt; 10.8, Table1[[#This Row],[STR]], Table1[[#This Row],[STR]] / ('Green Slime'!$X$5 / 10.8)), 1)</f>
        <v>1</v>
      </c>
      <c r="AQ32" s="8">
        <f>CEILING(Wolf!$Z$6/ IF(Wolf!$X$6&lt; 10.8, Table1[[#This Row],[STR]], Table1[[#This Row],[STR]] / (Wolf!$X$6 / 10.8)), 1)</f>
        <v>3</v>
      </c>
      <c r="AR32" s="8">
        <f>CEILING('Horned Wolf'!$Z$5/ IF('Horned Wolf'!$X$5&lt; 10.8, Table1[[#This Row],[STR]], Table1[[#This Row],[STR]] / ('Horned Wolf'!$X$5 / 10.8)), 1)</f>
        <v>9</v>
      </c>
      <c r="AS32" s="8">
        <f>CEILING(Spider!$Z$7/ IF(Spider!$X$7&lt; 10.8, Table1[[#This Row],[STR]], Table1[[#This Row],[STR]] / (Spider!$X$7 / 10.8)), 1)</f>
        <v>8</v>
      </c>
      <c r="AT32" s="8">
        <f>CEILING('Evolved Spider'!$Z$8/ IF('Evolved Spider'!$X$8&lt; 10.8, Table1[[#This Row],[STR]], Table1[[#This Row],[STR]] / ('Evolved Spider'!$X$8 / 10.8)), 1)</f>
        <v>13</v>
      </c>
      <c r="AU32" s="8">
        <f>CEILING(Arachne!$Z$4/ IF(Arachne!$X$4&lt; 10.8, Table1[[#This Row],[STR]], Table1[[#This Row],[STR]] / (Arachne!$X$4 / 10.8)), 1)</f>
        <v>18</v>
      </c>
      <c r="AV32" s="15">
        <f>CEILING('Earth Elemental'!$Z$6/ IF('Earth Elemental'!$X$6&lt; 10.8, Table1[[#This Row],[STR]], Table1[[#This Row],[STR]] / ('Earth Elemental'!$X$6 / 10.8)), 1)</f>
        <v>15</v>
      </c>
      <c r="AW32" s="15">
        <f>CEILING('Wind Elemental'!$Z$6/ IF('Wind Elemental'!$X$6&lt; 10.8, Table1[[#This Row],[STR]], Table1[[#This Row],[STR]] / ('Wind Elemental'!$X$6 / 10.8)), 1)</f>
        <v>12</v>
      </c>
      <c r="AX32" s="15">
        <f>CEILING('Water Elemental'!$Z$6/ IF('Water Elemental'!$X$6&lt; 10.8, Table1[[#This Row],[STR]], Table1[[#This Row],[STR]] / ('Water Elemental'!$X$6 / 10.8)), 1)</f>
        <v>16</v>
      </c>
      <c r="AY32" s="15">
        <f>CEILING('Fire Elemental'!$Z$4/ IF('Fire Elemental'!$X$4&lt; 10.8, Table1[[#This Row],[STR]], Table1[[#This Row],[STR]] / ('Fire Elemental'!$X$4 / 10.8)), 1)</f>
        <v>26</v>
      </c>
      <c r="AZ32" s="12">
        <f>CEILING(Wyvern!$Z$4/ IF(Wyvern!$X$4&lt; 10.8, Table1[[#This Row],[STR]], Table1[[#This Row],[STR]] / (Wyvern!$X$4 / 10.8)), 1)</f>
        <v>31</v>
      </c>
      <c r="BA32" s="12">
        <f>CEILING('Evolved Wyvern'!$Z$4/ IF('Evolved Wyvern'!$X$4&lt; 10.8, Table1[[#This Row],[STR]], Table1[[#This Row],[STR]] / ('Evolved Wyvern'!$X$4 / 10.8)), 1)</f>
        <v>40</v>
      </c>
      <c r="BB32" s="12">
        <f>CEILING(Dragon!$Z$4/ IF(Dragon!$X$4&lt; 10.8, Table1[[#This Row],[STR]], Table1[[#This Row],[STR]] / (Dragon!$X$4 / 10.8)), 1)</f>
        <v>67</v>
      </c>
    </row>
    <row r="33" spans="1:54" x14ac:dyDescent="0.3">
      <c r="A33" s="1">
        <v>31</v>
      </c>
      <c r="B33" s="1">
        <f>$B$3 + ((Table1[[#This Row],[Level]] / 10) + $B$3 / 8) * Table1[[#This Row],[Level]] + Equipment!$AK$26</f>
        <v>195.6</v>
      </c>
      <c r="C33" s="1">
        <f xml:space="preserve"> 2*Table1[[#This Row],[INT]]</f>
        <v>135</v>
      </c>
      <c r="D33" s="1">
        <f>$D$3 + ($D$3 / 4) * Table1[[#This Row],[Level]]+ Equipment!$AL$26</f>
        <v>70.5</v>
      </c>
      <c r="E33" s="1">
        <f>$E$3 + ($E$3 / 4) * Table1[[#This Row],[Level]]+ Equipment!$AM$26</f>
        <v>58.75</v>
      </c>
      <c r="F33" s="1">
        <f>$F$3 + ($F$3 / 4) * Table1[[#This Row],[Level]]+ Equipment!$AN$26</f>
        <v>94</v>
      </c>
      <c r="G33" s="1">
        <f>$G$3 + ($G$3 / 4) * Table1[[#This Row],[Level]]+ Equipment!$AO$26</f>
        <v>67.5</v>
      </c>
      <c r="H33" s="1">
        <f>$H$3 + ($H$3 / 4) * Table1[[#This Row],[Level]]+ Equipment!$AP$26</f>
        <v>82.25</v>
      </c>
      <c r="I33" s="34">
        <f xml:space="preserve"> (4 * (Table1[[#This Row],[Level]] ^ 3))/7 + $I$3</f>
        <v>17123.428571428572</v>
      </c>
      <c r="K33" s="8">
        <f>CEILING('Blue Slime'!$B$5/ IF('Blue Slime'!$D$5&lt; 10.8, Table1[[#This Row],[STR]], Table1[[#This Row],[STR]] / ('Blue Slime'!$D$5 / 10.8)), 1)</f>
        <v>1</v>
      </c>
      <c r="L33" s="8">
        <f>CEILING('Green Slime'!$B$5/ IF('Green Slime'!$D$5&lt; 10.8, Table1[[#This Row],[STR]], Table1[[#This Row],[STR]] / ('Green Slime'!$D$5 / 10.8)), 1)</f>
        <v>1</v>
      </c>
      <c r="M33" s="8">
        <f>CEILING(Wolf!$B$6/ IF(Wolf!$D$6&lt; 10.8, Table1[[#This Row],[STR]], Table1[[#This Row],[STR]] / (Wolf!$D$6 / 10.8)), 1)</f>
        <v>1</v>
      </c>
      <c r="N33" s="8">
        <f>CEILING('Horned Wolf'!$B$5/ IF('Horned Wolf'!$D$5&lt; 10.8, Table1[[#This Row],[STR]], Table1[[#This Row],[STR]] / ('Horned Wolf'!$D$5 / 10.8)), 1)</f>
        <v>3</v>
      </c>
      <c r="O33" s="8">
        <f>CEILING(Spider!$B$7/ IF(Spider!$D$7&lt; 10.8, Table1[[#This Row],[STR]], Table1[[#This Row],[STR]] / (Spider!$D$7 / 10.8)), 1)</f>
        <v>2</v>
      </c>
      <c r="P33" s="8">
        <f>CEILING('Evolved Spider'!$B$8/ IF('Evolved Spider'!$D$8&lt; 10.8, Table1[[#This Row],[STR]], Table1[[#This Row],[STR]] / ('Evolved Spider'!$D$8 / 10.8)), 1)</f>
        <v>4</v>
      </c>
      <c r="Q33" s="8">
        <f>CEILING(Arachne!$B$4/ IF(Arachne!$D$4&lt; 10.8, Table1[[#This Row],[STR]], Table1[[#This Row],[STR]] / (Arachne!$D$4 / 10.8)), 1)</f>
        <v>6</v>
      </c>
      <c r="R33" s="12">
        <f>CEILING('Earth Elemental'!$B$6/ IF('Earth Elemental'!$D$6&lt; 10.8, Table1[[#This Row],[STR]], Table1[[#This Row],[STR]] / ('Earth Elemental'!$D$6 / 10.8)), 1)</f>
        <v>6</v>
      </c>
      <c r="S33" s="12">
        <f>CEILING('Wind Elemental'!$B$6/ IF('Wind Elemental'!$D$6&lt; 10.8, Table1[[#This Row],[STR]], Table1[[#This Row],[STR]] / ('Wind Elemental'!$D$6 / 10.8)), 1)</f>
        <v>5</v>
      </c>
      <c r="T33" s="12">
        <f>CEILING('Water Elemental'!$B$6/ IF('Water Elemental'!$D$6&lt; 10.8, Table1[[#This Row],[STR]], Table1[[#This Row],[STR]] / ('Water Elemental'!$D$6 / 10.8)), 1)</f>
        <v>8</v>
      </c>
      <c r="U33" s="12">
        <f>CEILING('Fire Elemental'!$B$4/ IF('Fire Elemental'!$D$4&lt; 10.8, Table1[[#This Row],[STR]], Table1[[#This Row],[STR]] / ('Fire Elemental'!$D$4 / 10.8)), 1)</f>
        <v>10</v>
      </c>
      <c r="V33" s="15">
        <f>CEILING(Wyvern!$B$4/ IF(Wyvern!$D$4&lt; 10.8, Table1[[#This Row],[STR]], Table1[[#This Row],[STR]] / (Wyvern!$D$4 / 10.8)), 1)</f>
        <v>13</v>
      </c>
      <c r="W33" s="15">
        <f>CEILING('Evolved Wyvern'!$B$4/ IF('Evolved Wyvern'!$D$4&lt; 10.8, Table1[[#This Row],[STR]], Table1[[#This Row],[STR]] / ('Evolved Wyvern'!$D$4 / 10.8)), 1)</f>
        <v>18</v>
      </c>
      <c r="X33" s="15">
        <f>CEILING(Dragon!$B$4/ IF(Dragon!$D$4&lt; 10.8, Table1[[#This Row],[STR]], Table1[[#This Row],[STR]] / (Dragon!$D$4 / 10.8)), 1)</f>
        <v>29</v>
      </c>
      <c r="Z33" s="8">
        <f>CEILING('Blue Slime'!$M$5/ IF('Blue Slime'!$O$5&lt; 10.8, Table1[[#This Row],[STR]], Table1[[#This Row],[STR]] / ('Blue Slime'!$O$5 / 10.8)), 1)</f>
        <v>1</v>
      </c>
      <c r="AA33" s="8">
        <f>CEILING('Green Slime'!$M$5/ IF('Green Slime'!$O$5&lt; 10.8, Table1[[#This Row],[STR]], Table1[[#This Row],[STR]] / ('Green Slime'!$O$5 / 10.8)), 1)</f>
        <v>1</v>
      </c>
      <c r="AB33" s="8">
        <f>CEILING(Wolf!$M$6/ IF(Wolf!$O$6&lt; 10.8, Table1[[#This Row],[STR]], Table1[[#This Row],[STR]] / (Wolf!$O$6 / 10.8)), 1)</f>
        <v>2</v>
      </c>
      <c r="AC33" s="8">
        <f>CEILING('Horned Wolf'!$M$5/ IF('Horned Wolf'!$O$5&lt; 10.8, Table1[[#This Row],[STR]], Table1[[#This Row],[STR]] / ('Horned Wolf'!$O$5 / 10.8)), 1)</f>
        <v>5</v>
      </c>
      <c r="AD33" s="8">
        <f>CEILING(Spider!$M$7/ IF(Spider!$O$7&lt; 10.8, Table1[[#This Row],[STR]], Table1[[#This Row],[STR]] / (Spider!$O$7 / 10.8)), 1)</f>
        <v>5</v>
      </c>
      <c r="AE33" s="8">
        <f>CEILING('Evolved Spider'!$M$8/ IF('Evolved Spider'!$O$8&lt; 10.8, Table1[[#This Row],[STR]], Table1[[#This Row],[STR]] / ('Evolved Spider'!$O$8 / 10.8)), 1)</f>
        <v>8</v>
      </c>
      <c r="AF33" s="8">
        <f>CEILING(Arachne!$M$4/ IF(Arachne!$O$4&lt; 10.8, Table1[[#This Row],[STR]], Table1[[#This Row],[STR]] / (Arachne!$O$4 / 10.8)), 1)</f>
        <v>11</v>
      </c>
      <c r="AG33" s="12">
        <f>CEILING('Earth Elemental'!$M$6/ IF('Earth Elemental'!$O$6&lt; 10.8, Table1[[#This Row],[STR]], Table1[[#This Row],[STR]] / ('Earth Elemental'!$O$6 / 10.8)), 1)</f>
        <v>10</v>
      </c>
      <c r="AH33" s="12">
        <f>CEILING('Wind Elemental'!$M$6/ IF('Wind Elemental'!$O$6&lt; 10.8, Table1[[#This Row],[STR]], Table1[[#This Row],[STR]] / ('Wind Elemental'!$O$6 / 10.8)), 1)</f>
        <v>8</v>
      </c>
      <c r="AI33" s="12">
        <f>CEILING('Water Elemental'!$M$6/ IF('Water Elemental'!$O$6&lt; 10.8, Table1[[#This Row],[STR]], Table1[[#This Row],[STR]] / ('Water Elemental'!$O$6 / 10.8)), 1)</f>
        <v>12</v>
      </c>
      <c r="AJ33" s="12">
        <f>CEILING('Fire Elemental'!$M$4/ IF('Fire Elemental'!$O$4&lt; 10.8, Table1[[#This Row],[STR]], Table1[[#This Row],[STR]] / ('Fire Elemental'!$O$4 / 10.8)), 1)</f>
        <v>17</v>
      </c>
      <c r="AK33" s="15">
        <f>CEILING(Wyvern!$M$4/ IF(Wyvern!$O$4&lt; 10.8, Table1[[#This Row],[STR]], Table1[[#This Row],[STR]] / (Wyvern!$O$4 / 10.8)), 1)</f>
        <v>21</v>
      </c>
      <c r="AL33" s="15">
        <f>CEILING('Evolved Wyvern'!$M$4/ IF('Evolved Wyvern'!$O$4&lt; 10.8, Table1[[#This Row],[STR]], Table1[[#This Row],[STR]] / ('Evolved Wyvern'!$O$4 / 10.8)), 1)</f>
        <v>28</v>
      </c>
      <c r="AM33" s="15">
        <f>CEILING(Dragon!$M$4/ IF(Dragon!$O$4&lt; 10.8, Table1[[#This Row],[STR]], Table1[[#This Row],[STR]] / (Dragon!$O$4 / 10.8)), 1)</f>
        <v>46</v>
      </c>
      <c r="AO33" s="8">
        <f>CEILING('Blue Slime'!$Z$5/ IF('Blue Slime'!$X$5&lt; 10.8, Table1[[#This Row],[STR]], Table1[[#This Row],[STR]] / ('Blue Slime'!$X$5 / 10.8)), 1)</f>
        <v>1</v>
      </c>
      <c r="AP33" s="8">
        <f>CEILING('Green Slime'!$Z$5/ IF('Green Slime'!$X$5&lt; 10.8, Table1[[#This Row],[STR]], Table1[[#This Row],[STR]] / ('Green Slime'!$X$5 / 10.8)), 1)</f>
        <v>1</v>
      </c>
      <c r="AQ33" s="8">
        <f>CEILING(Wolf!$Z$6/ IF(Wolf!$X$6&lt; 10.8, Table1[[#This Row],[STR]], Table1[[#This Row],[STR]] / (Wolf!$X$6 / 10.8)), 1)</f>
        <v>3</v>
      </c>
      <c r="AR33" s="8">
        <f>CEILING('Horned Wolf'!$Z$5/ IF('Horned Wolf'!$X$5&lt; 10.8, Table1[[#This Row],[STR]], Table1[[#This Row],[STR]] / ('Horned Wolf'!$X$5 / 10.8)), 1)</f>
        <v>8</v>
      </c>
      <c r="AS33" s="8">
        <f>CEILING(Spider!$Z$7/ IF(Spider!$X$7&lt; 10.8, Table1[[#This Row],[STR]], Table1[[#This Row],[STR]] / (Spider!$X$7 / 10.8)), 1)</f>
        <v>7</v>
      </c>
      <c r="AT33" s="8">
        <f>CEILING('Evolved Spider'!$Z$8/ IF('Evolved Spider'!$X$8&lt; 10.8, Table1[[#This Row],[STR]], Table1[[#This Row],[STR]] / ('Evolved Spider'!$X$8 / 10.8)), 1)</f>
        <v>13</v>
      </c>
      <c r="AU33" s="8">
        <f>CEILING(Arachne!$Z$4/ IF(Arachne!$X$4&lt; 10.8, Table1[[#This Row],[STR]], Table1[[#This Row],[STR]] / (Arachne!$X$4 / 10.8)), 1)</f>
        <v>18</v>
      </c>
      <c r="AV33" s="12">
        <f>CEILING('Earth Elemental'!$Z$6/ IF('Earth Elemental'!$X$6&lt; 10.8, Table1[[#This Row],[STR]], Table1[[#This Row],[STR]] / ('Earth Elemental'!$X$6 / 10.8)), 1)</f>
        <v>15</v>
      </c>
      <c r="AW33" s="12">
        <f>CEILING('Wind Elemental'!$Z$6/ IF('Wind Elemental'!$X$6&lt; 10.8, Table1[[#This Row],[STR]], Table1[[#This Row],[STR]] / ('Wind Elemental'!$X$6 / 10.8)), 1)</f>
        <v>12</v>
      </c>
      <c r="AX33" s="12">
        <f>CEILING('Water Elemental'!$Z$6/ IF('Water Elemental'!$X$6&lt; 10.8, Table1[[#This Row],[STR]], Table1[[#This Row],[STR]] / ('Water Elemental'!$X$6 / 10.8)), 1)</f>
        <v>16</v>
      </c>
      <c r="AY33" s="12">
        <f>CEILING('Fire Elemental'!$Z$4/ IF('Fire Elemental'!$X$4&lt; 10.8, Table1[[#This Row],[STR]], Table1[[#This Row],[STR]] / ('Fire Elemental'!$X$4 / 10.8)), 1)</f>
        <v>25</v>
      </c>
      <c r="AZ33" s="15">
        <f>CEILING(Wyvern!$Z$4/ IF(Wyvern!$X$4&lt; 10.8, Table1[[#This Row],[STR]], Table1[[#This Row],[STR]] / (Wyvern!$X$4 / 10.8)), 1)</f>
        <v>30</v>
      </c>
      <c r="BA33" s="15">
        <f>CEILING('Evolved Wyvern'!$Z$4/ IF('Evolved Wyvern'!$X$4&lt; 10.8, Table1[[#This Row],[STR]], Table1[[#This Row],[STR]] / ('Evolved Wyvern'!$X$4 / 10.8)), 1)</f>
        <v>39</v>
      </c>
      <c r="BB33" s="15">
        <f>CEILING(Dragon!$Z$4/ IF(Dragon!$X$4&lt; 10.8, Table1[[#This Row],[STR]], Table1[[#This Row],[STR]] / (Dragon!$X$4 / 10.8)), 1)</f>
        <v>65</v>
      </c>
    </row>
    <row r="34" spans="1:54" x14ac:dyDescent="0.3">
      <c r="A34" s="1">
        <v>32</v>
      </c>
      <c r="B34" s="1">
        <f>$B$3 + ((Table1[[#This Row],[Level]] / 10) + $B$3 / 8) * Table1[[#This Row],[Level]] + Equipment!$AK$26</f>
        <v>203.4</v>
      </c>
      <c r="C34" s="1">
        <f xml:space="preserve"> 2*Table1[[#This Row],[INT]]</f>
        <v>138</v>
      </c>
      <c r="D34" s="1">
        <f>$D$3 + ($D$3 / 4) * Table1[[#This Row],[Level]]+ Equipment!$AL$26</f>
        <v>72</v>
      </c>
      <c r="E34" s="1">
        <f>$E$3 + ($E$3 / 4) * Table1[[#This Row],[Level]]+ Equipment!$AM$26</f>
        <v>60</v>
      </c>
      <c r="F34" s="1">
        <f>$F$3 + ($F$3 / 4) * Table1[[#This Row],[Level]]+ Equipment!$AN$26</f>
        <v>96</v>
      </c>
      <c r="G34" s="1">
        <f>$G$3 + ($G$3 / 4) * Table1[[#This Row],[Level]]+ Equipment!$AO$26</f>
        <v>69</v>
      </c>
      <c r="H34" s="1">
        <f>$H$3 + ($H$3 / 4) * Table1[[#This Row],[Level]]+ Equipment!$AP$26</f>
        <v>84</v>
      </c>
      <c r="I34" s="34">
        <f xml:space="preserve"> (4 * (Table1[[#This Row],[Level]] ^ 3))/7 + $I$3</f>
        <v>18824.571428571428</v>
      </c>
      <c r="K34" s="8">
        <f>CEILING('Blue Slime'!$B$5/ IF('Blue Slime'!$D$5&lt; 10.8, Table1[[#This Row],[STR]], Table1[[#This Row],[STR]] / ('Blue Slime'!$D$5 / 10.8)), 1)</f>
        <v>1</v>
      </c>
      <c r="L34" s="8">
        <f>CEILING('Green Slime'!$B$5/ IF('Green Slime'!$D$5&lt; 10.8, Table1[[#This Row],[STR]], Table1[[#This Row],[STR]] / ('Green Slime'!$D$5 / 10.8)), 1)</f>
        <v>1</v>
      </c>
      <c r="M34" s="8">
        <f>CEILING(Wolf!$B$6/ IF(Wolf!$D$6&lt; 10.8, Table1[[#This Row],[STR]], Table1[[#This Row],[STR]] / (Wolf!$D$6 / 10.8)), 1)</f>
        <v>1</v>
      </c>
      <c r="N34" s="8">
        <f>CEILING('Horned Wolf'!$B$5/ IF('Horned Wolf'!$D$5&lt; 10.8, Table1[[#This Row],[STR]], Table1[[#This Row],[STR]] / ('Horned Wolf'!$D$5 / 10.8)), 1)</f>
        <v>3</v>
      </c>
      <c r="O34" s="8">
        <f>CEILING(Spider!$B$7/ IF(Spider!$D$7&lt; 10.8, Table1[[#This Row],[STR]], Table1[[#This Row],[STR]] / (Spider!$D$7 / 10.8)), 1)</f>
        <v>2</v>
      </c>
      <c r="P34" s="8">
        <f>CEILING('Evolved Spider'!$B$8/ IF('Evolved Spider'!$D$8&lt; 10.8, Table1[[#This Row],[STR]], Table1[[#This Row],[STR]] / ('Evolved Spider'!$D$8 / 10.8)), 1)</f>
        <v>4</v>
      </c>
      <c r="Q34" s="8">
        <f>CEILING(Arachne!$B$4/ IF(Arachne!$D$4&lt; 10.8, Table1[[#This Row],[STR]], Table1[[#This Row],[STR]] / (Arachne!$D$4 / 10.8)), 1)</f>
        <v>6</v>
      </c>
      <c r="R34" s="12">
        <f>CEILING('Earth Elemental'!$B$6/ IF('Earth Elemental'!$D$6&lt; 10.8, Table1[[#This Row],[STR]], Table1[[#This Row],[STR]] / ('Earth Elemental'!$D$6 / 10.8)), 1)</f>
        <v>6</v>
      </c>
      <c r="S34" s="12">
        <f>CEILING('Wind Elemental'!$B$6/ IF('Wind Elemental'!$D$6&lt; 10.8, Table1[[#This Row],[STR]], Table1[[#This Row],[STR]] / ('Wind Elemental'!$D$6 / 10.8)), 1)</f>
        <v>5</v>
      </c>
      <c r="T34" s="12">
        <f>CEILING('Water Elemental'!$B$6/ IF('Water Elemental'!$D$6&lt; 10.8, Table1[[#This Row],[STR]], Table1[[#This Row],[STR]] / ('Water Elemental'!$D$6 / 10.8)), 1)</f>
        <v>8</v>
      </c>
      <c r="U34" s="12">
        <f>CEILING('Fire Elemental'!$B$4/ IF('Fire Elemental'!$D$4&lt; 10.8, Table1[[#This Row],[STR]], Table1[[#This Row],[STR]] / ('Fire Elemental'!$D$4 / 10.8)), 1)</f>
        <v>10</v>
      </c>
      <c r="V34" s="15">
        <f>CEILING(Wyvern!$B$4/ IF(Wyvern!$D$4&lt; 10.8, Table1[[#This Row],[STR]], Table1[[#This Row],[STR]] / (Wyvern!$D$4 / 10.8)), 1)</f>
        <v>13</v>
      </c>
      <c r="W34" s="15">
        <f>CEILING('Evolved Wyvern'!$B$4/ IF('Evolved Wyvern'!$D$4&lt; 10.8, Table1[[#This Row],[STR]], Table1[[#This Row],[STR]] / ('Evolved Wyvern'!$D$4 / 10.8)), 1)</f>
        <v>17</v>
      </c>
      <c r="X34" s="15">
        <f>CEILING(Dragon!$B$4/ IF(Dragon!$D$4&lt; 10.8, Table1[[#This Row],[STR]], Table1[[#This Row],[STR]] / (Dragon!$D$4 / 10.8)), 1)</f>
        <v>28</v>
      </c>
      <c r="Z34" s="8">
        <f>CEILING('Blue Slime'!$M$5/ IF('Blue Slime'!$O$5&lt; 10.8, Table1[[#This Row],[STR]], Table1[[#This Row],[STR]] / ('Blue Slime'!$O$5 / 10.8)), 1)</f>
        <v>1</v>
      </c>
      <c r="AA34" s="8">
        <f>CEILING('Green Slime'!$M$5/ IF('Green Slime'!$O$5&lt; 10.8, Table1[[#This Row],[STR]], Table1[[#This Row],[STR]] / ('Green Slime'!$O$5 / 10.8)), 1)</f>
        <v>1</v>
      </c>
      <c r="AB34" s="8">
        <f>CEILING(Wolf!$M$6/ IF(Wolf!$O$6&lt; 10.8, Table1[[#This Row],[STR]], Table1[[#This Row],[STR]] / (Wolf!$O$6 / 10.8)), 1)</f>
        <v>2</v>
      </c>
      <c r="AC34" s="8">
        <f>CEILING('Horned Wolf'!$M$5/ IF('Horned Wolf'!$O$5&lt; 10.8, Table1[[#This Row],[STR]], Table1[[#This Row],[STR]] / ('Horned Wolf'!$O$5 / 10.8)), 1)</f>
        <v>5</v>
      </c>
      <c r="AD34" s="8">
        <f>CEILING(Spider!$M$7/ IF(Spider!$O$7&lt; 10.8, Table1[[#This Row],[STR]], Table1[[#This Row],[STR]] / (Spider!$O$7 / 10.8)), 1)</f>
        <v>4</v>
      </c>
      <c r="AE34" s="8">
        <f>CEILING('Evolved Spider'!$M$8/ IF('Evolved Spider'!$O$8&lt; 10.8, Table1[[#This Row],[STR]], Table1[[#This Row],[STR]] / ('Evolved Spider'!$O$8 / 10.8)), 1)</f>
        <v>8</v>
      </c>
      <c r="AF34" s="8">
        <f>CEILING(Arachne!$M$4/ IF(Arachne!$O$4&lt; 10.8, Table1[[#This Row],[STR]], Table1[[#This Row],[STR]] / (Arachne!$O$4 / 10.8)), 1)</f>
        <v>11</v>
      </c>
      <c r="AG34" s="12">
        <f>CEILING('Earth Elemental'!$M$6/ IF('Earth Elemental'!$O$6&lt; 10.8, Table1[[#This Row],[STR]], Table1[[#This Row],[STR]] / ('Earth Elemental'!$O$6 / 10.8)), 1)</f>
        <v>10</v>
      </c>
      <c r="AH34" s="12">
        <f>CEILING('Wind Elemental'!$M$6/ IF('Wind Elemental'!$O$6&lt; 10.8, Table1[[#This Row],[STR]], Table1[[#This Row],[STR]] / ('Wind Elemental'!$O$6 / 10.8)), 1)</f>
        <v>8</v>
      </c>
      <c r="AI34" s="12">
        <f>CEILING('Water Elemental'!$M$6/ IF('Water Elemental'!$O$6&lt; 10.8, Table1[[#This Row],[STR]], Table1[[#This Row],[STR]] / ('Water Elemental'!$O$6 / 10.8)), 1)</f>
        <v>11</v>
      </c>
      <c r="AJ34" s="12">
        <f>CEILING('Fire Elemental'!$M$4/ IF('Fire Elemental'!$O$4&lt; 10.8, Table1[[#This Row],[STR]], Table1[[#This Row],[STR]] / ('Fire Elemental'!$O$4 / 10.8)), 1)</f>
        <v>16</v>
      </c>
      <c r="AK34" s="15">
        <f>CEILING(Wyvern!$M$4/ IF(Wyvern!$O$4&lt; 10.8, Table1[[#This Row],[STR]], Table1[[#This Row],[STR]] / (Wyvern!$O$4 / 10.8)), 1)</f>
        <v>21</v>
      </c>
      <c r="AL34" s="15">
        <f>CEILING('Evolved Wyvern'!$M$4/ IF('Evolved Wyvern'!$O$4&lt; 10.8, Table1[[#This Row],[STR]], Table1[[#This Row],[STR]] / ('Evolved Wyvern'!$O$4 / 10.8)), 1)</f>
        <v>27</v>
      </c>
      <c r="AM34" s="15">
        <f>CEILING(Dragon!$M$4/ IF(Dragon!$O$4&lt; 10.8, Table1[[#This Row],[STR]], Table1[[#This Row],[STR]] / (Dragon!$O$4 / 10.8)), 1)</f>
        <v>45</v>
      </c>
      <c r="AO34" s="8">
        <f>CEILING('Blue Slime'!$Z$5/ IF('Blue Slime'!$X$5&lt; 10.8, Table1[[#This Row],[STR]], Table1[[#This Row],[STR]] / ('Blue Slime'!$X$5 / 10.8)), 1)</f>
        <v>1</v>
      </c>
      <c r="AP34" s="8">
        <f>CEILING('Green Slime'!$Z$5/ IF('Green Slime'!$X$5&lt; 10.8, Table1[[#This Row],[STR]], Table1[[#This Row],[STR]] / ('Green Slime'!$X$5 / 10.8)), 1)</f>
        <v>1</v>
      </c>
      <c r="AQ34" s="8">
        <f>CEILING(Wolf!$Z$6/ IF(Wolf!$X$6&lt; 10.8, Table1[[#This Row],[STR]], Table1[[#This Row],[STR]] / (Wolf!$X$6 / 10.8)), 1)</f>
        <v>3</v>
      </c>
      <c r="AR34" s="8">
        <f>CEILING('Horned Wolf'!$Z$5/ IF('Horned Wolf'!$X$5&lt; 10.8, Table1[[#This Row],[STR]], Table1[[#This Row],[STR]] / ('Horned Wolf'!$X$5 / 10.8)), 1)</f>
        <v>8</v>
      </c>
      <c r="AS34" s="8">
        <f>CEILING(Spider!$Z$7/ IF(Spider!$X$7&lt; 10.8, Table1[[#This Row],[STR]], Table1[[#This Row],[STR]] / (Spider!$X$7 / 10.8)), 1)</f>
        <v>7</v>
      </c>
      <c r="AT34" s="8">
        <f>CEILING('Evolved Spider'!$Z$8/ IF('Evolved Spider'!$X$8&lt; 10.8, Table1[[#This Row],[STR]], Table1[[#This Row],[STR]] / ('Evolved Spider'!$X$8 / 10.8)), 1)</f>
        <v>13</v>
      </c>
      <c r="AU34" s="8">
        <f>CEILING(Arachne!$Z$4/ IF(Arachne!$X$4&lt; 10.8, Table1[[#This Row],[STR]], Table1[[#This Row],[STR]] / (Arachne!$X$4 / 10.8)), 1)</f>
        <v>17</v>
      </c>
      <c r="AV34" s="12">
        <f>CEILING('Earth Elemental'!$Z$6/ IF('Earth Elemental'!$X$6&lt; 10.8, Table1[[#This Row],[STR]], Table1[[#This Row],[STR]] / ('Earth Elemental'!$X$6 / 10.8)), 1)</f>
        <v>14</v>
      </c>
      <c r="AW34" s="12">
        <f>CEILING('Wind Elemental'!$Z$6/ IF('Wind Elemental'!$X$6&lt; 10.8, Table1[[#This Row],[STR]], Table1[[#This Row],[STR]] / ('Wind Elemental'!$X$6 / 10.8)), 1)</f>
        <v>11</v>
      </c>
      <c r="AX34" s="12">
        <f>CEILING('Water Elemental'!$Z$6/ IF('Water Elemental'!$X$6&lt; 10.8, Table1[[#This Row],[STR]], Table1[[#This Row],[STR]] / ('Water Elemental'!$X$6 / 10.8)), 1)</f>
        <v>15</v>
      </c>
      <c r="AY34" s="12">
        <f>CEILING('Fire Elemental'!$Z$4/ IF('Fire Elemental'!$X$4&lt; 10.8, Table1[[#This Row],[STR]], Table1[[#This Row],[STR]] / ('Fire Elemental'!$X$4 / 10.8)), 1)</f>
        <v>25</v>
      </c>
      <c r="AZ34" s="15">
        <f>CEILING(Wyvern!$Z$4/ IF(Wyvern!$X$4&lt; 10.8, Table1[[#This Row],[STR]], Table1[[#This Row],[STR]] / (Wyvern!$X$4 / 10.8)), 1)</f>
        <v>30</v>
      </c>
      <c r="BA34" s="15">
        <f>CEILING('Evolved Wyvern'!$Z$4/ IF('Evolved Wyvern'!$X$4&lt; 10.8, Table1[[#This Row],[STR]], Table1[[#This Row],[STR]] / ('Evolved Wyvern'!$X$4 / 10.8)), 1)</f>
        <v>38</v>
      </c>
      <c r="BB34" s="15">
        <f>CEILING(Dragon!$Z$4/ IF(Dragon!$X$4&lt; 10.8, Table1[[#This Row],[STR]], Table1[[#This Row],[STR]] / (Dragon!$X$4 / 10.8)), 1)</f>
        <v>64</v>
      </c>
    </row>
    <row r="35" spans="1:54" x14ac:dyDescent="0.3">
      <c r="A35" s="1">
        <v>33</v>
      </c>
      <c r="B35" s="1">
        <f>$B$3 + ((Table1[[#This Row],[Level]] / 10) + $B$3 / 8) * Table1[[#This Row],[Level]] + Equipment!$AK$26</f>
        <v>211.4</v>
      </c>
      <c r="C35" s="1">
        <f xml:space="preserve"> 2*Table1[[#This Row],[INT]]</f>
        <v>141</v>
      </c>
      <c r="D35" s="1">
        <f>$D$3 + ($D$3 / 4) * Table1[[#This Row],[Level]]+ Equipment!$AL$26</f>
        <v>73.5</v>
      </c>
      <c r="E35" s="1">
        <f>$E$3 + ($E$3 / 4) * Table1[[#This Row],[Level]]+ Equipment!$AM$26</f>
        <v>61.25</v>
      </c>
      <c r="F35" s="1">
        <f>$F$3 + ($F$3 / 4) * Table1[[#This Row],[Level]]+ Equipment!$AN$26</f>
        <v>98</v>
      </c>
      <c r="G35" s="1">
        <f>$G$3 + ($G$3 / 4) * Table1[[#This Row],[Level]]+ Equipment!$AO$26</f>
        <v>70.5</v>
      </c>
      <c r="H35" s="1">
        <f>$H$3 + ($H$3 / 4) * Table1[[#This Row],[Level]]+ Equipment!$AP$26</f>
        <v>85.75</v>
      </c>
      <c r="I35" s="34">
        <f xml:space="preserve"> (4 * (Table1[[#This Row],[Level]] ^ 3))/7 + $I$3</f>
        <v>20635.428571428572</v>
      </c>
      <c r="K35" s="8">
        <f>CEILING('Blue Slime'!$B$5/ IF('Blue Slime'!$D$5&lt; 10.8, Table1[[#This Row],[STR]], Table1[[#This Row],[STR]] / ('Blue Slime'!$D$5 / 10.8)), 1)</f>
        <v>1</v>
      </c>
      <c r="L35" s="8">
        <f>CEILING('Green Slime'!$B$5/ IF('Green Slime'!$D$5&lt; 10.8, Table1[[#This Row],[STR]], Table1[[#This Row],[STR]] / ('Green Slime'!$D$5 / 10.8)), 1)</f>
        <v>1</v>
      </c>
      <c r="M35" s="8">
        <f>CEILING(Wolf!$B$6/ IF(Wolf!$D$6&lt; 10.8, Table1[[#This Row],[STR]], Table1[[#This Row],[STR]] / (Wolf!$D$6 / 10.8)), 1)</f>
        <v>1</v>
      </c>
      <c r="N35" s="8">
        <f>CEILING('Horned Wolf'!$B$5/ IF('Horned Wolf'!$D$5&lt; 10.8, Table1[[#This Row],[STR]], Table1[[#This Row],[STR]] / ('Horned Wolf'!$D$5 / 10.8)), 1)</f>
        <v>2</v>
      </c>
      <c r="O35" s="8">
        <f>CEILING(Spider!$B$7/ IF(Spider!$D$7&lt; 10.8, Table1[[#This Row],[STR]], Table1[[#This Row],[STR]] / (Spider!$D$7 / 10.8)), 1)</f>
        <v>2</v>
      </c>
      <c r="P35" s="8">
        <f>CEILING('Evolved Spider'!$B$8/ IF('Evolved Spider'!$D$8&lt; 10.8, Table1[[#This Row],[STR]], Table1[[#This Row],[STR]] / ('Evolved Spider'!$D$8 / 10.8)), 1)</f>
        <v>4</v>
      </c>
      <c r="Q35" s="8">
        <f>CEILING(Arachne!$B$4/ IF(Arachne!$D$4&lt; 10.8, Table1[[#This Row],[STR]], Table1[[#This Row],[STR]] / (Arachne!$D$4 / 10.8)), 1)</f>
        <v>5</v>
      </c>
      <c r="R35" s="12">
        <f>CEILING('Earth Elemental'!$B$6/ IF('Earth Elemental'!$D$6&lt; 10.8, Table1[[#This Row],[STR]], Table1[[#This Row],[STR]] / ('Earth Elemental'!$D$6 / 10.8)), 1)</f>
        <v>6</v>
      </c>
      <c r="S35" s="12">
        <f>CEILING('Wind Elemental'!$B$6/ IF('Wind Elemental'!$D$6&lt; 10.8, Table1[[#This Row],[STR]], Table1[[#This Row],[STR]] / ('Wind Elemental'!$D$6 / 10.8)), 1)</f>
        <v>5</v>
      </c>
      <c r="T35" s="12">
        <f>CEILING('Water Elemental'!$B$6/ IF('Water Elemental'!$D$6&lt; 10.8, Table1[[#This Row],[STR]], Table1[[#This Row],[STR]] / ('Water Elemental'!$D$6 / 10.8)), 1)</f>
        <v>7</v>
      </c>
      <c r="U35" s="12">
        <f>CEILING('Fire Elemental'!$B$4/ IF('Fire Elemental'!$D$4&lt; 10.8, Table1[[#This Row],[STR]], Table1[[#This Row],[STR]] / ('Fire Elemental'!$D$4 / 10.8)), 1)</f>
        <v>9</v>
      </c>
      <c r="V35" s="15">
        <f>CEILING(Wyvern!$B$4/ IF(Wyvern!$D$4&lt; 10.8, Table1[[#This Row],[STR]], Table1[[#This Row],[STR]] / (Wyvern!$D$4 / 10.8)), 1)</f>
        <v>12</v>
      </c>
      <c r="W35" s="15">
        <f>CEILING('Evolved Wyvern'!$B$4/ IF('Evolved Wyvern'!$D$4&lt; 10.8, Table1[[#This Row],[STR]], Table1[[#This Row],[STR]] / ('Evolved Wyvern'!$D$4 / 10.8)), 1)</f>
        <v>17</v>
      </c>
      <c r="X35" s="15">
        <f>CEILING(Dragon!$B$4/ IF(Dragon!$D$4&lt; 10.8, Table1[[#This Row],[STR]], Table1[[#This Row],[STR]] / (Dragon!$D$4 / 10.8)), 1)</f>
        <v>28</v>
      </c>
      <c r="Z35" s="8">
        <f>CEILING('Blue Slime'!$M$5/ IF('Blue Slime'!$O$5&lt; 10.8, Table1[[#This Row],[STR]], Table1[[#This Row],[STR]] / ('Blue Slime'!$O$5 / 10.8)), 1)</f>
        <v>1</v>
      </c>
      <c r="AA35" s="8">
        <f>CEILING('Green Slime'!$M$5/ IF('Green Slime'!$O$5&lt; 10.8, Table1[[#This Row],[STR]], Table1[[#This Row],[STR]] / ('Green Slime'!$O$5 / 10.8)), 1)</f>
        <v>1</v>
      </c>
      <c r="AB35" s="8">
        <f>CEILING(Wolf!$M$6/ IF(Wolf!$O$6&lt; 10.8, Table1[[#This Row],[STR]], Table1[[#This Row],[STR]] / (Wolf!$O$6 / 10.8)), 1)</f>
        <v>2</v>
      </c>
      <c r="AC35" s="8">
        <f>CEILING('Horned Wolf'!$M$5/ IF('Horned Wolf'!$O$5&lt; 10.8, Table1[[#This Row],[STR]], Table1[[#This Row],[STR]] / ('Horned Wolf'!$O$5 / 10.8)), 1)</f>
        <v>5</v>
      </c>
      <c r="AD35" s="8">
        <f>CEILING(Spider!$M$7/ IF(Spider!$O$7&lt; 10.8, Table1[[#This Row],[STR]], Table1[[#This Row],[STR]] / (Spider!$O$7 / 10.8)), 1)</f>
        <v>4</v>
      </c>
      <c r="AE35" s="8">
        <f>CEILING('Evolved Spider'!$M$8/ IF('Evolved Spider'!$O$8&lt; 10.8, Table1[[#This Row],[STR]], Table1[[#This Row],[STR]] / ('Evolved Spider'!$O$8 / 10.8)), 1)</f>
        <v>8</v>
      </c>
      <c r="AF35" s="8">
        <f>CEILING(Arachne!$M$4/ IF(Arachne!$O$4&lt; 10.8, Table1[[#This Row],[STR]], Table1[[#This Row],[STR]] / (Arachne!$O$4 / 10.8)), 1)</f>
        <v>10</v>
      </c>
      <c r="AG35" s="12">
        <f>CEILING('Earth Elemental'!$M$6/ IF('Earth Elemental'!$O$6&lt; 10.8, Table1[[#This Row],[STR]], Table1[[#This Row],[STR]] / ('Earth Elemental'!$O$6 / 10.8)), 1)</f>
        <v>9</v>
      </c>
      <c r="AH35" s="12">
        <f>CEILING('Wind Elemental'!$M$6/ IF('Wind Elemental'!$O$6&lt; 10.8, Table1[[#This Row],[STR]], Table1[[#This Row],[STR]] / ('Wind Elemental'!$O$6 / 10.8)), 1)</f>
        <v>8</v>
      </c>
      <c r="AI35" s="12">
        <f>CEILING('Water Elemental'!$M$6/ IF('Water Elemental'!$O$6&lt; 10.8, Table1[[#This Row],[STR]], Table1[[#This Row],[STR]] / ('Water Elemental'!$O$6 / 10.8)), 1)</f>
        <v>11</v>
      </c>
      <c r="AJ35" s="12">
        <f>CEILING('Fire Elemental'!$M$4/ IF('Fire Elemental'!$O$4&lt; 10.8, Table1[[#This Row],[STR]], Table1[[#This Row],[STR]] / ('Fire Elemental'!$O$4 / 10.8)), 1)</f>
        <v>16</v>
      </c>
      <c r="AK35" s="15">
        <f>CEILING(Wyvern!$M$4/ IF(Wyvern!$O$4&lt; 10.8, Table1[[#This Row],[STR]], Table1[[#This Row],[STR]] / (Wyvern!$O$4 / 10.8)), 1)</f>
        <v>20</v>
      </c>
      <c r="AL35" s="15">
        <f>CEILING('Evolved Wyvern'!$M$4/ IF('Evolved Wyvern'!$O$4&lt; 10.8, Table1[[#This Row],[STR]], Table1[[#This Row],[STR]] / ('Evolved Wyvern'!$O$4 / 10.8)), 1)</f>
        <v>27</v>
      </c>
      <c r="AM35" s="15">
        <f>CEILING(Dragon!$M$4/ IF(Dragon!$O$4&lt; 10.8, Table1[[#This Row],[STR]], Table1[[#This Row],[STR]] / (Dragon!$O$4 / 10.8)), 1)</f>
        <v>44</v>
      </c>
      <c r="AO35" s="8">
        <f>CEILING('Blue Slime'!$Z$5/ IF('Blue Slime'!$X$5&lt; 10.8, Table1[[#This Row],[STR]], Table1[[#This Row],[STR]] / ('Blue Slime'!$X$5 / 10.8)), 1)</f>
        <v>1</v>
      </c>
      <c r="AP35" s="8">
        <f>CEILING('Green Slime'!$Z$5/ IF('Green Slime'!$X$5&lt; 10.8, Table1[[#This Row],[STR]], Table1[[#This Row],[STR]] / ('Green Slime'!$X$5 / 10.8)), 1)</f>
        <v>1</v>
      </c>
      <c r="AQ35" s="8">
        <f>CEILING(Wolf!$Z$6/ IF(Wolf!$X$6&lt; 10.8, Table1[[#This Row],[STR]], Table1[[#This Row],[STR]] / (Wolf!$X$6 / 10.8)), 1)</f>
        <v>3</v>
      </c>
      <c r="AR35" s="8">
        <f>CEILING('Horned Wolf'!$Z$5/ IF('Horned Wolf'!$X$5&lt; 10.8, Table1[[#This Row],[STR]], Table1[[#This Row],[STR]] / ('Horned Wolf'!$X$5 / 10.8)), 1)</f>
        <v>8</v>
      </c>
      <c r="AS35" s="8">
        <f>CEILING(Spider!$Z$7/ IF(Spider!$X$7&lt; 10.8, Table1[[#This Row],[STR]], Table1[[#This Row],[STR]] / (Spider!$X$7 / 10.8)), 1)</f>
        <v>7</v>
      </c>
      <c r="AT35" s="8">
        <f>CEILING('Evolved Spider'!$Z$8/ IF('Evolved Spider'!$X$8&lt; 10.8, Table1[[#This Row],[STR]], Table1[[#This Row],[STR]] / ('Evolved Spider'!$X$8 / 10.8)), 1)</f>
        <v>12</v>
      </c>
      <c r="AU35" s="8">
        <f>CEILING(Arachne!$Z$4/ IF(Arachne!$X$4&lt; 10.8, Table1[[#This Row],[STR]], Table1[[#This Row],[STR]] / (Arachne!$X$4 / 10.8)), 1)</f>
        <v>17</v>
      </c>
      <c r="AV35" s="12">
        <f>CEILING('Earth Elemental'!$Z$6/ IF('Earth Elemental'!$X$6&lt; 10.8, Table1[[#This Row],[STR]], Table1[[#This Row],[STR]] / ('Earth Elemental'!$X$6 / 10.8)), 1)</f>
        <v>14</v>
      </c>
      <c r="AW35" s="12">
        <f>CEILING('Wind Elemental'!$Z$6/ IF('Wind Elemental'!$X$6&lt; 10.8, Table1[[#This Row],[STR]], Table1[[#This Row],[STR]] / ('Wind Elemental'!$X$6 / 10.8)), 1)</f>
        <v>11</v>
      </c>
      <c r="AX35" s="12">
        <f>CEILING('Water Elemental'!$Z$6/ IF('Water Elemental'!$X$6&lt; 10.8, Table1[[#This Row],[STR]], Table1[[#This Row],[STR]] / ('Water Elemental'!$X$6 / 10.8)), 1)</f>
        <v>15</v>
      </c>
      <c r="AY35" s="12">
        <f>CEILING('Fire Elemental'!$Z$4/ IF('Fire Elemental'!$X$4&lt; 10.8, Table1[[#This Row],[STR]], Table1[[#This Row],[STR]] / ('Fire Elemental'!$X$4 / 10.8)), 1)</f>
        <v>24</v>
      </c>
      <c r="AZ35" s="15">
        <f>CEILING(Wyvern!$Z$4/ IF(Wyvern!$X$4&lt; 10.8, Table1[[#This Row],[STR]], Table1[[#This Row],[STR]] / (Wyvern!$X$4 / 10.8)), 1)</f>
        <v>29</v>
      </c>
      <c r="BA35" s="15">
        <f>CEILING('Evolved Wyvern'!$Z$4/ IF('Evolved Wyvern'!$X$4&lt; 10.8, Table1[[#This Row],[STR]], Table1[[#This Row],[STR]] / ('Evolved Wyvern'!$X$4 / 10.8)), 1)</f>
        <v>37</v>
      </c>
      <c r="BB35" s="15">
        <f>CEILING(Dragon!$Z$4/ IF(Dragon!$X$4&lt; 10.8, Table1[[#This Row],[STR]], Table1[[#This Row],[STR]] / (Dragon!$X$4 / 10.8)), 1)</f>
        <v>63</v>
      </c>
    </row>
    <row r="36" spans="1:54" x14ac:dyDescent="0.3">
      <c r="A36" s="30">
        <v>34</v>
      </c>
      <c r="B36" s="30">
        <f>$B$3 + ((Table1[[#This Row],[Level]] / 10) + $B$3 / 8) * Table1[[#This Row],[Level]] + Equipment!$AK$26</f>
        <v>219.60000000000002</v>
      </c>
      <c r="C36" s="30">
        <f xml:space="preserve"> 2*Table1[[#This Row],[INT]]</f>
        <v>144</v>
      </c>
      <c r="D36" s="30">
        <f>$D$3 + ($D$3 / 4) * Table1[[#This Row],[Level]]+ Equipment!$AL$26</f>
        <v>75</v>
      </c>
      <c r="E36" s="30">
        <f>$E$3 + ($E$3 / 4) * Table1[[#This Row],[Level]]+ Equipment!$AM$26</f>
        <v>62.5</v>
      </c>
      <c r="F36" s="30">
        <f>$F$3 + ($F$3 / 4) * Table1[[#This Row],[Level]]+ Equipment!$AN$26</f>
        <v>100</v>
      </c>
      <c r="G36" s="30">
        <f>$G$3 + ($G$3 / 4) * Table1[[#This Row],[Level]]+ Equipment!$AO$26</f>
        <v>72</v>
      </c>
      <c r="H36" s="30">
        <f>$H$3 + ($H$3 / 4) * Table1[[#This Row],[Level]]+ Equipment!$AP$26</f>
        <v>87.5</v>
      </c>
      <c r="I36" s="30">
        <f xml:space="preserve"> (4 * (Table1[[#This Row],[Level]] ^ 3))/7 + $I$3</f>
        <v>22559.428571428572</v>
      </c>
      <c r="K36" s="8">
        <f>CEILING('Blue Slime'!$B$5/ IF('Blue Slime'!$D$5&lt; 10.8, Table1[[#This Row],[STR]], Table1[[#This Row],[STR]] / ('Blue Slime'!$D$5 / 10.8)), 1)</f>
        <v>1</v>
      </c>
      <c r="L36" s="8">
        <f>CEILING('Green Slime'!$B$5/ IF('Green Slime'!$D$5&lt; 10.8, Table1[[#This Row],[STR]], Table1[[#This Row],[STR]] / ('Green Slime'!$D$5 / 10.8)), 1)</f>
        <v>1</v>
      </c>
      <c r="M36" s="8">
        <f>CEILING(Wolf!$B$6/ IF(Wolf!$D$6&lt; 10.8, Table1[[#This Row],[STR]], Table1[[#This Row],[STR]] / (Wolf!$D$6 / 10.8)), 1)</f>
        <v>1</v>
      </c>
      <c r="N36" s="8">
        <f>CEILING('Horned Wolf'!$B$5/ IF('Horned Wolf'!$D$5&lt; 10.8, Table1[[#This Row],[STR]], Table1[[#This Row],[STR]] / ('Horned Wolf'!$D$5 / 10.8)), 1)</f>
        <v>2</v>
      </c>
      <c r="O36" s="8">
        <f>CEILING(Spider!$B$7/ IF(Spider!$D$7&lt; 10.8, Table1[[#This Row],[STR]], Table1[[#This Row],[STR]] / (Spider!$D$7 / 10.8)), 1)</f>
        <v>2</v>
      </c>
      <c r="P36" s="8">
        <f>CEILING('Evolved Spider'!$B$8/ IF('Evolved Spider'!$D$8&lt; 10.8, Table1[[#This Row],[STR]], Table1[[#This Row],[STR]] / ('Evolved Spider'!$D$8 / 10.8)), 1)</f>
        <v>4</v>
      </c>
      <c r="Q36" s="8">
        <f>CEILING(Arachne!$B$4/ IF(Arachne!$D$4&lt; 10.8, Table1[[#This Row],[STR]], Table1[[#This Row],[STR]] / (Arachne!$D$4 / 10.8)), 1)</f>
        <v>5</v>
      </c>
      <c r="R36" s="12">
        <f>CEILING('Earth Elemental'!$B$6/ IF('Earth Elemental'!$D$6&lt; 10.8, Table1[[#This Row],[STR]], Table1[[#This Row],[STR]] / ('Earth Elemental'!$D$6 / 10.8)), 1)</f>
        <v>6</v>
      </c>
      <c r="S36" s="12">
        <f>CEILING('Wind Elemental'!$B$6/ IF('Wind Elemental'!$D$6&lt; 10.8, Table1[[#This Row],[STR]], Table1[[#This Row],[STR]] / ('Wind Elemental'!$D$6 / 10.8)), 1)</f>
        <v>5</v>
      </c>
      <c r="T36" s="12">
        <f>CEILING('Water Elemental'!$B$6/ IF('Water Elemental'!$D$6&lt; 10.8, Table1[[#This Row],[STR]], Table1[[#This Row],[STR]] / ('Water Elemental'!$D$6 / 10.8)), 1)</f>
        <v>7</v>
      </c>
      <c r="U36" s="12">
        <f>CEILING('Fire Elemental'!$B$4/ IF('Fire Elemental'!$D$4&lt; 10.8, Table1[[#This Row],[STR]], Table1[[#This Row],[STR]] / ('Fire Elemental'!$D$4 / 10.8)), 1)</f>
        <v>9</v>
      </c>
      <c r="V36" s="15">
        <f>CEILING(Wyvern!$B$4/ IF(Wyvern!$D$4&lt; 10.8, Table1[[#This Row],[STR]], Table1[[#This Row],[STR]] / (Wyvern!$D$4 / 10.8)), 1)</f>
        <v>12</v>
      </c>
      <c r="W36" s="15">
        <f>CEILING('Evolved Wyvern'!$B$4/ IF('Evolved Wyvern'!$D$4&lt; 10.8, Table1[[#This Row],[STR]], Table1[[#This Row],[STR]] / ('Evolved Wyvern'!$D$4 / 10.8)), 1)</f>
        <v>17</v>
      </c>
      <c r="X36" s="15">
        <f>CEILING(Dragon!$B$4/ IF(Dragon!$D$4&lt; 10.8, Table1[[#This Row],[STR]], Table1[[#This Row],[STR]] / (Dragon!$D$4 / 10.8)), 1)</f>
        <v>27</v>
      </c>
      <c r="Z36" s="8">
        <f>CEILING('Blue Slime'!$M$5/ IF('Blue Slime'!$O$5&lt; 10.8, Table1[[#This Row],[STR]], Table1[[#This Row],[STR]] / ('Blue Slime'!$O$5 / 10.8)), 1)</f>
        <v>1</v>
      </c>
      <c r="AA36" s="8">
        <f>CEILING('Green Slime'!$M$5/ IF('Green Slime'!$O$5&lt; 10.8, Table1[[#This Row],[STR]], Table1[[#This Row],[STR]] / ('Green Slime'!$O$5 / 10.8)), 1)</f>
        <v>1</v>
      </c>
      <c r="AB36" s="8">
        <f>CEILING(Wolf!$M$6/ IF(Wolf!$O$6&lt; 10.8, Table1[[#This Row],[STR]], Table1[[#This Row],[STR]] / (Wolf!$O$6 / 10.8)), 1)</f>
        <v>2</v>
      </c>
      <c r="AC36" s="8">
        <f>CEILING('Horned Wolf'!$M$5/ IF('Horned Wolf'!$O$5&lt; 10.8, Table1[[#This Row],[STR]], Table1[[#This Row],[STR]] / ('Horned Wolf'!$O$5 / 10.8)), 1)</f>
        <v>5</v>
      </c>
      <c r="AD36" s="8">
        <f>CEILING(Spider!$M$7/ IF(Spider!$O$7&lt; 10.8, Table1[[#This Row],[STR]], Table1[[#This Row],[STR]] / (Spider!$O$7 / 10.8)), 1)</f>
        <v>4</v>
      </c>
      <c r="AE36" s="8">
        <f>CEILING('Evolved Spider'!$M$8/ IF('Evolved Spider'!$O$8&lt; 10.8, Table1[[#This Row],[STR]], Table1[[#This Row],[STR]] / ('Evolved Spider'!$O$8 / 10.8)), 1)</f>
        <v>8</v>
      </c>
      <c r="AF36" s="8">
        <f>CEILING(Arachne!$M$4/ IF(Arachne!$O$4&lt; 10.8, Table1[[#This Row],[STR]], Table1[[#This Row],[STR]] / (Arachne!$O$4 / 10.8)), 1)</f>
        <v>10</v>
      </c>
      <c r="AG36" s="12">
        <f>CEILING('Earth Elemental'!$M$6/ IF('Earth Elemental'!$O$6&lt; 10.8, Table1[[#This Row],[STR]], Table1[[#This Row],[STR]] / ('Earth Elemental'!$O$6 / 10.8)), 1)</f>
        <v>9</v>
      </c>
      <c r="AH36" s="12">
        <f>CEILING('Wind Elemental'!$M$6/ IF('Wind Elemental'!$O$6&lt; 10.8, Table1[[#This Row],[STR]], Table1[[#This Row],[STR]] / ('Wind Elemental'!$O$6 / 10.8)), 1)</f>
        <v>8</v>
      </c>
      <c r="AI36" s="12">
        <f>CEILING('Water Elemental'!$M$6/ IF('Water Elemental'!$O$6&lt; 10.8, Table1[[#This Row],[STR]], Table1[[#This Row],[STR]] / ('Water Elemental'!$O$6 / 10.8)), 1)</f>
        <v>11</v>
      </c>
      <c r="AJ36" s="12">
        <f>CEILING('Fire Elemental'!$M$4/ IF('Fire Elemental'!$O$4&lt; 10.8, Table1[[#This Row],[STR]], Table1[[#This Row],[STR]] / ('Fire Elemental'!$O$4 / 10.8)), 1)</f>
        <v>16</v>
      </c>
      <c r="AK36" s="15">
        <f>CEILING(Wyvern!$M$4/ IF(Wyvern!$O$4&lt; 10.8, Table1[[#This Row],[STR]], Table1[[#This Row],[STR]] / (Wyvern!$O$4 / 10.8)), 1)</f>
        <v>20</v>
      </c>
      <c r="AL36" s="15">
        <f>CEILING('Evolved Wyvern'!$M$4/ IF('Evolved Wyvern'!$O$4&lt; 10.8, Table1[[#This Row],[STR]], Table1[[#This Row],[STR]] / ('Evolved Wyvern'!$O$4 / 10.8)), 1)</f>
        <v>26</v>
      </c>
      <c r="AM36" s="15">
        <f>CEILING(Dragon!$M$4/ IF(Dragon!$O$4&lt; 10.8, Table1[[#This Row],[STR]], Table1[[#This Row],[STR]] / (Dragon!$O$4 / 10.8)), 1)</f>
        <v>43</v>
      </c>
      <c r="AO36" s="8">
        <f>CEILING('Blue Slime'!$Z$5/ IF('Blue Slime'!$X$5&lt; 10.8, Table1[[#This Row],[STR]], Table1[[#This Row],[STR]] / ('Blue Slime'!$X$5 / 10.8)), 1)</f>
        <v>1</v>
      </c>
      <c r="AP36" s="8">
        <f>CEILING('Green Slime'!$Z$5/ IF('Green Slime'!$X$5&lt; 10.8, Table1[[#This Row],[STR]], Table1[[#This Row],[STR]] / ('Green Slime'!$X$5 / 10.8)), 1)</f>
        <v>1</v>
      </c>
      <c r="AQ36" s="8">
        <f>CEILING(Wolf!$Z$6/ IF(Wolf!$X$6&lt; 10.8, Table1[[#This Row],[STR]], Table1[[#This Row],[STR]] / (Wolf!$X$6 / 10.8)), 1)</f>
        <v>3</v>
      </c>
      <c r="AR36" s="8">
        <f>CEILING('Horned Wolf'!$Z$5/ IF('Horned Wolf'!$X$5&lt; 10.8, Table1[[#This Row],[STR]], Table1[[#This Row],[STR]] / ('Horned Wolf'!$X$5 / 10.8)), 1)</f>
        <v>8</v>
      </c>
      <c r="AS36" s="8">
        <f>CEILING(Spider!$Z$7/ IF(Spider!$X$7&lt; 10.8, Table1[[#This Row],[STR]], Table1[[#This Row],[STR]] / (Spider!$X$7 / 10.8)), 1)</f>
        <v>7</v>
      </c>
      <c r="AT36" s="8">
        <f>CEILING('Evolved Spider'!$Z$8/ IF('Evolved Spider'!$X$8&lt; 10.8, Table1[[#This Row],[STR]], Table1[[#This Row],[STR]] / ('Evolved Spider'!$X$8 / 10.8)), 1)</f>
        <v>12</v>
      </c>
      <c r="AU36" s="8">
        <f>CEILING(Arachne!$Z$4/ IF(Arachne!$X$4&lt; 10.8, Table1[[#This Row],[STR]], Table1[[#This Row],[STR]] / (Arachne!$X$4 / 10.8)), 1)</f>
        <v>16</v>
      </c>
      <c r="AV36" s="12">
        <f>CEILING('Earth Elemental'!$Z$6/ IF('Earth Elemental'!$X$6&lt; 10.8, Table1[[#This Row],[STR]], Table1[[#This Row],[STR]] / ('Earth Elemental'!$X$6 / 10.8)), 1)</f>
        <v>14</v>
      </c>
      <c r="AW36" s="12">
        <f>CEILING('Wind Elemental'!$Z$6/ IF('Wind Elemental'!$X$6&lt; 10.8, Table1[[#This Row],[STR]], Table1[[#This Row],[STR]] / ('Wind Elemental'!$X$6 / 10.8)), 1)</f>
        <v>11</v>
      </c>
      <c r="AX36" s="12">
        <f>CEILING('Water Elemental'!$Z$6/ IF('Water Elemental'!$X$6&lt; 10.8, Table1[[#This Row],[STR]], Table1[[#This Row],[STR]] / ('Water Elemental'!$X$6 / 10.8)), 1)</f>
        <v>15</v>
      </c>
      <c r="AY36" s="12">
        <f>CEILING('Fire Elemental'!$Z$4/ IF('Fire Elemental'!$X$4&lt; 10.8, Table1[[#This Row],[STR]], Table1[[#This Row],[STR]] / ('Fire Elemental'!$X$4 / 10.8)), 1)</f>
        <v>24</v>
      </c>
      <c r="AZ36" s="15">
        <f>CEILING(Wyvern!$Z$4/ IF(Wyvern!$X$4&lt; 10.8, Table1[[#This Row],[STR]], Table1[[#This Row],[STR]] / (Wyvern!$X$4 / 10.8)), 1)</f>
        <v>29</v>
      </c>
      <c r="BA36" s="15">
        <f>CEILING('Evolved Wyvern'!$Z$4/ IF('Evolved Wyvern'!$X$4&lt; 10.8, Table1[[#This Row],[STR]], Table1[[#This Row],[STR]] / ('Evolved Wyvern'!$X$4 / 10.8)), 1)</f>
        <v>37</v>
      </c>
      <c r="BB36" s="15">
        <f>CEILING(Dragon!$Z$4/ IF(Dragon!$X$4&lt; 10.8, Table1[[#This Row],[STR]], Table1[[#This Row],[STR]] / (Dragon!$X$4 / 10.8)), 1)</f>
        <v>61</v>
      </c>
    </row>
    <row r="37" spans="1:54" x14ac:dyDescent="0.3">
      <c r="A37" s="1">
        <v>35</v>
      </c>
      <c r="B37" s="1">
        <f>$B$3 + ((Table1[[#This Row],[Level]] / 10) + $B$3 / 8) * Table1[[#This Row],[Level]]+ Equipment!$AK$34</f>
        <v>261</v>
      </c>
      <c r="C37" s="1">
        <f xml:space="preserve"> 2*Table1[[#This Row],[INT]]</f>
        <v>169</v>
      </c>
      <c r="D37" s="1">
        <f>$D$3 + ($D$3 / 4) * Table1[[#This Row],[Level]]+ Equipment!$AL$34</f>
        <v>84.5</v>
      </c>
      <c r="E37" s="1">
        <f>$E$3 + ($E$3 / 4) * Table1[[#This Row],[Level]]+ Equipment!$AM$34</f>
        <v>69.75</v>
      </c>
      <c r="F37" s="1">
        <f>$F$3 + ($F$3 / 4) * Table1[[#This Row],[Level]]+ Equipment!$AN$34</f>
        <v>112</v>
      </c>
      <c r="G37" s="1">
        <f>$G$3 + ($G$3 / 4) * Table1[[#This Row],[Level]]+ Equipment!$AO$34</f>
        <v>84.5</v>
      </c>
      <c r="H37" s="1">
        <f>$H$3 + ($H$3 / 4) * Table1[[#This Row],[Level]]+ Equipment!$AP$34</f>
        <v>98.25</v>
      </c>
      <c r="I37" s="34">
        <f xml:space="preserve"> (4 * (Table1[[#This Row],[Level]] ^ 3))/7 + $I$3</f>
        <v>24600</v>
      </c>
      <c r="K37" s="8">
        <f>CEILING('Blue Slime'!$B$5/ IF('Blue Slime'!$D$5&lt; 10.8, Table1[[#This Row],[STR]], Table1[[#This Row],[STR]] / ('Blue Slime'!$D$5 / 10.8)), 1)</f>
        <v>1</v>
      </c>
      <c r="L37" s="8">
        <f>CEILING('Green Slime'!$B$5/ IF('Green Slime'!$D$5&lt; 10.8, Table1[[#This Row],[STR]], Table1[[#This Row],[STR]] / ('Green Slime'!$D$5 / 10.8)), 1)</f>
        <v>1</v>
      </c>
      <c r="M37" s="8">
        <f>CEILING(Wolf!$B$6/ IF(Wolf!$D$6&lt; 10.8, Table1[[#This Row],[STR]], Table1[[#This Row],[STR]] / (Wolf!$D$6 / 10.8)), 1)</f>
        <v>1</v>
      </c>
      <c r="N37" s="8">
        <f>CEILING('Horned Wolf'!$B$5/ IF('Horned Wolf'!$D$5&lt; 10.8, Table1[[#This Row],[STR]], Table1[[#This Row],[STR]] / ('Horned Wolf'!$D$5 / 10.8)), 1)</f>
        <v>2</v>
      </c>
      <c r="O37" s="8">
        <f>CEILING(Spider!$B$7/ IF(Spider!$D$7&lt; 10.8, Table1[[#This Row],[STR]], Table1[[#This Row],[STR]] / (Spider!$D$7 / 10.8)), 1)</f>
        <v>2</v>
      </c>
      <c r="P37" s="8">
        <f>CEILING('Evolved Spider'!$B$8/ IF('Evolved Spider'!$D$8&lt; 10.8, Table1[[#This Row],[STR]], Table1[[#This Row],[STR]] / ('Evolved Spider'!$D$8 / 10.8)), 1)</f>
        <v>4</v>
      </c>
      <c r="Q37" s="8">
        <f>CEILING(Arachne!$B$4/ IF(Arachne!$D$4&lt; 10.8, Table1[[#This Row],[STR]], Table1[[#This Row],[STR]] / (Arachne!$D$4 / 10.8)), 1)</f>
        <v>5</v>
      </c>
      <c r="R37" s="12">
        <f>CEILING('Earth Elemental'!$B$6/ IF('Earth Elemental'!$D$6&lt; 10.8, Table1[[#This Row],[STR]], Table1[[#This Row],[STR]] / ('Earth Elemental'!$D$6 / 10.8)), 1)</f>
        <v>5</v>
      </c>
      <c r="S37" s="12">
        <f>CEILING('Wind Elemental'!$B$6/ IF('Wind Elemental'!$D$6&lt; 10.8, Table1[[#This Row],[STR]], Table1[[#This Row],[STR]] / ('Wind Elemental'!$D$6 / 10.8)), 1)</f>
        <v>4</v>
      </c>
      <c r="T37" s="12">
        <f>CEILING('Water Elemental'!$B$6/ IF('Water Elemental'!$D$6&lt; 10.8, Table1[[#This Row],[STR]], Table1[[#This Row],[STR]] / ('Water Elemental'!$D$6 / 10.8)), 1)</f>
        <v>7</v>
      </c>
      <c r="U37" s="12">
        <f>CEILING('Fire Elemental'!$B$4/ IF('Fire Elemental'!$D$4&lt; 10.8, Table1[[#This Row],[STR]], Table1[[#This Row],[STR]] / ('Fire Elemental'!$D$4 / 10.8)), 1)</f>
        <v>8</v>
      </c>
      <c r="V37" s="15">
        <f>CEILING(Wyvern!$B$4/ IF(Wyvern!$D$4&lt; 10.8, Table1[[#This Row],[STR]], Table1[[#This Row],[STR]] / (Wyvern!$D$4 / 10.8)), 1)</f>
        <v>11</v>
      </c>
      <c r="W37" s="15">
        <f>CEILING('Evolved Wyvern'!$B$4/ IF('Evolved Wyvern'!$D$4&lt; 10.8, Table1[[#This Row],[STR]], Table1[[#This Row],[STR]] / ('Evolved Wyvern'!$D$4 / 10.8)), 1)</f>
        <v>15</v>
      </c>
      <c r="X37" s="15">
        <f>CEILING(Dragon!$B$4/ IF(Dragon!$D$4&lt; 10.8, Table1[[#This Row],[STR]], Table1[[#This Row],[STR]] / (Dragon!$D$4 / 10.8)), 1)</f>
        <v>24</v>
      </c>
      <c r="Z37" s="8">
        <f>CEILING('Blue Slime'!$M$5/ IF('Blue Slime'!$O$5&lt; 10.8, Table1[[#This Row],[STR]], Table1[[#This Row],[STR]] / ('Blue Slime'!$O$5 / 10.8)), 1)</f>
        <v>1</v>
      </c>
      <c r="AA37" s="8">
        <f>CEILING('Green Slime'!$M$5/ IF('Green Slime'!$O$5&lt; 10.8, Table1[[#This Row],[STR]], Table1[[#This Row],[STR]] / ('Green Slime'!$O$5 / 10.8)), 1)</f>
        <v>1</v>
      </c>
      <c r="AB37" s="8">
        <f>CEILING(Wolf!$M$6/ IF(Wolf!$O$6&lt; 10.8, Table1[[#This Row],[STR]], Table1[[#This Row],[STR]] / (Wolf!$O$6 / 10.8)), 1)</f>
        <v>2</v>
      </c>
      <c r="AC37" s="8">
        <f>CEILING('Horned Wolf'!$M$5/ IF('Horned Wolf'!$O$5&lt; 10.8, Table1[[#This Row],[STR]], Table1[[#This Row],[STR]] / ('Horned Wolf'!$O$5 / 10.8)), 1)</f>
        <v>4</v>
      </c>
      <c r="AD37" s="8">
        <f>CEILING(Spider!$M$7/ IF(Spider!$O$7&lt; 10.8, Table1[[#This Row],[STR]], Table1[[#This Row],[STR]] / (Spider!$O$7 / 10.8)), 1)</f>
        <v>4</v>
      </c>
      <c r="AE37" s="8">
        <f>CEILING('Evolved Spider'!$M$8/ IF('Evolved Spider'!$O$8&lt; 10.8, Table1[[#This Row],[STR]], Table1[[#This Row],[STR]] / ('Evolved Spider'!$O$8 / 10.8)), 1)</f>
        <v>7</v>
      </c>
      <c r="AF37" s="8">
        <f>CEILING(Arachne!$M$4/ IF(Arachne!$O$4&lt; 10.8, Table1[[#This Row],[STR]], Table1[[#This Row],[STR]] / (Arachne!$O$4 / 10.8)), 1)</f>
        <v>9</v>
      </c>
      <c r="AG37" s="12">
        <f>CEILING('Earth Elemental'!$M$6/ IF('Earth Elemental'!$O$6&lt; 10.8, Table1[[#This Row],[STR]], Table1[[#This Row],[STR]] / ('Earth Elemental'!$O$6 / 10.8)), 1)</f>
        <v>8</v>
      </c>
      <c r="AH37" s="12">
        <f>CEILING('Wind Elemental'!$M$6/ IF('Wind Elemental'!$O$6&lt; 10.8, Table1[[#This Row],[STR]], Table1[[#This Row],[STR]] / ('Wind Elemental'!$O$6 / 10.8)), 1)</f>
        <v>7</v>
      </c>
      <c r="AI37" s="12">
        <f>CEILING('Water Elemental'!$M$6/ IF('Water Elemental'!$O$6&lt; 10.8, Table1[[#This Row],[STR]], Table1[[#This Row],[STR]] / ('Water Elemental'!$O$6 / 10.8)), 1)</f>
        <v>10</v>
      </c>
      <c r="AJ37" s="12">
        <f>CEILING('Fire Elemental'!$M$4/ IF('Fire Elemental'!$O$4&lt; 10.8, Table1[[#This Row],[STR]], Table1[[#This Row],[STR]] / ('Fire Elemental'!$O$4 / 10.8)), 1)</f>
        <v>14</v>
      </c>
      <c r="AK37" s="15">
        <f>CEILING(Wyvern!$M$4/ IF(Wyvern!$O$4&lt; 10.8, Table1[[#This Row],[STR]], Table1[[#This Row],[STR]] / (Wyvern!$O$4 / 10.8)), 1)</f>
        <v>18</v>
      </c>
      <c r="AL37" s="15">
        <f>CEILING('Evolved Wyvern'!$M$4/ IF('Evolved Wyvern'!$O$4&lt; 10.8, Table1[[#This Row],[STR]], Table1[[#This Row],[STR]] / ('Evolved Wyvern'!$O$4 / 10.8)), 1)</f>
        <v>23</v>
      </c>
      <c r="AM37" s="15">
        <f>CEILING(Dragon!$M$4/ IF(Dragon!$O$4&lt; 10.8, Table1[[#This Row],[STR]], Table1[[#This Row],[STR]] / (Dragon!$O$4 / 10.8)), 1)</f>
        <v>39</v>
      </c>
      <c r="AO37" s="8">
        <f>CEILING('Blue Slime'!$Z$5/ IF('Blue Slime'!$X$5&lt; 10.8, Table1[[#This Row],[STR]], Table1[[#This Row],[STR]] / ('Blue Slime'!$X$5 / 10.8)), 1)</f>
        <v>1</v>
      </c>
      <c r="AP37" s="8">
        <f>CEILING('Green Slime'!$Z$5/ IF('Green Slime'!$X$5&lt; 10.8, Table1[[#This Row],[STR]], Table1[[#This Row],[STR]] / ('Green Slime'!$X$5 / 10.8)), 1)</f>
        <v>1</v>
      </c>
      <c r="AQ37" s="8">
        <f>CEILING(Wolf!$Z$6/ IF(Wolf!$X$6&lt; 10.8, Table1[[#This Row],[STR]], Table1[[#This Row],[STR]] / (Wolf!$X$6 / 10.8)), 1)</f>
        <v>3</v>
      </c>
      <c r="AR37" s="8">
        <f>CEILING('Horned Wolf'!$Z$5/ IF('Horned Wolf'!$X$5&lt; 10.8, Table1[[#This Row],[STR]], Table1[[#This Row],[STR]] / ('Horned Wolf'!$X$5 / 10.8)), 1)</f>
        <v>7</v>
      </c>
      <c r="AS37" s="8">
        <f>CEILING(Spider!$Z$7/ IF(Spider!$X$7&lt; 10.8, Table1[[#This Row],[STR]], Table1[[#This Row],[STR]] / (Spider!$X$7 / 10.8)), 1)</f>
        <v>6</v>
      </c>
      <c r="AT37" s="8">
        <f>CEILING('Evolved Spider'!$Z$8/ IF('Evolved Spider'!$X$8&lt; 10.8, Table1[[#This Row],[STR]], Table1[[#This Row],[STR]] / ('Evolved Spider'!$X$8 / 10.8)), 1)</f>
        <v>11</v>
      </c>
      <c r="AU37" s="8">
        <f>CEILING(Arachne!$Z$4/ IF(Arachne!$X$4&lt; 10.8, Table1[[#This Row],[STR]], Table1[[#This Row],[STR]] / (Arachne!$X$4 / 10.8)), 1)</f>
        <v>15</v>
      </c>
      <c r="AV37" s="12">
        <f>CEILING('Earth Elemental'!$Z$6/ IF('Earth Elemental'!$X$6&lt; 10.8, Table1[[#This Row],[STR]], Table1[[#This Row],[STR]] / ('Earth Elemental'!$X$6 / 10.8)), 1)</f>
        <v>12</v>
      </c>
      <c r="AW37" s="12">
        <f>CEILING('Wind Elemental'!$Z$6/ IF('Wind Elemental'!$X$6&lt; 10.8, Table1[[#This Row],[STR]], Table1[[#This Row],[STR]] / ('Wind Elemental'!$X$6 / 10.8)), 1)</f>
        <v>10</v>
      </c>
      <c r="AX37" s="12">
        <f>CEILING('Water Elemental'!$Z$6/ IF('Water Elemental'!$X$6&lt; 10.8, Table1[[#This Row],[STR]], Table1[[#This Row],[STR]] / ('Water Elemental'!$X$6 / 10.8)), 1)</f>
        <v>13</v>
      </c>
      <c r="AY37" s="12">
        <f>CEILING('Fire Elemental'!$Z$4/ IF('Fire Elemental'!$X$4&lt; 10.8, Table1[[#This Row],[STR]], Table1[[#This Row],[STR]] / ('Fire Elemental'!$X$4 / 10.8)), 1)</f>
        <v>21</v>
      </c>
      <c r="AZ37" s="15">
        <f>CEILING(Wyvern!$Z$4/ IF(Wyvern!$X$4&lt; 10.8, Table1[[#This Row],[STR]], Table1[[#This Row],[STR]] / (Wyvern!$X$4 / 10.8)), 1)</f>
        <v>26</v>
      </c>
      <c r="BA37" s="15">
        <f>CEILING('Evolved Wyvern'!$Z$4/ IF('Evolved Wyvern'!$X$4&lt; 10.8, Table1[[#This Row],[STR]], Table1[[#This Row],[STR]] / ('Evolved Wyvern'!$X$4 / 10.8)), 1)</f>
        <v>33</v>
      </c>
      <c r="BB37" s="15">
        <f>CEILING(Dragon!$Z$4/ IF(Dragon!$X$4&lt; 10.8, Table1[[#This Row],[STR]], Table1[[#This Row],[STR]] / (Dragon!$X$4 / 10.8)), 1)</f>
        <v>55</v>
      </c>
    </row>
    <row r="38" spans="1:54" x14ac:dyDescent="0.3">
      <c r="A38" s="1">
        <v>36</v>
      </c>
      <c r="B38" s="1">
        <f>$B$3 + ((Table1[[#This Row],[Level]] / 10) + $B$3 / 8) * Table1[[#This Row],[Level]]+ Equipment!$AK$34</f>
        <v>269.60000000000002</v>
      </c>
      <c r="C38" s="1">
        <f xml:space="preserve"> 2*Table1[[#This Row],[INT]]</f>
        <v>172</v>
      </c>
      <c r="D38" s="1">
        <f>$D$3 + ($D$3 / 4) * Table1[[#This Row],[Level]]+ Equipment!$AL$34</f>
        <v>86</v>
      </c>
      <c r="E38" s="1">
        <f>$E$3 + ($E$3 / 4) * Table1[[#This Row],[Level]]+ Equipment!$AM$34</f>
        <v>71</v>
      </c>
      <c r="F38" s="1">
        <f>$F$3 + ($F$3 / 4) * Table1[[#This Row],[Level]]+ Equipment!$AN$34</f>
        <v>114</v>
      </c>
      <c r="G38" s="1">
        <f>$G$3 + ($G$3 / 4) * Table1[[#This Row],[Level]]+ Equipment!$AO$34</f>
        <v>86</v>
      </c>
      <c r="H38" s="1">
        <f>$H$3 + ($H$3 / 4) * Table1[[#This Row],[Level]]+ Equipment!$AP$34</f>
        <v>100</v>
      </c>
      <c r="I38" s="34">
        <f xml:space="preserve"> (4 * (Table1[[#This Row],[Level]] ^ 3))/7 + $I$3</f>
        <v>26760.571428571428</v>
      </c>
      <c r="K38" s="8">
        <f>CEILING('Blue Slime'!$B$5/ IF('Blue Slime'!$D$5&lt; 10.8, Table1[[#This Row],[STR]], Table1[[#This Row],[STR]] / ('Blue Slime'!$D$5 / 10.8)), 1)</f>
        <v>1</v>
      </c>
      <c r="L38" s="8">
        <f>CEILING('Green Slime'!$B$5/ IF('Green Slime'!$D$5&lt; 10.8, Table1[[#This Row],[STR]], Table1[[#This Row],[STR]] / ('Green Slime'!$D$5 / 10.8)), 1)</f>
        <v>1</v>
      </c>
      <c r="M38" s="8">
        <f>CEILING(Wolf!$B$6/ IF(Wolf!$D$6&lt; 10.8, Table1[[#This Row],[STR]], Table1[[#This Row],[STR]] / (Wolf!$D$6 / 10.8)), 1)</f>
        <v>1</v>
      </c>
      <c r="N38" s="8">
        <f>CEILING('Horned Wolf'!$B$5/ IF('Horned Wolf'!$D$5&lt; 10.8, Table1[[#This Row],[STR]], Table1[[#This Row],[STR]] / ('Horned Wolf'!$D$5 / 10.8)), 1)</f>
        <v>2</v>
      </c>
      <c r="O38" s="8">
        <f>CEILING(Spider!$B$7/ IF(Spider!$D$7&lt; 10.8, Table1[[#This Row],[STR]], Table1[[#This Row],[STR]] / (Spider!$D$7 / 10.8)), 1)</f>
        <v>2</v>
      </c>
      <c r="P38" s="8">
        <f>CEILING('Evolved Spider'!$B$8/ IF('Evolved Spider'!$D$8&lt; 10.8, Table1[[#This Row],[STR]], Table1[[#This Row],[STR]] / ('Evolved Spider'!$D$8 / 10.8)), 1)</f>
        <v>4</v>
      </c>
      <c r="Q38" s="8">
        <f>CEILING(Arachne!$B$4/ IF(Arachne!$D$4&lt; 10.8, Table1[[#This Row],[STR]], Table1[[#This Row],[STR]] / (Arachne!$D$4 / 10.8)), 1)</f>
        <v>5</v>
      </c>
      <c r="R38" s="12">
        <f>CEILING('Earth Elemental'!$B$6/ IF('Earth Elemental'!$D$6&lt; 10.8, Table1[[#This Row],[STR]], Table1[[#This Row],[STR]] / ('Earth Elemental'!$D$6 / 10.8)), 1)</f>
        <v>5</v>
      </c>
      <c r="S38" s="12">
        <f>CEILING('Wind Elemental'!$B$6/ IF('Wind Elemental'!$D$6&lt; 10.8, Table1[[#This Row],[STR]], Table1[[#This Row],[STR]] / ('Wind Elemental'!$D$6 / 10.8)), 1)</f>
        <v>4</v>
      </c>
      <c r="T38" s="12">
        <f>CEILING('Water Elemental'!$B$6/ IF('Water Elemental'!$D$6&lt; 10.8, Table1[[#This Row],[STR]], Table1[[#This Row],[STR]] / ('Water Elemental'!$D$6 / 10.8)), 1)</f>
        <v>6</v>
      </c>
      <c r="U38" s="12">
        <f>CEILING('Fire Elemental'!$B$4/ IF('Fire Elemental'!$D$4&lt; 10.8, Table1[[#This Row],[STR]], Table1[[#This Row],[STR]] / ('Fire Elemental'!$D$4 / 10.8)), 1)</f>
        <v>8</v>
      </c>
      <c r="V38" s="15">
        <f>CEILING(Wyvern!$B$4/ IF(Wyvern!$D$4&lt; 10.8, Table1[[#This Row],[STR]], Table1[[#This Row],[STR]] / (Wyvern!$D$4 / 10.8)), 1)</f>
        <v>11</v>
      </c>
      <c r="W38" s="15">
        <f>CEILING('Evolved Wyvern'!$B$4/ IF('Evolved Wyvern'!$D$4&lt; 10.8, Table1[[#This Row],[STR]], Table1[[#This Row],[STR]] / ('Evolved Wyvern'!$D$4 / 10.8)), 1)</f>
        <v>15</v>
      </c>
      <c r="X38" s="15">
        <f>CEILING(Dragon!$B$4/ IF(Dragon!$D$4&lt; 10.8, Table1[[#This Row],[STR]], Table1[[#This Row],[STR]] / (Dragon!$D$4 / 10.8)), 1)</f>
        <v>24</v>
      </c>
      <c r="Z38" s="8">
        <f>CEILING('Blue Slime'!$M$5/ IF('Blue Slime'!$O$5&lt; 10.8, Table1[[#This Row],[STR]], Table1[[#This Row],[STR]] / ('Blue Slime'!$O$5 / 10.8)), 1)</f>
        <v>1</v>
      </c>
      <c r="AA38" s="8">
        <f>CEILING('Green Slime'!$M$5/ IF('Green Slime'!$O$5&lt; 10.8, Table1[[#This Row],[STR]], Table1[[#This Row],[STR]] / ('Green Slime'!$O$5 / 10.8)), 1)</f>
        <v>1</v>
      </c>
      <c r="AB38" s="8">
        <f>CEILING(Wolf!$M$6/ IF(Wolf!$O$6&lt; 10.8, Table1[[#This Row],[STR]], Table1[[#This Row],[STR]] / (Wolf!$O$6 / 10.8)), 1)</f>
        <v>2</v>
      </c>
      <c r="AC38" s="8">
        <f>CEILING('Horned Wolf'!$M$5/ IF('Horned Wolf'!$O$5&lt; 10.8, Table1[[#This Row],[STR]], Table1[[#This Row],[STR]] / ('Horned Wolf'!$O$5 / 10.8)), 1)</f>
        <v>4</v>
      </c>
      <c r="AD38" s="8">
        <f>CEILING(Spider!$M$7/ IF(Spider!$O$7&lt; 10.8, Table1[[#This Row],[STR]], Table1[[#This Row],[STR]] / (Spider!$O$7 / 10.8)), 1)</f>
        <v>4</v>
      </c>
      <c r="AE38" s="8">
        <f>CEILING('Evolved Spider'!$M$8/ IF('Evolved Spider'!$O$8&lt; 10.8, Table1[[#This Row],[STR]], Table1[[#This Row],[STR]] / ('Evolved Spider'!$O$8 / 10.8)), 1)</f>
        <v>7</v>
      </c>
      <c r="AF38" s="8">
        <f>CEILING(Arachne!$M$4/ IF(Arachne!$O$4&lt; 10.8, Table1[[#This Row],[STR]], Table1[[#This Row],[STR]] / (Arachne!$O$4 / 10.8)), 1)</f>
        <v>9</v>
      </c>
      <c r="AG38" s="12">
        <f>CEILING('Earth Elemental'!$M$6/ IF('Earth Elemental'!$O$6&lt; 10.8, Table1[[#This Row],[STR]], Table1[[#This Row],[STR]] / ('Earth Elemental'!$O$6 / 10.8)), 1)</f>
        <v>8</v>
      </c>
      <c r="AH38" s="12">
        <f>CEILING('Wind Elemental'!$M$6/ IF('Wind Elemental'!$O$6&lt; 10.8, Table1[[#This Row],[STR]], Table1[[#This Row],[STR]] / ('Wind Elemental'!$O$6 / 10.8)), 1)</f>
        <v>7</v>
      </c>
      <c r="AI38" s="12">
        <f>CEILING('Water Elemental'!$M$6/ IF('Water Elemental'!$O$6&lt; 10.8, Table1[[#This Row],[STR]], Table1[[#This Row],[STR]] / ('Water Elemental'!$O$6 / 10.8)), 1)</f>
        <v>10</v>
      </c>
      <c r="AJ38" s="12">
        <f>CEILING('Fire Elemental'!$M$4/ IF('Fire Elemental'!$O$4&lt; 10.8, Table1[[#This Row],[STR]], Table1[[#This Row],[STR]] / ('Fire Elemental'!$O$4 / 10.8)), 1)</f>
        <v>14</v>
      </c>
      <c r="AK38" s="15">
        <f>CEILING(Wyvern!$M$4/ IF(Wyvern!$O$4&lt; 10.8, Table1[[#This Row],[STR]], Table1[[#This Row],[STR]] / (Wyvern!$O$4 / 10.8)), 1)</f>
        <v>17</v>
      </c>
      <c r="AL38" s="15">
        <f>CEILING('Evolved Wyvern'!$M$4/ IF('Evolved Wyvern'!$O$4&lt; 10.8, Table1[[#This Row],[STR]], Table1[[#This Row],[STR]] / ('Evolved Wyvern'!$O$4 / 10.8)), 1)</f>
        <v>23</v>
      </c>
      <c r="AM38" s="15">
        <f>CEILING(Dragon!$M$4/ IF(Dragon!$O$4&lt; 10.8, Table1[[#This Row],[STR]], Table1[[#This Row],[STR]] / (Dragon!$O$4 / 10.8)), 1)</f>
        <v>38</v>
      </c>
      <c r="AO38" s="8">
        <f>CEILING('Blue Slime'!$Z$5/ IF('Blue Slime'!$X$5&lt; 10.8, Table1[[#This Row],[STR]], Table1[[#This Row],[STR]] / ('Blue Slime'!$X$5 / 10.8)), 1)</f>
        <v>1</v>
      </c>
      <c r="AP38" s="8">
        <f>CEILING('Green Slime'!$Z$5/ IF('Green Slime'!$X$5&lt; 10.8, Table1[[#This Row],[STR]], Table1[[#This Row],[STR]] / ('Green Slime'!$X$5 / 10.8)), 1)</f>
        <v>1</v>
      </c>
      <c r="AQ38" s="8">
        <f>CEILING(Wolf!$Z$6/ IF(Wolf!$X$6&lt; 10.8, Table1[[#This Row],[STR]], Table1[[#This Row],[STR]] / (Wolf!$X$6 / 10.8)), 1)</f>
        <v>3</v>
      </c>
      <c r="AR38" s="8">
        <f>CEILING('Horned Wolf'!$Z$5/ IF('Horned Wolf'!$X$5&lt; 10.8, Table1[[#This Row],[STR]], Table1[[#This Row],[STR]] / ('Horned Wolf'!$X$5 / 10.8)), 1)</f>
        <v>7</v>
      </c>
      <c r="AS38" s="8">
        <f>CEILING(Spider!$Z$7/ IF(Spider!$X$7&lt; 10.8, Table1[[#This Row],[STR]], Table1[[#This Row],[STR]] / (Spider!$X$7 / 10.8)), 1)</f>
        <v>6</v>
      </c>
      <c r="AT38" s="8">
        <f>CEILING('Evolved Spider'!$Z$8/ IF('Evolved Spider'!$X$8&lt; 10.8, Table1[[#This Row],[STR]], Table1[[#This Row],[STR]] / ('Evolved Spider'!$X$8 / 10.8)), 1)</f>
        <v>11</v>
      </c>
      <c r="AU38" s="8">
        <f>CEILING(Arachne!$Z$4/ IF(Arachne!$X$4&lt; 10.8, Table1[[#This Row],[STR]], Table1[[#This Row],[STR]] / (Arachne!$X$4 / 10.8)), 1)</f>
        <v>15</v>
      </c>
      <c r="AV38" s="12">
        <f>CEILING('Earth Elemental'!$Z$6/ IF('Earth Elemental'!$X$6&lt; 10.8, Table1[[#This Row],[STR]], Table1[[#This Row],[STR]] / ('Earth Elemental'!$X$6 / 10.8)), 1)</f>
        <v>12</v>
      </c>
      <c r="AW38" s="12">
        <f>CEILING('Wind Elemental'!$Z$6/ IF('Wind Elemental'!$X$6&lt; 10.8, Table1[[#This Row],[STR]], Table1[[#This Row],[STR]] / ('Wind Elemental'!$X$6 / 10.8)), 1)</f>
        <v>10</v>
      </c>
      <c r="AX38" s="12">
        <f>CEILING('Water Elemental'!$Z$6/ IF('Water Elemental'!$X$6&lt; 10.8, Table1[[#This Row],[STR]], Table1[[#This Row],[STR]] / ('Water Elemental'!$X$6 / 10.8)), 1)</f>
        <v>13</v>
      </c>
      <c r="AY38" s="12">
        <f>CEILING('Fire Elemental'!$Z$4/ IF('Fire Elemental'!$X$4&lt; 10.8, Table1[[#This Row],[STR]], Table1[[#This Row],[STR]] / ('Fire Elemental'!$X$4 / 10.8)), 1)</f>
        <v>21</v>
      </c>
      <c r="AZ38" s="15">
        <f>CEILING(Wyvern!$Z$4/ IF(Wyvern!$X$4&lt; 10.8, Table1[[#This Row],[STR]], Table1[[#This Row],[STR]] / (Wyvern!$X$4 / 10.8)), 1)</f>
        <v>25</v>
      </c>
      <c r="BA38" s="15">
        <f>CEILING('Evolved Wyvern'!$Z$4/ IF('Evolved Wyvern'!$X$4&lt; 10.8, Table1[[#This Row],[STR]], Table1[[#This Row],[STR]] / ('Evolved Wyvern'!$X$4 / 10.8)), 1)</f>
        <v>32</v>
      </c>
      <c r="BB38" s="15">
        <f>CEILING(Dragon!$Z$4/ IF(Dragon!$X$4&lt; 10.8, Table1[[#This Row],[STR]], Table1[[#This Row],[STR]] / (Dragon!$X$4 / 10.8)), 1)</f>
        <v>54</v>
      </c>
    </row>
    <row r="39" spans="1:54" x14ac:dyDescent="0.3">
      <c r="A39" s="1">
        <v>37</v>
      </c>
      <c r="B39" s="1">
        <f>$B$3 + ((Table1[[#This Row],[Level]] / 10) + $B$3 / 8) * Table1[[#This Row],[Level]]+ Equipment!$AK$34</f>
        <v>278.39999999999998</v>
      </c>
      <c r="C39" s="1">
        <f xml:space="preserve"> 2*Table1[[#This Row],[INT]]</f>
        <v>175</v>
      </c>
      <c r="D39" s="1">
        <f>$D$3 + ($D$3 / 4) * Table1[[#This Row],[Level]]+ Equipment!$AL$34</f>
        <v>87.5</v>
      </c>
      <c r="E39" s="1">
        <f>$E$3 + ($E$3 / 4) * Table1[[#This Row],[Level]]+ Equipment!$AM$34</f>
        <v>72.25</v>
      </c>
      <c r="F39" s="1">
        <f>$F$3 + ($F$3 / 4) * Table1[[#This Row],[Level]]+ Equipment!$AN$34</f>
        <v>116</v>
      </c>
      <c r="G39" s="1">
        <f>$G$3 + ($G$3 / 4) * Table1[[#This Row],[Level]]+ Equipment!$AO$34</f>
        <v>87.5</v>
      </c>
      <c r="H39" s="1">
        <f>$H$3 + ($H$3 / 4) * Table1[[#This Row],[Level]]+ Equipment!$AP$34</f>
        <v>101.75</v>
      </c>
      <c r="I39" s="34">
        <f xml:space="preserve"> (4 * (Table1[[#This Row],[Level]] ^ 3))/7 + $I$3</f>
        <v>29044.571428571428</v>
      </c>
      <c r="K39" s="8">
        <f>CEILING('Blue Slime'!$B$5/ IF('Blue Slime'!$D$5&lt; 10.8, Table1[[#This Row],[STR]], Table1[[#This Row],[STR]] / ('Blue Slime'!$D$5 / 10.8)), 1)</f>
        <v>1</v>
      </c>
      <c r="L39" s="8">
        <f>CEILING('Green Slime'!$B$5/ IF('Green Slime'!$D$5&lt; 10.8, Table1[[#This Row],[STR]], Table1[[#This Row],[STR]] / ('Green Slime'!$D$5 / 10.8)), 1)</f>
        <v>1</v>
      </c>
      <c r="M39" s="8">
        <f>CEILING(Wolf!$B$6/ IF(Wolf!$D$6&lt; 10.8, Table1[[#This Row],[STR]], Table1[[#This Row],[STR]] / (Wolf!$D$6 / 10.8)), 1)</f>
        <v>1</v>
      </c>
      <c r="N39" s="8">
        <f>CEILING('Horned Wolf'!$B$5/ IF('Horned Wolf'!$D$5&lt; 10.8, Table1[[#This Row],[STR]], Table1[[#This Row],[STR]] / ('Horned Wolf'!$D$5 / 10.8)), 1)</f>
        <v>2</v>
      </c>
      <c r="O39" s="8">
        <f>CEILING(Spider!$B$7/ IF(Spider!$D$7&lt; 10.8, Table1[[#This Row],[STR]], Table1[[#This Row],[STR]] / (Spider!$D$7 / 10.8)), 1)</f>
        <v>2</v>
      </c>
      <c r="P39" s="8">
        <f>CEILING('Evolved Spider'!$B$8/ IF('Evolved Spider'!$D$8&lt; 10.8, Table1[[#This Row],[STR]], Table1[[#This Row],[STR]] / ('Evolved Spider'!$D$8 / 10.8)), 1)</f>
        <v>4</v>
      </c>
      <c r="Q39" s="8">
        <f>CEILING(Arachne!$B$4/ IF(Arachne!$D$4&lt; 10.8, Table1[[#This Row],[STR]], Table1[[#This Row],[STR]] / (Arachne!$D$4 / 10.8)), 1)</f>
        <v>5</v>
      </c>
      <c r="R39" s="12">
        <f>CEILING('Earth Elemental'!$B$6/ IF('Earth Elemental'!$D$6&lt; 10.8, Table1[[#This Row],[STR]], Table1[[#This Row],[STR]] / ('Earth Elemental'!$D$6 / 10.8)), 1)</f>
        <v>5</v>
      </c>
      <c r="S39" s="12">
        <f>CEILING('Wind Elemental'!$B$6/ IF('Wind Elemental'!$D$6&lt; 10.8, Table1[[#This Row],[STR]], Table1[[#This Row],[STR]] / ('Wind Elemental'!$D$6 / 10.8)), 1)</f>
        <v>4</v>
      </c>
      <c r="T39" s="12">
        <f>CEILING('Water Elemental'!$B$6/ IF('Water Elemental'!$D$6&lt; 10.8, Table1[[#This Row],[STR]], Table1[[#This Row],[STR]] / ('Water Elemental'!$D$6 / 10.8)), 1)</f>
        <v>6</v>
      </c>
      <c r="U39" s="12">
        <f>CEILING('Fire Elemental'!$B$4/ IF('Fire Elemental'!$D$4&lt; 10.8, Table1[[#This Row],[STR]], Table1[[#This Row],[STR]] / ('Fire Elemental'!$D$4 / 10.8)), 1)</f>
        <v>8</v>
      </c>
      <c r="V39" s="15">
        <f>CEILING(Wyvern!$B$4/ IF(Wyvern!$D$4&lt; 10.8, Table1[[#This Row],[STR]], Table1[[#This Row],[STR]] / (Wyvern!$D$4 / 10.8)), 1)</f>
        <v>11</v>
      </c>
      <c r="W39" s="15">
        <f>CEILING('Evolved Wyvern'!$B$4/ IF('Evolved Wyvern'!$D$4&lt; 10.8, Table1[[#This Row],[STR]], Table1[[#This Row],[STR]] / ('Evolved Wyvern'!$D$4 / 10.8)), 1)</f>
        <v>14</v>
      </c>
      <c r="X39" s="15">
        <f>CEILING(Dragon!$B$4/ IF(Dragon!$D$4&lt; 10.8, Table1[[#This Row],[STR]], Table1[[#This Row],[STR]] / (Dragon!$D$4 / 10.8)), 1)</f>
        <v>24</v>
      </c>
      <c r="Z39" s="8">
        <f>CEILING('Blue Slime'!$M$5/ IF('Blue Slime'!$O$5&lt; 10.8, Table1[[#This Row],[STR]], Table1[[#This Row],[STR]] / ('Blue Slime'!$O$5 / 10.8)), 1)</f>
        <v>1</v>
      </c>
      <c r="AA39" s="8">
        <f>CEILING('Green Slime'!$M$5/ IF('Green Slime'!$O$5&lt; 10.8, Table1[[#This Row],[STR]], Table1[[#This Row],[STR]] / ('Green Slime'!$O$5 / 10.8)), 1)</f>
        <v>1</v>
      </c>
      <c r="AB39" s="8">
        <f>CEILING(Wolf!$M$6/ IF(Wolf!$O$6&lt; 10.8, Table1[[#This Row],[STR]], Table1[[#This Row],[STR]] / (Wolf!$O$6 / 10.8)), 1)</f>
        <v>2</v>
      </c>
      <c r="AC39" s="8">
        <f>CEILING('Horned Wolf'!$M$5/ IF('Horned Wolf'!$O$5&lt; 10.8, Table1[[#This Row],[STR]], Table1[[#This Row],[STR]] / ('Horned Wolf'!$O$5 / 10.8)), 1)</f>
        <v>4</v>
      </c>
      <c r="AD39" s="8">
        <f>CEILING(Spider!$M$7/ IF(Spider!$O$7&lt; 10.8, Table1[[#This Row],[STR]], Table1[[#This Row],[STR]] / (Spider!$O$7 / 10.8)), 1)</f>
        <v>4</v>
      </c>
      <c r="AE39" s="8">
        <f>CEILING('Evolved Spider'!$M$8/ IF('Evolved Spider'!$O$8&lt; 10.8, Table1[[#This Row],[STR]], Table1[[#This Row],[STR]] / ('Evolved Spider'!$O$8 / 10.8)), 1)</f>
        <v>7</v>
      </c>
      <c r="AF39" s="8">
        <f>CEILING(Arachne!$M$4/ IF(Arachne!$O$4&lt; 10.8, Table1[[#This Row],[STR]], Table1[[#This Row],[STR]] / (Arachne!$O$4 / 10.8)), 1)</f>
        <v>9</v>
      </c>
      <c r="AG39" s="12">
        <f>CEILING('Earth Elemental'!$M$6/ IF('Earth Elemental'!$O$6&lt; 10.8, Table1[[#This Row],[STR]], Table1[[#This Row],[STR]] / ('Earth Elemental'!$O$6 / 10.8)), 1)</f>
        <v>8</v>
      </c>
      <c r="AH39" s="12">
        <f>CEILING('Wind Elemental'!$M$6/ IF('Wind Elemental'!$O$6&lt; 10.8, Table1[[#This Row],[STR]], Table1[[#This Row],[STR]] / ('Wind Elemental'!$O$6 / 10.8)), 1)</f>
        <v>7</v>
      </c>
      <c r="AI39" s="12">
        <f>CEILING('Water Elemental'!$M$6/ IF('Water Elemental'!$O$6&lt; 10.8, Table1[[#This Row],[STR]], Table1[[#This Row],[STR]] / ('Water Elemental'!$O$6 / 10.8)), 1)</f>
        <v>9</v>
      </c>
      <c r="AJ39" s="12">
        <f>CEILING('Fire Elemental'!$M$4/ IF('Fire Elemental'!$O$4&lt; 10.8, Table1[[#This Row],[STR]], Table1[[#This Row],[STR]] / ('Fire Elemental'!$O$4 / 10.8)), 1)</f>
        <v>14</v>
      </c>
      <c r="AK39" s="15">
        <f>CEILING(Wyvern!$M$4/ IF(Wyvern!$O$4&lt; 10.8, Table1[[#This Row],[STR]], Table1[[#This Row],[STR]] / (Wyvern!$O$4 / 10.8)), 1)</f>
        <v>17</v>
      </c>
      <c r="AL39" s="15">
        <f>CEILING('Evolved Wyvern'!$M$4/ IF('Evolved Wyvern'!$O$4&lt; 10.8, Table1[[#This Row],[STR]], Table1[[#This Row],[STR]] / ('Evolved Wyvern'!$O$4 / 10.8)), 1)</f>
        <v>23</v>
      </c>
      <c r="AM39" s="15">
        <f>CEILING(Dragon!$M$4/ IF(Dragon!$O$4&lt; 10.8, Table1[[#This Row],[STR]], Table1[[#This Row],[STR]] / (Dragon!$O$4 / 10.8)), 1)</f>
        <v>37</v>
      </c>
      <c r="AO39" s="8">
        <f>CEILING('Blue Slime'!$Z$5/ IF('Blue Slime'!$X$5&lt; 10.8, Table1[[#This Row],[STR]], Table1[[#This Row],[STR]] / ('Blue Slime'!$X$5 / 10.8)), 1)</f>
        <v>1</v>
      </c>
      <c r="AP39" s="8">
        <f>CEILING('Green Slime'!$Z$5/ IF('Green Slime'!$X$5&lt; 10.8, Table1[[#This Row],[STR]], Table1[[#This Row],[STR]] / ('Green Slime'!$X$5 / 10.8)), 1)</f>
        <v>1</v>
      </c>
      <c r="AQ39" s="8">
        <f>CEILING(Wolf!$Z$6/ IF(Wolf!$X$6&lt; 10.8, Table1[[#This Row],[STR]], Table1[[#This Row],[STR]] / (Wolf!$X$6 / 10.8)), 1)</f>
        <v>3</v>
      </c>
      <c r="AR39" s="8">
        <f>CEILING('Horned Wolf'!$Z$5/ IF('Horned Wolf'!$X$5&lt; 10.8, Table1[[#This Row],[STR]], Table1[[#This Row],[STR]] / ('Horned Wolf'!$X$5 / 10.8)), 1)</f>
        <v>7</v>
      </c>
      <c r="AS39" s="8">
        <f>CEILING(Spider!$Z$7/ IF(Spider!$X$7&lt; 10.8, Table1[[#This Row],[STR]], Table1[[#This Row],[STR]] / (Spider!$X$7 / 10.8)), 1)</f>
        <v>6</v>
      </c>
      <c r="AT39" s="8">
        <f>CEILING('Evolved Spider'!$Z$8/ IF('Evolved Spider'!$X$8&lt; 10.8, Table1[[#This Row],[STR]], Table1[[#This Row],[STR]] / ('Evolved Spider'!$X$8 / 10.8)), 1)</f>
        <v>11</v>
      </c>
      <c r="AU39" s="8">
        <f>CEILING(Arachne!$Z$4/ IF(Arachne!$X$4&lt; 10.8, Table1[[#This Row],[STR]], Table1[[#This Row],[STR]] / (Arachne!$X$4 / 10.8)), 1)</f>
        <v>14</v>
      </c>
      <c r="AV39" s="12">
        <f>CEILING('Earth Elemental'!$Z$6/ IF('Earth Elemental'!$X$6&lt; 10.8, Table1[[#This Row],[STR]], Table1[[#This Row],[STR]] / ('Earth Elemental'!$X$6 / 10.8)), 1)</f>
        <v>12</v>
      </c>
      <c r="AW39" s="12">
        <f>CEILING('Wind Elemental'!$Z$6/ IF('Wind Elemental'!$X$6&lt; 10.8, Table1[[#This Row],[STR]], Table1[[#This Row],[STR]] / ('Wind Elemental'!$X$6 / 10.8)), 1)</f>
        <v>9</v>
      </c>
      <c r="AX39" s="12">
        <f>CEILING('Water Elemental'!$Z$6/ IF('Water Elemental'!$X$6&lt; 10.8, Table1[[#This Row],[STR]], Table1[[#This Row],[STR]] / ('Water Elemental'!$X$6 / 10.8)), 1)</f>
        <v>13</v>
      </c>
      <c r="AY39" s="12">
        <f>CEILING('Fire Elemental'!$Z$4/ IF('Fire Elemental'!$X$4&lt; 10.8, Table1[[#This Row],[STR]], Table1[[#This Row],[STR]] / ('Fire Elemental'!$X$4 / 10.8)), 1)</f>
        <v>21</v>
      </c>
      <c r="AZ39" s="15">
        <f>CEILING(Wyvern!$Z$4/ IF(Wyvern!$X$4&lt; 10.8, Table1[[#This Row],[STR]], Table1[[#This Row],[STR]] / (Wyvern!$X$4 / 10.8)), 1)</f>
        <v>25</v>
      </c>
      <c r="BA39" s="15">
        <f>CEILING('Evolved Wyvern'!$Z$4/ IF('Evolved Wyvern'!$X$4&lt; 10.8, Table1[[#This Row],[STR]], Table1[[#This Row],[STR]] / ('Evolved Wyvern'!$X$4 / 10.8)), 1)</f>
        <v>32</v>
      </c>
      <c r="BB39" s="15">
        <f>CEILING(Dragon!$Z$4/ IF(Dragon!$X$4&lt; 10.8, Table1[[#This Row],[STR]], Table1[[#This Row],[STR]] / (Dragon!$X$4 / 10.8)), 1)</f>
        <v>53</v>
      </c>
    </row>
    <row r="40" spans="1:54" x14ac:dyDescent="0.3">
      <c r="A40" s="1">
        <v>38</v>
      </c>
      <c r="B40" s="1">
        <f>$B$3 + ((Table1[[#This Row],[Level]] / 10) + $B$3 / 8) * Table1[[#This Row],[Level]]+ Equipment!$AK$34</f>
        <v>287.39999999999998</v>
      </c>
      <c r="C40" s="1">
        <f xml:space="preserve"> 2*Table1[[#This Row],[INT]]</f>
        <v>178</v>
      </c>
      <c r="D40" s="1">
        <f>$D$3 + ($D$3 / 4) * Table1[[#This Row],[Level]]+ Equipment!$AL$34</f>
        <v>89</v>
      </c>
      <c r="E40" s="1">
        <f>$E$3 + ($E$3 / 4) * Table1[[#This Row],[Level]]+ Equipment!$AM$34</f>
        <v>73.5</v>
      </c>
      <c r="F40" s="1">
        <f>$F$3 + ($F$3 / 4) * Table1[[#This Row],[Level]]+ Equipment!$AN$34</f>
        <v>118</v>
      </c>
      <c r="G40" s="1">
        <f>$G$3 + ($G$3 / 4) * Table1[[#This Row],[Level]]+ Equipment!$AO$34</f>
        <v>89</v>
      </c>
      <c r="H40" s="1">
        <f>$H$3 + ($H$3 / 4) * Table1[[#This Row],[Level]]+ Equipment!$AP$34</f>
        <v>103.5</v>
      </c>
      <c r="I40" s="34">
        <f xml:space="preserve"> (4 * (Table1[[#This Row],[Level]] ^ 3))/7 + $I$3</f>
        <v>31455.428571428572</v>
      </c>
      <c r="K40" s="8">
        <f>CEILING('Blue Slime'!$B$5/ IF('Blue Slime'!$D$5&lt; 10.8, Table1[[#This Row],[STR]], Table1[[#This Row],[STR]] / ('Blue Slime'!$D$5 / 10.8)), 1)</f>
        <v>1</v>
      </c>
      <c r="L40" s="8">
        <f>CEILING('Green Slime'!$B$5/ IF('Green Slime'!$D$5&lt; 10.8, Table1[[#This Row],[STR]], Table1[[#This Row],[STR]] / ('Green Slime'!$D$5 / 10.8)), 1)</f>
        <v>1</v>
      </c>
      <c r="M40" s="8">
        <f>CEILING(Wolf!$B$6/ IF(Wolf!$D$6&lt; 10.8, Table1[[#This Row],[STR]], Table1[[#This Row],[STR]] / (Wolf!$D$6 / 10.8)), 1)</f>
        <v>1</v>
      </c>
      <c r="N40" s="8">
        <f>CEILING('Horned Wolf'!$B$5/ IF('Horned Wolf'!$D$5&lt; 10.8, Table1[[#This Row],[STR]], Table1[[#This Row],[STR]] / ('Horned Wolf'!$D$5 / 10.8)), 1)</f>
        <v>2</v>
      </c>
      <c r="O40" s="8">
        <f>CEILING(Spider!$B$7/ IF(Spider!$D$7&lt; 10.8, Table1[[#This Row],[STR]], Table1[[#This Row],[STR]] / (Spider!$D$7 / 10.8)), 1)</f>
        <v>2</v>
      </c>
      <c r="P40" s="8">
        <f>CEILING('Evolved Spider'!$B$8/ IF('Evolved Spider'!$D$8&lt; 10.8, Table1[[#This Row],[STR]], Table1[[#This Row],[STR]] / ('Evolved Spider'!$D$8 / 10.8)), 1)</f>
        <v>4</v>
      </c>
      <c r="Q40" s="8">
        <f>CEILING(Arachne!$B$4/ IF(Arachne!$D$4&lt; 10.8, Table1[[#This Row],[STR]], Table1[[#This Row],[STR]] / (Arachne!$D$4 / 10.8)), 1)</f>
        <v>5</v>
      </c>
      <c r="R40" s="12">
        <f>CEILING('Earth Elemental'!$B$6/ IF('Earth Elemental'!$D$6&lt; 10.8, Table1[[#This Row],[STR]], Table1[[#This Row],[STR]] / ('Earth Elemental'!$D$6 / 10.8)), 1)</f>
        <v>5</v>
      </c>
      <c r="S40" s="12">
        <f>CEILING('Wind Elemental'!$B$6/ IF('Wind Elemental'!$D$6&lt; 10.8, Table1[[#This Row],[STR]], Table1[[#This Row],[STR]] / ('Wind Elemental'!$D$6 / 10.8)), 1)</f>
        <v>4</v>
      </c>
      <c r="T40" s="12">
        <f>CEILING('Water Elemental'!$B$6/ IF('Water Elemental'!$D$6&lt; 10.8, Table1[[#This Row],[STR]], Table1[[#This Row],[STR]] / ('Water Elemental'!$D$6 / 10.8)), 1)</f>
        <v>6</v>
      </c>
      <c r="U40" s="12">
        <f>CEILING('Fire Elemental'!$B$4/ IF('Fire Elemental'!$D$4&lt; 10.8, Table1[[#This Row],[STR]], Table1[[#This Row],[STR]] / ('Fire Elemental'!$D$4 / 10.8)), 1)</f>
        <v>8</v>
      </c>
      <c r="V40" s="15">
        <f>CEILING(Wyvern!$B$4/ IF(Wyvern!$D$4&lt; 10.8, Table1[[#This Row],[STR]], Table1[[#This Row],[STR]] / (Wyvern!$D$4 / 10.8)), 1)</f>
        <v>10</v>
      </c>
      <c r="W40" s="15">
        <f>CEILING('Evolved Wyvern'!$B$4/ IF('Evolved Wyvern'!$D$4&lt; 10.8, Table1[[#This Row],[STR]], Table1[[#This Row],[STR]] / ('Evolved Wyvern'!$D$4 / 10.8)), 1)</f>
        <v>14</v>
      </c>
      <c r="X40" s="15">
        <f>CEILING(Dragon!$B$4/ IF(Dragon!$D$4&lt; 10.8, Table1[[#This Row],[STR]], Table1[[#This Row],[STR]] / (Dragon!$D$4 / 10.8)), 1)</f>
        <v>23</v>
      </c>
      <c r="Z40" s="8">
        <f>CEILING('Blue Slime'!$M$5/ IF('Blue Slime'!$O$5&lt; 10.8, Table1[[#This Row],[STR]], Table1[[#This Row],[STR]] / ('Blue Slime'!$O$5 / 10.8)), 1)</f>
        <v>1</v>
      </c>
      <c r="AA40" s="8">
        <f>CEILING('Green Slime'!$M$5/ IF('Green Slime'!$O$5&lt; 10.8, Table1[[#This Row],[STR]], Table1[[#This Row],[STR]] / ('Green Slime'!$O$5 / 10.8)), 1)</f>
        <v>1</v>
      </c>
      <c r="AB40" s="8">
        <f>CEILING(Wolf!$M$6/ IF(Wolf!$O$6&lt; 10.8, Table1[[#This Row],[STR]], Table1[[#This Row],[STR]] / (Wolf!$O$6 / 10.8)), 1)</f>
        <v>2</v>
      </c>
      <c r="AC40" s="8">
        <f>CEILING('Horned Wolf'!$M$5/ IF('Horned Wolf'!$O$5&lt; 10.8, Table1[[#This Row],[STR]], Table1[[#This Row],[STR]] / ('Horned Wolf'!$O$5 / 10.8)), 1)</f>
        <v>4</v>
      </c>
      <c r="AD40" s="8">
        <f>CEILING(Spider!$M$7/ IF(Spider!$O$7&lt; 10.8, Table1[[#This Row],[STR]], Table1[[#This Row],[STR]] / (Spider!$O$7 / 10.8)), 1)</f>
        <v>4</v>
      </c>
      <c r="AE40" s="8">
        <f>CEILING('Evolved Spider'!$M$8/ IF('Evolved Spider'!$O$8&lt; 10.8, Table1[[#This Row],[STR]], Table1[[#This Row],[STR]] / ('Evolved Spider'!$O$8 / 10.8)), 1)</f>
        <v>7</v>
      </c>
      <c r="AF40" s="8">
        <f>CEILING(Arachne!$M$4/ IF(Arachne!$O$4&lt; 10.8, Table1[[#This Row],[STR]], Table1[[#This Row],[STR]] / (Arachne!$O$4 / 10.8)), 1)</f>
        <v>9</v>
      </c>
      <c r="AG40" s="12">
        <f>CEILING('Earth Elemental'!$M$6/ IF('Earth Elemental'!$O$6&lt; 10.8, Table1[[#This Row],[STR]], Table1[[#This Row],[STR]] / ('Earth Elemental'!$O$6 / 10.8)), 1)</f>
        <v>8</v>
      </c>
      <c r="AH40" s="12">
        <f>CEILING('Wind Elemental'!$M$6/ IF('Wind Elemental'!$O$6&lt; 10.8, Table1[[#This Row],[STR]], Table1[[#This Row],[STR]] / ('Wind Elemental'!$O$6 / 10.8)), 1)</f>
        <v>7</v>
      </c>
      <c r="AI40" s="12">
        <f>CEILING('Water Elemental'!$M$6/ IF('Water Elemental'!$O$6&lt; 10.8, Table1[[#This Row],[STR]], Table1[[#This Row],[STR]] / ('Water Elemental'!$O$6 / 10.8)), 1)</f>
        <v>9</v>
      </c>
      <c r="AJ40" s="12">
        <f>CEILING('Fire Elemental'!$M$4/ IF('Fire Elemental'!$O$4&lt; 10.8, Table1[[#This Row],[STR]], Table1[[#This Row],[STR]] / ('Fire Elemental'!$O$4 / 10.8)), 1)</f>
        <v>13</v>
      </c>
      <c r="AK40" s="15">
        <f>CEILING(Wyvern!$M$4/ IF(Wyvern!$O$4&lt; 10.8, Table1[[#This Row],[STR]], Table1[[#This Row],[STR]] / (Wyvern!$O$4 / 10.8)), 1)</f>
        <v>17</v>
      </c>
      <c r="AL40" s="15">
        <f>CEILING('Evolved Wyvern'!$M$4/ IF('Evolved Wyvern'!$O$4&lt; 10.8, Table1[[#This Row],[STR]], Table1[[#This Row],[STR]] / ('Evolved Wyvern'!$O$4 / 10.8)), 1)</f>
        <v>22</v>
      </c>
      <c r="AM40" s="15">
        <f>CEILING(Dragon!$M$4/ IF(Dragon!$O$4&lt; 10.8, Table1[[#This Row],[STR]], Table1[[#This Row],[STR]] / (Dragon!$O$4 / 10.8)), 1)</f>
        <v>37</v>
      </c>
      <c r="AO40" s="8">
        <f>CEILING('Blue Slime'!$Z$5/ IF('Blue Slime'!$X$5&lt; 10.8, Table1[[#This Row],[STR]], Table1[[#This Row],[STR]] / ('Blue Slime'!$X$5 / 10.8)), 1)</f>
        <v>1</v>
      </c>
      <c r="AP40" s="8">
        <f>CEILING('Green Slime'!$Z$5/ IF('Green Slime'!$X$5&lt; 10.8, Table1[[#This Row],[STR]], Table1[[#This Row],[STR]] / ('Green Slime'!$X$5 / 10.8)), 1)</f>
        <v>1</v>
      </c>
      <c r="AQ40" s="8">
        <f>CEILING(Wolf!$Z$6/ IF(Wolf!$X$6&lt; 10.8, Table1[[#This Row],[STR]], Table1[[#This Row],[STR]] / (Wolf!$X$6 / 10.8)), 1)</f>
        <v>3</v>
      </c>
      <c r="AR40" s="8">
        <f>CEILING('Horned Wolf'!$Z$5/ IF('Horned Wolf'!$X$5&lt; 10.8, Table1[[#This Row],[STR]], Table1[[#This Row],[STR]] / ('Horned Wolf'!$X$5 / 10.8)), 1)</f>
        <v>7</v>
      </c>
      <c r="AS40" s="8">
        <f>CEILING(Spider!$Z$7/ IF(Spider!$X$7&lt; 10.8, Table1[[#This Row],[STR]], Table1[[#This Row],[STR]] / (Spider!$X$7 / 10.8)), 1)</f>
        <v>6</v>
      </c>
      <c r="AT40" s="8">
        <f>CEILING('Evolved Spider'!$Z$8/ IF('Evolved Spider'!$X$8&lt; 10.8, Table1[[#This Row],[STR]], Table1[[#This Row],[STR]] / ('Evolved Spider'!$X$8 / 10.8)), 1)</f>
        <v>10</v>
      </c>
      <c r="AU40" s="8">
        <f>CEILING(Arachne!$Z$4/ IF(Arachne!$X$4&lt; 10.8, Table1[[#This Row],[STR]], Table1[[#This Row],[STR]] / (Arachne!$X$4 / 10.8)), 1)</f>
        <v>14</v>
      </c>
      <c r="AV40" s="12">
        <f>CEILING('Earth Elemental'!$Z$6/ IF('Earth Elemental'!$X$6&lt; 10.8, Table1[[#This Row],[STR]], Table1[[#This Row],[STR]] / ('Earth Elemental'!$X$6 / 10.8)), 1)</f>
        <v>12</v>
      </c>
      <c r="AW40" s="12">
        <f>CEILING('Wind Elemental'!$Z$6/ IF('Wind Elemental'!$X$6&lt; 10.8, Table1[[#This Row],[STR]], Table1[[#This Row],[STR]] / ('Wind Elemental'!$X$6 / 10.8)), 1)</f>
        <v>9</v>
      </c>
      <c r="AX40" s="12">
        <f>CEILING('Water Elemental'!$Z$6/ IF('Water Elemental'!$X$6&lt; 10.8, Table1[[#This Row],[STR]], Table1[[#This Row],[STR]] / ('Water Elemental'!$X$6 / 10.8)), 1)</f>
        <v>13</v>
      </c>
      <c r="AY40" s="12">
        <f>CEILING('Fire Elemental'!$Z$4/ IF('Fire Elemental'!$X$4&lt; 10.8, Table1[[#This Row],[STR]], Table1[[#This Row],[STR]] / ('Fire Elemental'!$X$4 / 10.8)), 1)</f>
        <v>20</v>
      </c>
      <c r="AZ40" s="15">
        <f>CEILING(Wyvern!$Z$4/ IF(Wyvern!$X$4&lt; 10.8, Table1[[#This Row],[STR]], Table1[[#This Row],[STR]] / (Wyvern!$X$4 / 10.8)), 1)</f>
        <v>24</v>
      </c>
      <c r="BA40" s="15">
        <f>CEILING('Evolved Wyvern'!$Z$4/ IF('Evolved Wyvern'!$X$4&lt; 10.8, Table1[[#This Row],[STR]], Table1[[#This Row],[STR]] / ('Evolved Wyvern'!$X$4 / 10.8)), 1)</f>
        <v>31</v>
      </c>
      <c r="BB40" s="15">
        <f>CEILING(Dragon!$Z$4/ IF(Dragon!$X$4&lt; 10.8, Table1[[#This Row],[STR]], Table1[[#This Row],[STR]] / (Dragon!$X$4 / 10.8)), 1)</f>
        <v>52</v>
      </c>
    </row>
    <row r="41" spans="1:54" x14ac:dyDescent="0.3">
      <c r="A41" s="1">
        <v>39</v>
      </c>
      <c r="B41" s="1">
        <f>$B$3 + ((Table1[[#This Row],[Level]] / 10) + $B$3 / 8) * Table1[[#This Row],[Level]]+ Equipment!$AK$34</f>
        <v>296.60000000000002</v>
      </c>
      <c r="C41" s="1">
        <f xml:space="preserve"> 2*Table1[[#This Row],[INT]]</f>
        <v>181</v>
      </c>
      <c r="D41" s="1">
        <f>$D$3 + ($D$3 / 4) * Table1[[#This Row],[Level]]+ Equipment!$AL$34</f>
        <v>90.5</v>
      </c>
      <c r="E41" s="1">
        <f>$E$3 + ($E$3 / 4) * Table1[[#This Row],[Level]]+ Equipment!$AM$34</f>
        <v>74.75</v>
      </c>
      <c r="F41" s="1">
        <f>$F$3 + ($F$3 / 4) * Table1[[#This Row],[Level]]+ Equipment!$AN$34</f>
        <v>120</v>
      </c>
      <c r="G41" s="1">
        <f>$G$3 + ($G$3 / 4) * Table1[[#This Row],[Level]]+ Equipment!$AO$34</f>
        <v>90.5</v>
      </c>
      <c r="H41" s="1">
        <f>$H$3 + ($H$3 / 4) * Table1[[#This Row],[Level]]+ Equipment!$AP$34</f>
        <v>105.25</v>
      </c>
      <c r="I41" s="34">
        <f xml:space="preserve"> (4 * (Table1[[#This Row],[Level]] ^ 3))/7 + $I$3</f>
        <v>33996.571428571428</v>
      </c>
      <c r="K41" s="8">
        <f>CEILING('Blue Slime'!$B$5/ IF('Blue Slime'!$D$5&lt; 10.8, Table1[[#This Row],[STR]], Table1[[#This Row],[STR]] / ('Blue Slime'!$D$5 / 10.8)), 1)</f>
        <v>1</v>
      </c>
      <c r="L41" s="8">
        <f>CEILING('Green Slime'!$B$5/ IF('Green Slime'!$D$5&lt; 10.8, Table1[[#This Row],[STR]], Table1[[#This Row],[STR]] / ('Green Slime'!$D$5 / 10.8)), 1)</f>
        <v>1</v>
      </c>
      <c r="M41" s="8">
        <f>CEILING(Wolf!$B$6/ IF(Wolf!$D$6&lt; 10.8, Table1[[#This Row],[STR]], Table1[[#This Row],[STR]] / (Wolf!$D$6 / 10.8)), 1)</f>
        <v>1</v>
      </c>
      <c r="N41" s="8">
        <f>CEILING('Horned Wolf'!$B$5/ IF('Horned Wolf'!$D$5&lt; 10.8, Table1[[#This Row],[STR]], Table1[[#This Row],[STR]] / ('Horned Wolf'!$D$5 / 10.8)), 1)</f>
        <v>2</v>
      </c>
      <c r="O41" s="8">
        <f>CEILING(Spider!$B$7/ IF(Spider!$D$7&lt; 10.8, Table1[[#This Row],[STR]], Table1[[#This Row],[STR]] / (Spider!$D$7 / 10.8)), 1)</f>
        <v>2</v>
      </c>
      <c r="P41" s="8">
        <f>CEILING('Evolved Spider'!$B$8/ IF('Evolved Spider'!$D$8&lt; 10.8, Table1[[#This Row],[STR]], Table1[[#This Row],[STR]] / ('Evolved Spider'!$D$8 / 10.8)), 1)</f>
        <v>4</v>
      </c>
      <c r="Q41" s="8">
        <f>CEILING(Arachne!$B$4/ IF(Arachne!$D$4&lt; 10.8, Table1[[#This Row],[STR]], Table1[[#This Row],[STR]] / (Arachne!$D$4 / 10.8)), 1)</f>
        <v>5</v>
      </c>
      <c r="R41" s="12">
        <f>CEILING('Earth Elemental'!$B$6/ IF('Earth Elemental'!$D$6&lt; 10.8, Table1[[#This Row],[STR]], Table1[[#This Row],[STR]] / ('Earth Elemental'!$D$6 / 10.8)), 1)</f>
        <v>5</v>
      </c>
      <c r="S41" s="12">
        <f>CEILING('Wind Elemental'!$B$6/ IF('Wind Elemental'!$D$6&lt; 10.8, Table1[[#This Row],[STR]], Table1[[#This Row],[STR]] / ('Wind Elemental'!$D$6 / 10.8)), 1)</f>
        <v>4</v>
      </c>
      <c r="T41" s="12">
        <f>CEILING('Water Elemental'!$B$6/ IF('Water Elemental'!$D$6&lt; 10.8, Table1[[#This Row],[STR]], Table1[[#This Row],[STR]] / ('Water Elemental'!$D$6 / 10.8)), 1)</f>
        <v>6</v>
      </c>
      <c r="U41" s="12">
        <f>CEILING('Fire Elemental'!$B$4/ IF('Fire Elemental'!$D$4&lt; 10.8, Table1[[#This Row],[STR]], Table1[[#This Row],[STR]] / ('Fire Elemental'!$D$4 / 10.8)), 1)</f>
        <v>8</v>
      </c>
      <c r="V41" s="15">
        <f>CEILING(Wyvern!$B$4/ IF(Wyvern!$D$4&lt; 10.8, Table1[[#This Row],[STR]], Table1[[#This Row],[STR]] / (Wyvern!$D$4 / 10.8)), 1)</f>
        <v>10</v>
      </c>
      <c r="W41" s="15">
        <f>CEILING('Evolved Wyvern'!$B$4/ IF('Evolved Wyvern'!$D$4&lt; 10.8, Table1[[#This Row],[STR]], Table1[[#This Row],[STR]] / ('Evolved Wyvern'!$D$4 / 10.8)), 1)</f>
        <v>14</v>
      </c>
      <c r="X41" s="15">
        <f>CEILING(Dragon!$B$4/ IF(Dragon!$D$4&lt; 10.8, Table1[[#This Row],[STR]], Table1[[#This Row],[STR]] / (Dragon!$D$4 / 10.8)), 1)</f>
        <v>23</v>
      </c>
      <c r="Z41" s="8">
        <f>CEILING('Blue Slime'!$M$5/ IF('Blue Slime'!$O$5&lt; 10.8, Table1[[#This Row],[STR]], Table1[[#This Row],[STR]] / ('Blue Slime'!$O$5 / 10.8)), 1)</f>
        <v>1</v>
      </c>
      <c r="AA41" s="8">
        <f>CEILING('Green Slime'!$M$5/ IF('Green Slime'!$O$5&lt; 10.8, Table1[[#This Row],[STR]], Table1[[#This Row],[STR]] / ('Green Slime'!$O$5 / 10.8)), 1)</f>
        <v>1</v>
      </c>
      <c r="AB41" s="8">
        <f>CEILING(Wolf!$M$6/ IF(Wolf!$O$6&lt; 10.8, Table1[[#This Row],[STR]], Table1[[#This Row],[STR]] / (Wolf!$O$6 / 10.8)), 1)</f>
        <v>2</v>
      </c>
      <c r="AC41" s="8">
        <f>CEILING('Horned Wolf'!$M$5/ IF('Horned Wolf'!$O$5&lt; 10.8, Table1[[#This Row],[STR]], Table1[[#This Row],[STR]] / ('Horned Wolf'!$O$5 / 10.8)), 1)</f>
        <v>4</v>
      </c>
      <c r="AD41" s="8">
        <f>CEILING(Spider!$M$7/ IF(Spider!$O$7&lt; 10.8, Table1[[#This Row],[STR]], Table1[[#This Row],[STR]] / (Spider!$O$7 / 10.8)), 1)</f>
        <v>4</v>
      </c>
      <c r="AE41" s="8">
        <f>CEILING('Evolved Spider'!$M$8/ IF('Evolved Spider'!$O$8&lt; 10.8, Table1[[#This Row],[STR]], Table1[[#This Row],[STR]] / ('Evolved Spider'!$O$8 / 10.8)), 1)</f>
        <v>6</v>
      </c>
      <c r="AF41" s="8">
        <f>CEILING(Arachne!$M$4/ IF(Arachne!$O$4&lt; 10.8, Table1[[#This Row],[STR]], Table1[[#This Row],[STR]] / (Arachne!$O$4 / 10.8)), 1)</f>
        <v>9</v>
      </c>
      <c r="AG41" s="12">
        <f>CEILING('Earth Elemental'!$M$6/ IF('Earth Elemental'!$O$6&lt; 10.8, Table1[[#This Row],[STR]], Table1[[#This Row],[STR]] / ('Earth Elemental'!$O$6 / 10.8)), 1)</f>
        <v>8</v>
      </c>
      <c r="AH41" s="12">
        <f>CEILING('Wind Elemental'!$M$6/ IF('Wind Elemental'!$O$6&lt; 10.8, Table1[[#This Row],[STR]], Table1[[#This Row],[STR]] / ('Wind Elemental'!$O$6 / 10.8)), 1)</f>
        <v>7</v>
      </c>
      <c r="AI41" s="12">
        <f>CEILING('Water Elemental'!$M$6/ IF('Water Elemental'!$O$6&lt; 10.8, Table1[[#This Row],[STR]], Table1[[#This Row],[STR]] / ('Water Elemental'!$O$6 / 10.8)), 1)</f>
        <v>9</v>
      </c>
      <c r="AJ41" s="12">
        <f>CEILING('Fire Elemental'!$M$4/ IF('Fire Elemental'!$O$4&lt; 10.8, Table1[[#This Row],[STR]], Table1[[#This Row],[STR]] / ('Fire Elemental'!$O$4 / 10.8)), 1)</f>
        <v>13</v>
      </c>
      <c r="AK41" s="15">
        <f>CEILING(Wyvern!$M$4/ IF(Wyvern!$O$4&lt; 10.8, Table1[[#This Row],[STR]], Table1[[#This Row],[STR]] / (Wyvern!$O$4 / 10.8)), 1)</f>
        <v>17</v>
      </c>
      <c r="AL41" s="15">
        <f>CEILING('Evolved Wyvern'!$M$4/ IF('Evolved Wyvern'!$O$4&lt; 10.8, Table1[[#This Row],[STR]], Table1[[#This Row],[STR]] / ('Evolved Wyvern'!$O$4 / 10.8)), 1)</f>
        <v>22</v>
      </c>
      <c r="AM41" s="15">
        <f>CEILING(Dragon!$M$4/ IF(Dragon!$O$4&lt; 10.8, Table1[[#This Row],[STR]], Table1[[#This Row],[STR]] / (Dragon!$O$4 / 10.8)), 1)</f>
        <v>36</v>
      </c>
      <c r="AO41" s="8">
        <f>CEILING('Blue Slime'!$Z$5/ IF('Blue Slime'!$X$5&lt; 10.8, Table1[[#This Row],[STR]], Table1[[#This Row],[STR]] / ('Blue Slime'!$X$5 / 10.8)), 1)</f>
        <v>1</v>
      </c>
      <c r="AP41" s="8">
        <f>CEILING('Green Slime'!$Z$5/ IF('Green Slime'!$X$5&lt; 10.8, Table1[[#This Row],[STR]], Table1[[#This Row],[STR]] / ('Green Slime'!$X$5 / 10.8)), 1)</f>
        <v>1</v>
      </c>
      <c r="AQ41" s="8">
        <f>CEILING(Wolf!$Z$6/ IF(Wolf!$X$6&lt; 10.8, Table1[[#This Row],[STR]], Table1[[#This Row],[STR]] / (Wolf!$X$6 / 10.8)), 1)</f>
        <v>3</v>
      </c>
      <c r="AR41" s="8">
        <f>CEILING('Horned Wolf'!$Z$5/ IF('Horned Wolf'!$X$5&lt; 10.8, Table1[[#This Row],[STR]], Table1[[#This Row],[STR]] / ('Horned Wolf'!$X$5 / 10.8)), 1)</f>
        <v>7</v>
      </c>
      <c r="AS41" s="8">
        <f>CEILING(Spider!$Z$7/ IF(Spider!$X$7&lt; 10.8, Table1[[#This Row],[STR]], Table1[[#This Row],[STR]] / (Spider!$X$7 / 10.8)), 1)</f>
        <v>6</v>
      </c>
      <c r="AT41" s="8">
        <f>CEILING('Evolved Spider'!$Z$8/ IF('Evolved Spider'!$X$8&lt; 10.8, Table1[[#This Row],[STR]], Table1[[#This Row],[STR]] / ('Evolved Spider'!$X$8 / 10.8)), 1)</f>
        <v>10</v>
      </c>
      <c r="AU41" s="8">
        <f>CEILING(Arachne!$Z$4/ IF(Arachne!$X$4&lt; 10.8, Table1[[#This Row],[STR]], Table1[[#This Row],[STR]] / (Arachne!$X$4 / 10.8)), 1)</f>
        <v>14</v>
      </c>
      <c r="AV41" s="12">
        <f>CEILING('Earth Elemental'!$Z$6/ IF('Earth Elemental'!$X$6&lt; 10.8, Table1[[#This Row],[STR]], Table1[[#This Row],[STR]] / ('Earth Elemental'!$X$6 / 10.8)), 1)</f>
        <v>12</v>
      </c>
      <c r="AW41" s="12">
        <f>CEILING('Wind Elemental'!$Z$6/ IF('Wind Elemental'!$X$6&lt; 10.8, Table1[[#This Row],[STR]], Table1[[#This Row],[STR]] / ('Wind Elemental'!$X$6 / 10.8)), 1)</f>
        <v>9</v>
      </c>
      <c r="AX41" s="12">
        <f>CEILING('Water Elemental'!$Z$6/ IF('Water Elemental'!$X$6&lt; 10.8, Table1[[#This Row],[STR]], Table1[[#This Row],[STR]] / ('Water Elemental'!$X$6 / 10.8)), 1)</f>
        <v>12</v>
      </c>
      <c r="AY41" s="12">
        <f>CEILING('Fire Elemental'!$Z$4/ IF('Fire Elemental'!$X$4&lt; 10.8, Table1[[#This Row],[STR]], Table1[[#This Row],[STR]] / ('Fire Elemental'!$X$4 / 10.8)), 1)</f>
        <v>20</v>
      </c>
      <c r="AZ41" s="15">
        <f>CEILING(Wyvern!$Z$4/ IF(Wyvern!$X$4&lt; 10.8, Table1[[#This Row],[STR]], Table1[[#This Row],[STR]] / (Wyvern!$X$4 / 10.8)), 1)</f>
        <v>24</v>
      </c>
      <c r="BA41" s="15">
        <f>CEILING('Evolved Wyvern'!$Z$4/ IF('Evolved Wyvern'!$X$4&lt; 10.8, Table1[[#This Row],[STR]], Table1[[#This Row],[STR]] / ('Evolved Wyvern'!$X$4 / 10.8)), 1)</f>
        <v>31</v>
      </c>
      <c r="BB41" s="15">
        <f>CEILING(Dragon!$Z$4/ IF(Dragon!$X$4&lt; 10.8, Table1[[#This Row],[STR]], Table1[[#This Row],[STR]] / (Dragon!$X$4 / 10.8)), 1)</f>
        <v>51</v>
      </c>
    </row>
    <row r="42" spans="1:54" x14ac:dyDescent="0.3">
      <c r="A42" s="1">
        <v>40</v>
      </c>
      <c r="B42" s="1">
        <f>$B$3 + ((Table1[[#This Row],[Level]] / 10) + $B$3 / 8) * Table1[[#This Row],[Level]]+ Equipment!$AK$34</f>
        <v>306</v>
      </c>
      <c r="C42" s="1">
        <f xml:space="preserve"> 2*Table1[[#This Row],[INT]]</f>
        <v>184</v>
      </c>
      <c r="D42" s="1">
        <f>$D$3 + ($D$3 / 4) * Table1[[#This Row],[Level]]+ Equipment!$AL$34</f>
        <v>92</v>
      </c>
      <c r="E42" s="1">
        <f>$E$3 + ($E$3 / 4) * Table1[[#This Row],[Level]]+ Equipment!$AM$34</f>
        <v>76</v>
      </c>
      <c r="F42" s="1">
        <f>$F$3 + ($F$3 / 4) * Table1[[#This Row],[Level]]+ Equipment!$AN$34</f>
        <v>122</v>
      </c>
      <c r="G42" s="1">
        <f>$G$3 + ($G$3 / 4) * Table1[[#This Row],[Level]]+ Equipment!$AO$34</f>
        <v>92</v>
      </c>
      <c r="H42" s="1">
        <f>$H$3 + ($H$3 / 4) * Table1[[#This Row],[Level]]+ Equipment!$AP$34</f>
        <v>107</v>
      </c>
      <c r="I42" s="34">
        <f xml:space="preserve"> (4 * (Table1[[#This Row],[Level]] ^ 3))/7 + $I$3</f>
        <v>36671.428571428572</v>
      </c>
      <c r="K42" s="8">
        <f>CEILING('Blue Slime'!$B$5/ IF('Blue Slime'!$D$5&lt; 10.8, Table1[[#This Row],[STR]], Table1[[#This Row],[STR]] / ('Blue Slime'!$D$5 / 10.8)), 1)</f>
        <v>1</v>
      </c>
      <c r="L42" s="8">
        <f>CEILING('Green Slime'!$B$5/ IF('Green Slime'!$D$5&lt; 10.8, Table1[[#This Row],[STR]], Table1[[#This Row],[STR]] / ('Green Slime'!$D$5 / 10.8)), 1)</f>
        <v>1</v>
      </c>
      <c r="M42" s="8">
        <f>CEILING(Wolf!$B$6/ IF(Wolf!$D$6&lt; 10.8, Table1[[#This Row],[STR]], Table1[[#This Row],[STR]] / (Wolf!$D$6 / 10.8)), 1)</f>
        <v>1</v>
      </c>
      <c r="N42" s="8">
        <f>CEILING('Horned Wolf'!$B$5/ IF('Horned Wolf'!$D$5&lt; 10.8, Table1[[#This Row],[STR]], Table1[[#This Row],[STR]] / ('Horned Wolf'!$D$5 / 10.8)), 1)</f>
        <v>2</v>
      </c>
      <c r="O42" s="8">
        <f>CEILING(Spider!$B$7/ IF(Spider!$D$7&lt; 10.8, Table1[[#This Row],[STR]], Table1[[#This Row],[STR]] / (Spider!$D$7 / 10.8)), 1)</f>
        <v>2</v>
      </c>
      <c r="P42" s="8">
        <f>CEILING('Evolved Spider'!$B$8/ IF('Evolved Spider'!$D$8&lt; 10.8, Table1[[#This Row],[STR]], Table1[[#This Row],[STR]] / ('Evolved Spider'!$D$8 / 10.8)), 1)</f>
        <v>4</v>
      </c>
      <c r="Q42" s="8">
        <f>CEILING(Arachne!$B$4/ IF(Arachne!$D$4&lt; 10.8, Table1[[#This Row],[STR]], Table1[[#This Row],[STR]] / (Arachne!$D$4 / 10.8)), 1)</f>
        <v>5</v>
      </c>
      <c r="R42" s="12">
        <f>CEILING('Earth Elemental'!$B$6/ IF('Earth Elemental'!$D$6&lt; 10.8, Table1[[#This Row],[STR]], Table1[[#This Row],[STR]] / ('Earth Elemental'!$D$6 / 10.8)), 1)</f>
        <v>5</v>
      </c>
      <c r="S42" s="12">
        <f>CEILING('Wind Elemental'!$B$6/ IF('Wind Elemental'!$D$6&lt; 10.8, Table1[[#This Row],[STR]], Table1[[#This Row],[STR]] / ('Wind Elemental'!$D$6 / 10.8)), 1)</f>
        <v>4</v>
      </c>
      <c r="T42" s="12">
        <f>CEILING('Water Elemental'!$B$6/ IF('Water Elemental'!$D$6&lt; 10.8, Table1[[#This Row],[STR]], Table1[[#This Row],[STR]] / ('Water Elemental'!$D$6 / 10.8)), 1)</f>
        <v>6</v>
      </c>
      <c r="U42" s="12">
        <f>CEILING('Fire Elemental'!$B$4/ IF('Fire Elemental'!$D$4&lt; 10.8, Table1[[#This Row],[STR]], Table1[[#This Row],[STR]] / ('Fire Elemental'!$D$4 / 10.8)), 1)</f>
        <v>8</v>
      </c>
      <c r="V42" s="15">
        <f>CEILING(Wyvern!$B$4/ IF(Wyvern!$D$4&lt; 10.8, Table1[[#This Row],[STR]], Table1[[#This Row],[STR]] / (Wyvern!$D$4 / 10.8)), 1)</f>
        <v>10</v>
      </c>
      <c r="W42" s="15">
        <f>CEILING('Evolved Wyvern'!$B$4/ IF('Evolved Wyvern'!$D$4&lt; 10.8, Table1[[#This Row],[STR]], Table1[[#This Row],[STR]] / ('Evolved Wyvern'!$D$4 / 10.8)), 1)</f>
        <v>14</v>
      </c>
      <c r="X42" s="15">
        <f>CEILING(Dragon!$B$4/ IF(Dragon!$D$4&lt; 10.8, Table1[[#This Row],[STR]], Table1[[#This Row],[STR]] / (Dragon!$D$4 / 10.8)), 1)</f>
        <v>22</v>
      </c>
      <c r="Z42" s="8">
        <f>CEILING('Blue Slime'!$M$5/ IF('Blue Slime'!$O$5&lt; 10.8, Table1[[#This Row],[STR]], Table1[[#This Row],[STR]] / ('Blue Slime'!$O$5 / 10.8)), 1)</f>
        <v>1</v>
      </c>
      <c r="AA42" s="8">
        <f>CEILING('Green Slime'!$M$5/ IF('Green Slime'!$O$5&lt; 10.8, Table1[[#This Row],[STR]], Table1[[#This Row],[STR]] / ('Green Slime'!$O$5 / 10.8)), 1)</f>
        <v>1</v>
      </c>
      <c r="AB42" s="8">
        <f>CEILING(Wolf!$M$6/ IF(Wolf!$O$6&lt; 10.8, Table1[[#This Row],[STR]], Table1[[#This Row],[STR]] / (Wolf!$O$6 / 10.8)), 1)</f>
        <v>2</v>
      </c>
      <c r="AC42" s="8">
        <f>CEILING('Horned Wolf'!$M$5/ IF('Horned Wolf'!$O$5&lt; 10.8, Table1[[#This Row],[STR]], Table1[[#This Row],[STR]] / ('Horned Wolf'!$O$5 / 10.8)), 1)</f>
        <v>4</v>
      </c>
      <c r="AD42" s="8">
        <f>CEILING(Spider!$M$7/ IF(Spider!$O$7&lt; 10.8, Table1[[#This Row],[STR]], Table1[[#This Row],[STR]] / (Spider!$O$7 / 10.8)), 1)</f>
        <v>4</v>
      </c>
      <c r="AE42" s="8">
        <f>CEILING('Evolved Spider'!$M$8/ IF('Evolved Spider'!$O$8&lt; 10.8, Table1[[#This Row],[STR]], Table1[[#This Row],[STR]] / ('Evolved Spider'!$O$8 / 10.8)), 1)</f>
        <v>6</v>
      </c>
      <c r="AF42" s="8">
        <f>CEILING(Arachne!$M$4/ IF(Arachne!$O$4&lt; 10.8, Table1[[#This Row],[STR]], Table1[[#This Row],[STR]] / (Arachne!$O$4 / 10.8)), 1)</f>
        <v>8</v>
      </c>
      <c r="AG42" s="12">
        <f>CEILING('Earth Elemental'!$M$6/ IF('Earth Elemental'!$O$6&lt; 10.8, Table1[[#This Row],[STR]], Table1[[#This Row],[STR]] / ('Earth Elemental'!$O$6 / 10.8)), 1)</f>
        <v>8</v>
      </c>
      <c r="AH42" s="12">
        <f>CEILING('Wind Elemental'!$M$6/ IF('Wind Elemental'!$O$6&lt; 10.8, Table1[[#This Row],[STR]], Table1[[#This Row],[STR]] / ('Wind Elemental'!$O$6 / 10.8)), 1)</f>
        <v>6</v>
      </c>
      <c r="AI42" s="12">
        <f>CEILING('Water Elemental'!$M$6/ IF('Water Elemental'!$O$6&lt; 10.8, Table1[[#This Row],[STR]], Table1[[#This Row],[STR]] / ('Water Elemental'!$O$6 / 10.8)), 1)</f>
        <v>9</v>
      </c>
      <c r="AJ42" s="12">
        <f>CEILING('Fire Elemental'!$M$4/ IF('Fire Elemental'!$O$4&lt; 10.8, Table1[[#This Row],[STR]], Table1[[#This Row],[STR]] / ('Fire Elemental'!$O$4 / 10.8)), 1)</f>
        <v>13</v>
      </c>
      <c r="AK42" s="15">
        <f>CEILING(Wyvern!$M$4/ IF(Wyvern!$O$4&lt; 10.8, Table1[[#This Row],[STR]], Table1[[#This Row],[STR]] / (Wyvern!$O$4 / 10.8)), 1)</f>
        <v>16</v>
      </c>
      <c r="AL42" s="15">
        <f>CEILING('Evolved Wyvern'!$M$4/ IF('Evolved Wyvern'!$O$4&lt; 10.8, Table1[[#This Row],[STR]], Table1[[#This Row],[STR]] / ('Evolved Wyvern'!$O$4 / 10.8)), 1)</f>
        <v>22</v>
      </c>
      <c r="AM42" s="15">
        <f>CEILING(Dragon!$M$4/ IF(Dragon!$O$4&lt; 10.8, Table1[[#This Row],[STR]], Table1[[#This Row],[STR]] / (Dragon!$O$4 / 10.8)), 1)</f>
        <v>36</v>
      </c>
      <c r="AO42" s="8">
        <f>CEILING('Blue Slime'!$Z$5/ IF('Blue Slime'!$X$5&lt; 10.8, Table1[[#This Row],[STR]], Table1[[#This Row],[STR]] / ('Blue Slime'!$X$5 / 10.8)), 1)</f>
        <v>1</v>
      </c>
      <c r="AP42" s="8">
        <f>CEILING('Green Slime'!$Z$5/ IF('Green Slime'!$X$5&lt; 10.8, Table1[[#This Row],[STR]], Table1[[#This Row],[STR]] / ('Green Slime'!$X$5 / 10.8)), 1)</f>
        <v>1</v>
      </c>
      <c r="AQ42" s="8">
        <f>CEILING(Wolf!$Z$6/ IF(Wolf!$X$6&lt; 10.8, Table1[[#This Row],[STR]], Table1[[#This Row],[STR]] / (Wolf!$X$6 / 10.8)), 1)</f>
        <v>3</v>
      </c>
      <c r="AR42" s="8">
        <f>CEILING('Horned Wolf'!$Z$5/ IF('Horned Wolf'!$X$5&lt; 10.8, Table1[[#This Row],[STR]], Table1[[#This Row],[STR]] / ('Horned Wolf'!$X$5 / 10.8)), 1)</f>
        <v>7</v>
      </c>
      <c r="AS42" s="8">
        <f>CEILING(Spider!$Z$7/ IF(Spider!$X$7&lt; 10.8, Table1[[#This Row],[STR]], Table1[[#This Row],[STR]] / (Spider!$X$7 / 10.8)), 1)</f>
        <v>6</v>
      </c>
      <c r="AT42" s="8">
        <f>CEILING('Evolved Spider'!$Z$8/ IF('Evolved Spider'!$X$8&lt; 10.8, Table1[[#This Row],[STR]], Table1[[#This Row],[STR]] / ('Evolved Spider'!$X$8 / 10.8)), 1)</f>
        <v>10</v>
      </c>
      <c r="AU42" s="8">
        <f>CEILING(Arachne!$Z$4/ IF(Arachne!$X$4&lt; 10.8, Table1[[#This Row],[STR]], Table1[[#This Row],[STR]] / (Arachne!$X$4 / 10.8)), 1)</f>
        <v>14</v>
      </c>
      <c r="AV42" s="12">
        <f>CEILING('Earth Elemental'!$Z$6/ IF('Earth Elemental'!$X$6&lt; 10.8, Table1[[#This Row],[STR]], Table1[[#This Row],[STR]] / ('Earth Elemental'!$X$6 / 10.8)), 1)</f>
        <v>11</v>
      </c>
      <c r="AW42" s="12">
        <f>CEILING('Wind Elemental'!$Z$6/ IF('Wind Elemental'!$X$6&lt; 10.8, Table1[[#This Row],[STR]], Table1[[#This Row],[STR]] / ('Wind Elemental'!$X$6 / 10.8)), 1)</f>
        <v>9</v>
      </c>
      <c r="AX42" s="12">
        <f>CEILING('Water Elemental'!$Z$6/ IF('Water Elemental'!$X$6&lt; 10.8, Table1[[#This Row],[STR]], Table1[[#This Row],[STR]] / ('Water Elemental'!$X$6 / 10.8)), 1)</f>
        <v>12</v>
      </c>
      <c r="AY42" s="12">
        <f>CEILING('Fire Elemental'!$Z$4/ IF('Fire Elemental'!$X$4&lt; 10.8, Table1[[#This Row],[STR]], Table1[[#This Row],[STR]] / ('Fire Elemental'!$X$4 / 10.8)), 1)</f>
        <v>20</v>
      </c>
      <c r="AZ42" s="15">
        <f>CEILING(Wyvern!$Z$4/ IF(Wyvern!$X$4&lt; 10.8, Table1[[#This Row],[STR]], Table1[[#This Row],[STR]] / (Wyvern!$X$4 / 10.8)), 1)</f>
        <v>24</v>
      </c>
      <c r="BA42" s="15">
        <f>CEILING('Evolved Wyvern'!$Z$4/ IF('Evolved Wyvern'!$X$4&lt; 10.8, Table1[[#This Row],[STR]], Table1[[#This Row],[STR]] / ('Evolved Wyvern'!$X$4 / 10.8)), 1)</f>
        <v>30</v>
      </c>
      <c r="BB42" s="15">
        <f>CEILING(Dragon!$Z$4/ IF(Dragon!$X$4&lt; 10.8, Table1[[#This Row],[STR]], Table1[[#This Row],[STR]] / (Dragon!$X$4 / 10.8)), 1)</f>
        <v>50</v>
      </c>
    </row>
    <row r="43" spans="1:54" x14ac:dyDescent="0.3">
      <c r="A43" s="1">
        <v>41</v>
      </c>
      <c r="B43" s="1">
        <f>$B$3 + ((Table1[[#This Row],[Level]] / 10) + $B$3 / 8) * Table1[[#This Row],[Level]]+ Equipment!$AK$34</f>
        <v>315.60000000000002</v>
      </c>
      <c r="C43" s="1">
        <f xml:space="preserve"> 2*Table1[[#This Row],[INT]]</f>
        <v>187</v>
      </c>
      <c r="D43" s="1">
        <f>$D$3 + ($D$3 / 4) * Table1[[#This Row],[Level]]+ Equipment!$AL$34</f>
        <v>93.5</v>
      </c>
      <c r="E43" s="1">
        <f>$E$3 + ($E$3 / 4) * Table1[[#This Row],[Level]]+ Equipment!$AM$34</f>
        <v>77.25</v>
      </c>
      <c r="F43" s="1">
        <f>$F$3 + ($F$3 / 4) * Table1[[#This Row],[Level]]+ Equipment!$AN$34</f>
        <v>124</v>
      </c>
      <c r="G43" s="1">
        <f>$G$3 + ($G$3 / 4) * Table1[[#This Row],[Level]]+ Equipment!$AO$34</f>
        <v>93.5</v>
      </c>
      <c r="H43" s="1">
        <f>$H$3 + ($H$3 / 4) * Table1[[#This Row],[Level]]+ Equipment!$AP$34</f>
        <v>108.75</v>
      </c>
      <c r="I43" s="34">
        <f xml:space="preserve"> (4 * (Table1[[#This Row],[Level]] ^ 3))/7 + $I$3</f>
        <v>39483.428571428572</v>
      </c>
      <c r="K43" s="8">
        <f>CEILING('Blue Slime'!$B$5/ IF('Blue Slime'!$D$5&lt; 10.8, Table1[[#This Row],[STR]], Table1[[#This Row],[STR]] / ('Blue Slime'!$D$5 / 10.8)), 1)</f>
        <v>1</v>
      </c>
      <c r="L43" s="8">
        <f>CEILING('Green Slime'!$B$5/ IF('Green Slime'!$D$5&lt; 10.8, Table1[[#This Row],[STR]], Table1[[#This Row],[STR]] / ('Green Slime'!$D$5 / 10.8)), 1)</f>
        <v>1</v>
      </c>
      <c r="M43" s="8">
        <f>CEILING(Wolf!$B$6/ IF(Wolf!$D$6&lt; 10.8, Table1[[#This Row],[STR]], Table1[[#This Row],[STR]] / (Wolf!$D$6 / 10.8)), 1)</f>
        <v>1</v>
      </c>
      <c r="N43" s="8">
        <f>CEILING('Horned Wolf'!$B$5/ IF('Horned Wolf'!$D$5&lt; 10.8, Table1[[#This Row],[STR]], Table1[[#This Row],[STR]] / ('Horned Wolf'!$D$5 / 10.8)), 1)</f>
        <v>2</v>
      </c>
      <c r="O43" s="8">
        <f>CEILING(Spider!$B$7/ IF(Spider!$D$7&lt; 10.8, Table1[[#This Row],[STR]], Table1[[#This Row],[STR]] / (Spider!$D$7 / 10.8)), 1)</f>
        <v>2</v>
      </c>
      <c r="P43" s="8">
        <f>CEILING('Evolved Spider'!$B$8/ IF('Evolved Spider'!$D$8&lt; 10.8, Table1[[#This Row],[STR]], Table1[[#This Row],[STR]] / ('Evolved Spider'!$D$8 / 10.8)), 1)</f>
        <v>3</v>
      </c>
      <c r="Q43" s="8">
        <f>CEILING(Arachne!$B$4/ IF(Arachne!$D$4&lt; 10.8, Table1[[#This Row],[STR]], Table1[[#This Row],[STR]] / (Arachne!$D$4 / 10.8)), 1)</f>
        <v>4</v>
      </c>
      <c r="R43" s="12">
        <f>CEILING('Earth Elemental'!$B$6/ IF('Earth Elemental'!$D$6&lt; 10.8, Table1[[#This Row],[STR]], Table1[[#This Row],[STR]] / ('Earth Elemental'!$D$6 / 10.8)), 1)</f>
        <v>5</v>
      </c>
      <c r="S43" s="12">
        <f>CEILING('Wind Elemental'!$B$6/ IF('Wind Elemental'!$D$6&lt; 10.8, Table1[[#This Row],[STR]], Table1[[#This Row],[STR]] / ('Wind Elemental'!$D$6 / 10.8)), 1)</f>
        <v>4</v>
      </c>
      <c r="T43" s="12">
        <f>CEILING('Water Elemental'!$B$6/ IF('Water Elemental'!$D$6&lt; 10.8, Table1[[#This Row],[STR]], Table1[[#This Row],[STR]] / ('Water Elemental'!$D$6 / 10.8)), 1)</f>
        <v>6</v>
      </c>
      <c r="U43" s="12">
        <f>CEILING('Fire Elemental'!$B$4/ IF('Fire Elemental'!$D$4&lt; 10.8, Table1[[#This Row],[STR]], Table1[[#This Row],[STR]] / ('Fire Elemental'!$D$4 / 10.8)), 1)</f>
        <v>7</v>
      </c>
      <c r="V43" s="15">
        <f>CEILING(Wyvern!$B$4/ IF(Wyvern!$D$4&lt; 10.8, Table1[[#This Row],[STR]], Table1[[#This Row],[STR]] / (Wyvern!$D$4 / 10.8)), 1)</f>
        <v>10</v>
      </c>
      <c r="W43" s="15">
        <f>CEILING('Evolved Wyvern'!$B$4/ IF('Evolved Wyvern'!$D$4&lt; 10.8, Table1[[#This Row],[STR]], Table1[[#This Row],[STR]] / ('Evolved Wyvern'!$D$4 / 10.8)), 1)</f>
        <v>14</v>
      </c>
      <c r="X43" s="15">
        <f>CEILING(Dragon!$B$4/ IF(Dragon!$D$4&lt; 10.8, Table1[[#This Row],[STR]], Table1[[#This Row],[STR]] / (Dragon!$D$4 / 10.8)), 1)</f>
        <v>22</v>
      </c>
      <c r="Z43" s="8">
        <f>CEILING('Blue Slime'!$M$5/ IF('Blue Slime'!$O$5&lt; 10.8, Table1[[#This Row],[STR]], Table1[[#This Row],[STR]] / ('Blue Slime'!$O$5 / 10.8)), 1)</f>
        <v>1</v>
      </c>
      <c r="AA43" s="8">
        <f>CEILING('Green Slime'!$M$5/ IF('Green Slime'!$O$5&lt; 10.8, Table1[[#This Row],[STR]], Table1[[#This Row],[STR]] / ('Green Slime'!$O$5 / 10.8)), 1)</f>
        <v>1</v>
      </c>
      <c r="AB43" s="8">
        <f>CEILING(Wolf!$M$6/ IF(Wolf!$O$6&lt; 10.8, Table1[[#This Row],[STR]], Table1[[#This Row],[STR]] / (Wolf!$O$6 / 10.8)), 1)</f>
        <v>2</v>
      </c>
      <c r="AC43" s="8">
        <f>CEILING('Horned Wolf'!$M$5/ IF('Horned Wolf'!$O$5&lt; 10.8, Table1[[#This Row],[STR]], Table1[[#This Row],[STR]] / ('Horned Wolf'!$O$5 / 10.8)), 1)</f>
        <v>4</v>
      </c>
      <c r="AD43" s="8">
        <f>CEILING(Spider!$M$7/ IF(Spider!$O$7&lt; 10.8, Table1[[#This Row],[STR]], Table1[[#This Row],[STR]] / (Spider!$O$7 / 10.8)), 1)</f>
        <v>4</v>
      </c>
      <c r="AE43" s="8">
        <f>CEILING('Evolved Spider'!$M$8/ IF('Evolved Spider'!$O$8&lt; 10.8, Table1[[#This Row],[STR]], Table1[[#This Row],[STR]] / ('Evolved Spider'!$O$8 / 10.8)), 1)</f>
        <v>6</v>
      </c>
      <c r="AF43" s="8">
        <f>CEILING(Arachne!$M$4/ IF(Arachne!$O$4&lt; 10.8, Table1[[#This Row],[STR]], Table1[[#This Row],[STR]] / (Arachne!$O$4 / 10.8)), 1)</f>
        <v>8</v>
      </c>
      <c r="AG43" s="12">
        <f>CEILING('Earth Elemental'!$M$6/ IF('Earth Elemental'!$O$6&lt; 10.8, Table1[[#This Row],[STR]], Table1[[#This Row],[STR]] / ('Earth Elemental'!$O$6 / 10.8)), 1)</f>
        <v>8</v>
      </c>
      <c r="AH43" s="12">
        <f>CEILING('Wind Elemental'!$M$6/ IF('Wind Elemental'!$O$6&lt; 10.8, Table1[[#This Row],[STR]], Table1[[#This Row],[STR]] / ('Wind Elemental'!$O$6 / 10.8)), 1)</f>
        <v>6</v>
      </c>
      <c r="AI43" s="12">
        <f>CEILING('Water Elemental'!$M$6/ IF('Water Elemental'!$O$6&lt; 10.8, Table1[[#This Row],[STR]], Table1[[#This Row],[STR]] / ('Water Elemental'!$O$6 / 10.8)), 1)</f>
        <v>9</v>
      </c>
      <c r="AJ43" s="12">
        <f>CEILING('Fire Elemental'!$M$4/ IF('Fire Elemental'!$O$4&lt; 10.8, Table1[[#This Row],[STR]], Table1[[#This Row],[STR]] / ('Fire Elemental'!$O$4 / 10.8)), 1)</f>
        <v>13</v>
      </c>
      <c r="AK43" s="15">
        <f>CEILING(Wyvern!$M$4/ IF(Wyvern!$O$4&lt; 10.8, Table1[[#This Row],[STR]], Table1[[#This Row],[STR]] / (Wyvern!$O$4 / 10.8)), 1)</f>
        <v>16</v>
      </c>
      <c r="AL43" s="15">
        <f>CEILING('Evolved Wyvern'!$M$4/ IF('Evolved Wyvern'!$O$4&lt; 10.8, Table1[[#This Row],[STR]], Table1[[#This Row],[STR]] / ('Evolved Wyvern'!$O$4 / 10.8)), 1)</f>
        <v>21</v>
      </c>
      <c r="AM43" s="15">
        <f>CEILING(Dragon!$M$4/ IF(Dragon!$O$4&lt; 10.8, Table1[[#This Row],[STR]], Table1[[#This Row],[STR]] / (Dragon!$O$4 / 10.8)), 1)</f>
        <v>35</v>
      </c>
      <c r="AO43" s="8">
        <f>CEILING('Blue Slime'!$Z$5/ IF('Blue Slime'!$X$5&lt; 10.8, Table1[[#This Row],[STR]], Table1[[#This Row],[STR]] / ('Blue Slime'!$X$5 / 10.8)), 1)</f>
        <v>1</v>
      </c>
      <c r="AP43" s="8">
        <f>CEILING('Green Slime'!$Z$5/ IF('Green Slime'!$X$5&lt; 10.8, Table1[[#This Row],[STR]], Table1[[#This Row],[STR]] / ('Green Slime'!$X$5 / 10.8)), 1)</f>
        <v>1</v>
      </c>
      <c r="AQ43" s="8">
        <f>CEILING(Wolf!$Z$6/ IF(Wolf!$X$6&lt; 10.8, Table1[[#This Row],[STR]], Table1[[#This Row],[STR]] / (Wolf!$X$6 / 10.8)), 1)</f>
        <v>3</v>
      </c>
      <c r="AR43" s="8">
        <f>CEILING('Horned Wolf'!$Z$5/ IF('Horned Wolf'!$X$5&lt; 10.8, Table1[[#This Row],[STR]], Table1[[#This Row],[STR]] / ('Horned Wolf'!$X$5 / 10.8)), 1)</f>
        <v>6</v>
      </c>
      <c r="AS43" s="8">
        <f>CEILING(Spider!$Z$7/ IF(Spider!$X$7&lt; 10.8, Table1[[#This Row],[STR]], Table1[[#This Row],[STR]] / (Spider!$X$7 / 10.8)), 1)</f>
        <v>6</v>
      </c>
      <c r="AT43" s="8">
        <f>CEILING('Evolved Spider'!$Z$8/ IF('Evolved Spider'!$X$8&lt; 10.8, Table1[[#This Row],[STR]], Table1[[#This Row],[STR]] / ('Evolved Spider'!$X$8 / 10.8)), 1)</f>
        <v>10</v>
      </c>
      <c r="AU43" s="8">
        <f>CEILING(Arachne!$Z$4/ IF(Arachne!$X$4&lt; 10.8, Table1[[#This Row],[STR]], Table1[[#This Row],[STR]] / (Arachne!$X$4 / 10.8)), 1)</f>
        <v>13</v>
      </c>
      <c r="AV43" s="12">
        <f>CEILING('Earth Elemental'!$Z$6/ IF('Earth Elemental'!$X$6&lt; 10.8, Table1[[#This Row],[STR]], Table1[[#This Row],[STR]] / ('Earth Elemental'!$X$6 / 10.8)), 1)</f>
        <v>11</v>
      </c>
      <c r="AW43" s="12">
        <f>CEILING('Wind Elemental'!$Z$6/ IF('Wind Elemental'!$X$6&lt; 10.8, Table1[[#This Row],[STR]], Table1[[#This Row],[STR]] / ('Wind Elemental'!$X$6 / 10.8)), 1)</f>
        <v>9</v>
      </c>
      <c r="AX43" s="12">
        <f>CEILING('Water Elemental'!$Z$6/ IF('Water Elemental'!$X$6&lt; 10.8, Table1[[#This Row],[STR]], Table1[[#This Row],[STR]] / ('Water Elemental'!$X$6 / 10.8)), 1)</f>
        <v>12</v>
      </c>
      <c r="AY43" s="12">
        <f>CEILING('Fire Elemental'!$Z$4/ IF('Fire Elemental'!$X$4&lt; 10.8, Table1[[#This Row],[STR]], Table1[[#This Row],[STR]] / ('Fire Elemental'!$X$4 / 10.8)), 1)</f>
        <v>19</v>
      </c>
      <c r="AZ43" s="15">
        <f>CEILING(Wyvern!$Z$4/ IF(Wyvern!$X$4&lt; 10.8, Table1[[#This Row],[STR]], Table1[[#This Row],[STR]] / (Wyvern!$X$4 / 10.8)), 1)</f>
        <v>23</v>
      </c>
      <c r="BA43" s="15">
        <f>CEILING('Evolved Wyvern'!$Z$4/ IF('Evolved Wyvern'!$X$4&lt; 10.8, Table1[[#This Row],[STR]], Table1[[#This Row],[STR]] / ('Evolved Wyvern'!$X$4 / 10.8)), 1)</f>
        <v>30</v>
      </c>
      <c r="BB43" s="15">
        <f>CEILING(Dragon!$Z$4/ IF(Dragon!$X$4&lt; 10.8, Table1[[#This Row],[STR]], Table1[[#This Row],[STR]] / (Dragon!$X$4 / 10.8)), 1)</f>
        <v>50</v>
      </c>
    </row>
    <row r="44" spans="1:54" x14ac:dyDescent="0.3">
      <c r="A44" s="1">
        <v>42</v>
      </c>
      <c r="B44" s="1">
        <f>$B$3 + ((Table1[[#This Row],[Level]] / 10) + $B$3 / 8) * Table1[[#This Row],[Level]]+ Equipment!$AK$34</f>
        <v>325.39999999999998</v>
      </c>
      <c r="C44" s="1">
        <f xml:space="preserve"> 2*Table1[[#This Row],[INT]]</f>
        <v>190</v>
      </c>
      <c r="D44" s="1">
        <f>$D$3 + ($D$3 / 4) * Table1[[#This Row],[Level]]+ Equipment!$AL$34</f>
        <v>95</v>
      </c>
      <c r="E44" s="1">
        <f>$E$3 + ($E$3 / 4) * Table1[[#This Row],[Level]]+ Equipment!$AM$34</f>
        <v>78.5</v>
      </c>
      <c r="F44" s="1">
        <f>$F$3 + ($F$3 / 4) * Table1[[#This Row],[Level]]+ Equipment!$AN$34</f>
        <v>126</v>
      </c>
      <c r="G44" s="1">
        <f>$G$3 + ($G$3 / 4) * Table1[[#This Row],[Level]]+ Equipment!$AO$34</f>
        <v>95</v>
      </c>
      <c r="H44" s="1">
        <f>$H$3 + ($H$3 / 4) * Table1[[#This Row],[Level]]+ Equipment!$AP$34</f>
        <v>110.5</v>
      </c>
      <c r="I44" s="34">
        <f xml:space="preserve"> (4 * (Table1[[#This Row],[Level]] ^ 3))/7 + $I$3</f>
        <v>42436</v>
      </c>
      <c r="K44" s="8">
        <f>CEILING('Blue Slime'!$B$5/ IF('Blue Slime'!$D$5&lt; 10.8, Table1[[#This Row],[STR]], Table1[[#This Row],[STR]] / ('Blue Slime'!$D$5 / 10.8)), 1)</f>
        <v>1</v>
      </c>
      <c r="L44" s="8">
        <f>CEILING('Green Slime'!$B$5/ IF('Green Slime'!$D$5&lt; 10.8, Table1[[#This Row],[STR]], Table1[[#This Row],[STR]] / ('Green Slime'!$D$5 / 10.8)), 1)</f>
        <v>1</v>
      </c>
      <c r="M44" s="8">
        <f>CEILING(Wolf!$B$6/ IF(Wolf!$D$6&lt; 10.8, Table1[[#This Row],[STR]], Table1[[#This Row],[STR]] / (Wolf!$D$6 / 10.8)), 1)</f>
        <v>1</v>
      </c>
      <c r="N44" s="8">
        <f>CEILING('Horned Wolf'!$B$5/ IF('Horned Wolf'!$D$5&lt; 10.8, Table1[[#This Row],[STR]], Table1[[#This Row],[STR]] / ('Horned Wolf'!$D$5 / 10.8)), 1)</f>
        <v>2</v>
      </c>
      <c r="O44" s="8">
        <f>CEILING(Spider!$B$7/ IF(Spider!$D$7&lt; 10.8, Table1[[#This Row],[STR]], Table1[[#This Row],[STR]] / (Spider!$D$7 / 10.8)), 1)</f>
        <v>2</v>
      </c>
      <c r="P44" s="8">
        <f>CEILING('Evolved Spider'!$B$8/ IF('Evolved Spider'!$D$8&lt; 10.8, Table1[[#This Row],[STR]], Table1[[#This Row],[STR]] / ('Evolved Spider'!$D$8 / 10.8)), 1)</f>
        <v>3</v>
      </c>
      <c r="Q44" s="8">
        <f>CEILING(Arachne!$B$4/ IF(Arachne!$D$4&lt; 10.8, Table1[[#This Row],[STR]], Table1[[#This Row],[STR]] / (Arachne!$D$4 / 10.8)), 1)</f>
        <v>4</v>
      </c>
      <c r="R44" s="12">
        <f>CEILING('Earth Elemental'!$B$6/ IF('Earth Elemental'!$D$6&lt; 10.8, Table1[[#This Row],[STR]], Table1[[#This Row],[STR]] / ('Earth Elemental'!$D$6 / 10.8)), 1)</f>
        <v>4</v>
      </c>
      <c r="S44" s="12">
        <f>CEILING('Wind Elemental'!$B$6/ IF('Wind Elemental'!$D$6&lt; 10.8, Table1[[#This Row],[STR]], Table1[[#This Row],[STR]] / ('Wind Elemental'!$D$6 / 10.8)), 1)</f>
        <v>4</v>
      </c>
      <c r="T44" s="12">
        <f>CEILING('Water Elemental'!$B$6/ IF('Water Elemental'!$D$6&lt; 10.8, Table1[[#This Row],[STR]], Table1[[#This Row],[STR]] / ('Water Elemental'!$D$6 / 10.8)), 1)</f>
        <v>6</v>
      </c>
      <c r="U44" s="12">
        <f>CEILING('Fire Elemental'!$B$4/ IF('Fire Elemental'!$D$4&lt; 10.8, Table1[[#This Row],[STR]], Table1[[#This Row],[STR]] / ('Fire Elemental'!$D$4 / 10.8)), 1)</f>
        <v>7</v>
      </c>
      <c r="V44" s="15">
        <f>CEILING(Wyvern!$B$4/ IF(Wyvern!$D$4&lt; 10.8, Table1[[#This Row],[STR]], Table1[[#This Row],[STR]] / (Wyvern!$D$4 / 10.8)), 1)</f>
        <v>10</v>
      </c>
      <c r="W44" s="15">
        <f>CEILING('Evolved Wyvern'!$B$4/ IF('Evolved Wyvern'!$D$4&lt; 10.8, Table1[[#This Row],[STR]], Table1[[#This Row],[STR]] / ('Evolved Wyvern'!$D$4 / 10.8)), 1)</f>
        <v>13</v>
      </c>
      <c r="X44" s="15">
        <f>CEILING(Dragon!$B$4/ IF(Dragon!$D$4&lt; 10.8, Table1[[#This Row],[STR]], Table1[[#This Row],[STR]] / (Dragon!$D$4 / 10.8)), 1)</f>
        <v>22</v>
      </c>
      <c r="Z44" s="8">
        <f>CEILING('Blue Slime'!$M$5/ IF('Blue Slime'!$O$5&lt; 10.8, Table1[[#This Row],[STR]], Table1[[#This Row],[STR]] / ('Blue Slime'!$O$5 / 10.8)), 1)</f>
        <v>1</v>
      </c>
      <c r="AA44" s="8">
        <f>CEILING('Green Slime'!$M$5/ IF('Green Slime'!$O$5&lt; 10.8, Table1[[#This Row],[STR]], Table1[[#This Row],[STR]] / ('Green Slime'!$O$5 / 10.8)), 1)</f>
        <v>1</v>
      </c>
      <c r="AB44" s="8">
        <f>CEILING(Wolf!$M$6/ IF(Wolf!$O$6&lt; 10.8, Table1[[#This Row],[STR]], Table1[[#This Row],[STR]] / (Wolf!$O$6 / 10.8)), 1)</f>
        <v>2</v>
      </c>
      <c r="AC44" s="8">
        <f>CEILING('Horned Wolf'!$M$5/ IF('Horned Wolf'!$O$5&lt; 10.8, Table1[[#This Row],[STR]], Table1[[#This Row],[STR]] / ('Horned Wolf'!$O$5 / 10.8)), 1)</f>
        <v>4</v>
      </c>
      <c r="AD44" s="8">
        <f>CEILING(Spider!$M$7/ IF(Spider!$O$7&lt; 10.8, Table1[[#This Row],[STR]], Table1[[#This Row],[STR]] / (Spider!$O$7 / 10.8)), 1)</f>
        <v>4</v>
      </c>
      <c r="AE44" s="8">
        <f>CEILING('Evolved Spider'!$M$8/ IF('Evolved Spider'!$O$8&lt; 10.8, Table1[[#This Row],[STR]], Table1[[#This Row],[STR]] / ('Evolved Spider'!$O$8 / 10.8)), 1)</f>
        <v>6</v>
      </c>
      <c r="AF44" s="8">
        <f>CEILING(Arachne!$M$4/ IF(Arachne!$O$4&lt; 10.8, Table1[[#This Row],[STR]], Table1[[#This Row],[STR]] / (Arachne!$O$4 / 10.8)), 1)</f>
        <v>8</v>
      </c>
      <c r="AG44" s="12">
        <f>CEILING('Earth Elemental'!$M$6/ IF('Earth Elemental'!$O$6&lt; 10.8, Table1[[#This Row],[STR]], Table1[[#This Row],[STR]] / ('Earth Elemental'!$O$6 / 10.8)), 1)</f>
        <v>7</v>
      </c>
      <c r="AH44" s="12">
        <f>CEILING('Wind Elemental'!$M$6/ IF('Wind Elemental'!$O$6&lt; 10.8, Table1[[#This Row],[STR]], Table1[[#This Row],[STR]] / ('Wind Elemental'!$O$6 / 10.8)), 1)</f>
        <v>6</v>
      </c>
      <c r="AI44" s="12">
        <f>CEILING('Water Elemental'!$M$6/ IF('Water Elemental'!$O$6&lt; 10.8, Table1[[#This Row],[STR]], Table1[[#This Row],[STR]] / ('Water Elemental'!$O$6 / 10.8)), 1)</f>
        <v>9</v>
      </c>
      <c r="AJ44" s="12">
        <f>CEILING('Fire Elemental'!$M$4/ IF('Fire Elemental'!$O$4&lt; 10.8, Table1[[#This Row],[STR]], Table1[[#This Row],[STR]] / ('Fire Elemental'!$O$4 / 10.8)), 1)</f>
        <v>13</v>
      </c>
      <c r="AK44" s="15">
        <f>CEILING(Wyvern!$M$4/ IF(Wyvern!$O$4&lt; 10.8, Table1[[#This Row],[STR]], Table1[[#This Row],[STR]] / (Wyvern!$O$4 / 10.8)), 1)</f>
        <v>16</v>
      </c>
      <c r="AL44" s="15">
        <f>CEILING('Evolved Wyvern'!$M$4/ IF('Evolved Wyvern'!$O$4&lt; 10.8, Table1[[#This Row],[STR]], Table1[[#This Row],[STR]] / ('Evolved Wyvern'!$O$4 / 10.8)), 1)</f>
        <v>21</v>
      </c>
      <c r="AM44" s="15">
        <f>CEILING(Dragon!$M$4/ IF(Dragon!$O$4&lt; 10.8, Table1[[#This Row],[STR]], Table1[[#This Row],[STR]] / (Dragon!$O$4 / 10.8)), 1)</f>
        <v>35</v>
      </c>
      <c r="AO44" s="8">
        <f>CEILING('Blue Slime'!$Z$5/ IF('Blue Slime'!$X$5&lt; 10.8, Table1[[#This Row],[STR]], Table1[[#This Row],[STR]] / ('Blue Slime'!$X$5 / 10.8)), 1)</f>
        <v>1</v>
      </c>
      <c r="AP44" s="8">
        <f>CEILING('Green Slime'!$Z$5/ IF('Green Slime'!$X$5&lt; 10.8, Table1[[#This Row],[STR]], Table1[[#This Row],[STR]] / ('Green Slime'!$X$5 / 10.8)), 1)</f>
        <v>1</v>
      </c>
      <c r="AQ44" s="8">
        <f>CEILING(Wolf!$Z$6/ IF(Wolf!$X$6&lt; 10.8, Table1[[#This Row],[STR]], Table1[[#This Row],[STR]] / (Wolf!$X$6 / 10.8)), 1)</f>
        <v>3</v>
      </c>
      <c r="AR44" s="8">
        <f>CEILING('Horned Wolf'!$Z$5/ IF('Horned Wolf'!$X$5&lt; 10.8, Table1[[#This Row],[STR]], Table1[[#This Row],[STR]] / ('Horned Wolf'!$X$5 / 10.8)), 1)</f>
        <v>6</v>
      </c>
      <c r="AS44" s="8">
        <f>CEILING(Spider!$Z$7/ IF(Spider!$X$7&lt; 10.8, Table1[[#This Row],[STR]], Table1[[#This Row],[STR]] / (Spider!$X$7 / 10.8)), 1)</f>
        <v>6</v>
      </c>
      <c r="AT44" s="8">
        <f>CEILING('Evolved Spider'!$Z$8/ IF('Evolved Spider'!$X$8&lt; 10.8, Table1[[#This Row],[STR]], Table1[[#This Row],[STR]] / ('Evolved Spider'!$X$8 / 10.8)), 1)</f>
        <v>10</v>
      </c>
      <c r="AU44" s="8">
        <f>CEILING(Arachne!$Z$4/ IF(Arachne!$X$4&lt; 10.8, Table1[[#This Row],[STR]], Table1[[#This Row],[STR]] / (Arachne!$X$4 / 10.8)), 1)</f>
        <v>13</v>
      </c>
      <c r="AV44" s="12">
        <f>CEILING('Earth Elemental'!$Z$6/ IF('Earth Elemental'!$X$6&lt; 10.8, Table1[[#This Row],[STR]], Table1[[#This Row],[STR]] / ('Earth Elemental'!$X$6 / 10.8)), 1)</f>
        <v>11</v>
      </c>
      <c r="AW44" s="12">
        <f>CEILING('Wind Elemental'!$Z$6/ IF('Wind Elemental'!$X$6&lt; 10.8, Table1[[#This Row],[STR]], Table1[[#This Row],[STR]] / ('Wind Elemental'!$X$6 / 10.8)), 1)</f>
        <v>9</v>
      </c>
      <c r="AX44" s="12">
        <f>CEILING('Water Elemental'!$Z$6/ IF('Water Elemental'!$X$6&lt; 10.8, Table1[[#This Row],[STR]], Table1[[#This Row],[STR]] / ('Water Elemental'!$X$6 / 10.8)), 1)</f>
        <v>12</v>
      </c>
      <c r="AY44" s="12">
        <f>CEILING('Fire Elemental'!$Z$4/ IF('Fire Elemental'!$X$4&lt; 10.8, Table1[[#This Row],[STR]], Table1[[#This Row],[STR]] / ('Fire Elemental'!$X$4 / 10.8)), 1)</f>
        <v>19</v>
      </c>
      <c r="AZ44" s="15">
        <f>CEILING(Wyvern!$Z$4/ IF(Wyvern!$X$4&lt; 10.8, Table1[[#This Row],[STR]], Table1[[#This Row],[STR]] / (Wyvern!$X$4 / 10.8)), 1)</f>
        <v>23</v>
      </c>
      <c r="BA44" s="15">
        <f>CEILING('Evolved Wyvern'!$Z$4/ IF('Evolved Wyvern'!$X$4&lt; 10.8, Table1[[#This Row],[STR]], Table1[[#This Row],[STR]] / ('Evolved Wyvern'!$X$4 / 10.8)), 1)</f>
        <v>29</v>
      </c>
      <c r="BB44" s="15">
        <f>CEILING(Dragon!$Z$4/ IF(Dragon!$X$4&lt; 10.8, Table1[[#This Row],[STR]], Table1[[#This Row],[STR]] / (Dragon!$X$4 / 10.8)), 1)</f>
        <v>49</v>
      </c>
    </row>
    <row r="45" spans="1:54" x14ac:dyDescent="0.3">
      <c r="A45" s="1">
        <v>43</v>
      </c>
      <c r="B45" s="1">
        <f>$B$3 + ((Table1[[#This Row],[Level]] / 10) + $B$3 / 8) * Table1[[#This Row],[Level]]+ Equipment!$AK$34</f>
        <v>335.4</v>
      </c>
      <c r="C45" s="1">
        <f xml:space="preserve"> 2*Table1[[#This Row],[INT]]</f>
        <v>193</v>
      </c>
      <c r="D45" s="1">
        <f>$D$3 + ($D$3 / 4) * Table1[[#This Row],[Level]]+ Equipment!$AL$34</f>
        <v>96.5</v>
      </c>
      <c r="E45" s="1">
        <f>$E$3 + ($E$3 / 4) * Table1[[#This Row],[Level]]+ Equipment!$AM$34</f>
        <v>79.75</v>
      </c>
      <c r="F45" s="1">
        <f>$F$3 + ($F$3 / 4) * Table1[[#This Row],[Level]]+ Equipment!$AN$34</f>
        <v>128</v>
      </c>
      <c r="G45" s="1">
        <f>$G$3 + ($G$3 / 4) * Table1[[#This Row],[Level]]+ Equipment!$AO$34</f>
        <v>96.5</v>
      </c>
      <c r="H45" s="1">
        <f>$H$3 + ($H$3 / 4) * Table1[[#This Row],[Level]]+ Equipment!$AP$34</f>
        <v>112.25</v>
      </c>
      <c r="I45" s="34">
        <f xml:space="preserve"> (4 * (Table1[[#This Row],[Level]] ^ 3))/7 + $I$3</f>
        <v>45532.571428571428</v>
      </c>
      <c r="K45" s="8">
        <f>CEILING('Blue Slime'!$B$5/ IF('Blue Slime'!$D$5&lt; 10.8, Table1[[#This Row],[STR]], Table1[[#This Row],[STR]] / ('Blue Slime'!$D$5 / 10.8)), 1)</f>
        <v>1</v>
      </c>
      <c r="L45" s="8">
        <f>CEILING('Green Slime'!$B$5/ IF('Green Slime'!$D$5&lt; 10.8, Table1[[#This Row],[STR]], Table1[[#This Row],[STR]] / ('Green Slime'!$D$5 / 10.8)), 1)</f>
        <v>1</v>
      </c>
      <c r="M45" s="8">
        <f>CEILING(Wolf!$B$6/ IF(Wolf!$D$6&lt; 10.8, Table1[[#This Row],[STR]], Table1[[#This Row],[STR]] / (Wolf!$D$6 / 10.8)), 1)</f>
        <v>1</v>
      </c>
      <c r="N45" s="8">
        <f>CEILING('Horned Wolf'!$B$5/ IF('Horned Wolf'!$D$5&lt; 10.8, Table1[[#This Row],[STR]], Table1[[#This Row],[STR]] / ('Horned Wolf'!$D$5 / 10.8)), 1)</f>
        <v>2</v>
      </c>
      <c r="O45" s="8">
        <f>CEILING(Spider!$B$7/ IF(Spider!$D$7&lt; 10.8, Table1[[#This Row],[STR]], Table1[[#This Row],[STR]] / (Spider!$D$7 / 10.8)), 1)</f>
        <v>2</v>
      </c>
      <c r="P45" s="8">
        <f>CEILING('Evolved Spider'!$B$8/ IF('Evolved Spider'!$D$8&lt; 10.8, Table1[[#This Row],[STR]], Table1[[#This Row],[STR]] / ('Evolved Spider'!$D$8 / 10.8)), 1)</f>
        <v>3</v>
      </c>
      <c r="Q45" s="8">
        <f>CEILING(Arachne!$B$4/ IF(Arachne!$D$4&lt; 10.8, Table1[[#This Row],[STR]], Table1[[#This Row],[STR]] / (Arachne!$D$4 / 10.8)), 1)</f>
        <v>4</v>
      </c>
      <c r="R45" s="12">
        <f>CEILING('Earth Elemental'!$B$6/ IF('Earth Elemental'!$D$6&lt; 10.8, Table1[[#This Row],[STR]], Table1[[#This Row],[STR]] / ('Earth Elemental'!$D$6 / 10.8)), 1)</f>
        <v>4</v>
      </c>
      <c r="S45" s="12">
        <f>CEILING('Wind Elemental'!$B$6/ IF('Wind Elemental'!$D$6&lt; 10.8, Table1[[#This Row],[STR]], Table1[[#This Row],[STR]] / ('Wind Elemental'!$D$6 / 10.8)), 1)</f>
        <v>4</v>
      </c>
      <c r="T45" s="12">
        <f>CEILING('Water Elemental'!$B$6/ IF('Water Elemental'!$D$6&lt; 10.8, Table1[[#This Row],[STR]], Table1[[#This Row],[STR]] / ('Water Elemental'!$D$6 / 10.8)), 1)</f>
        <v>6</v>
      </c>
      <c r="U45" s="12">
        <f>CEILING('Fire Elemental'!$B$4/ IF('Fire Elemental'!$D$4&lt; 10.8, Table1[[#This Row],[STR]], Table1[[#This Row],[STR]] / ('Fire Elemental'!$D$4 / 10.8)), 1)</f>
        <v>7</v>
      </c>
      <c r="V45" s="15">
        <f>CEILING(Wyvern!$B$4/ IF(Wyvern!$D$4&lt; 10.8, Table1[[#This Row],[STR]], Table1[[#This Row],[STR]] / (Wyvern!$D$4 / 10.8)), 1)</f>
        <v>10</v>
      </c>
      <c r="W45" s="15">
        <f>CEILING('Evolved Wyvern'!$B$4/ IF('Evolved Wyvern'!$D$4&lt; 10.8, Table1[[#This Row],[STR]], Table1[[#This Row],[STR]] / ('Evolved Wyvern'!$D$4 / 10.8)), 1)</f>
        <v>13</v>
      </c>
      <c r="X45" s="15">
        <f>CEILING(Dragon!$B$4/ IF(Dragon!$D$4&lt; 10.8, Table1[[#This Row],[STR]], Table1[[#This Row],[STR]] / (Dragon!$D$4 / 10.8)), 1)</f>
        <v>21</v>
      </c>
      <c r="Z45" s="8">
        <f>CEILING('Blue Slime'!$M$5/ IF('Blue Slime'!$O$5&lt; 10.8, Table1[[#This Row],[STR]], Table1[[#This Row],[STR]] / ('Blue Slime'!$O$5 / 10.8)), 1)</f>
        <v>1</v>
      </c>
      <c r="AA45" s="8">
        <f>CEILING('Green Slime'!$M$5/ IF('Green Slime'!$O$5&lt; 10.8, Table1[[#This Row],[STR]], Table1[[#This Row],[STR]] / ('Green Slime'!$O$5 / 10.8)), 1)</f>
        <v>1</v>
      </c>
      <c r="AB45" s="8">
        <f>CEILING(Wolf!$M$6/ IF(Wolf!$O$6&lt; 10.8, Table1[[#This Row],[STR]], Table1[[#This Row],[STR]] / (Wolf!$O$6 / 10.8)), 1)</f>
        <v>2</v>
      </c>
      <c r="AC45" s="8">
        <f>CEILING('Horned Wolf'!$M$5/ IF('Horned Wolf'!$O$5&lt; 10.8, Table1[[#This Row],[STR]], Table1[[#This Row],[STR]] / ('Horned Wolf'!$O$5 / 10.8)), 1)</f>
        <v>4</v>
      </c>
      <c r="AD45" s="8">
        <f>CEILING(Spider!$M$7/ IF(Spider!$O$7&lt; 10.8, Table1[[#This Row],[STR]], Table1[[#This Row],[STR]] / (Spider!$O$7 / 10.8)), 1)</f>
        <v>3</v>
      </c>
      <c r="AE45" s="8">
        <f>CEILING('Evolved Spider'!$M$8/ IF('Evolved Spider'!$O$8&lt; 10.8, Table1[[#This Row],[STR]], Table1[[#This Row],[STR]] / ('Evolved Spider'!$O$8 / 10.8)), 1)</f>
        <v>6</v>
      </c>
      <c r="AF45" s="8">
        <f>CEILING(Arachne!$M$4/ IF(Arachne!$O$4&lt; 10.8, Table1[[#This Row],[STR]], Table1[[#This Row],[STR]] / (Arachne!$O$4 / 10.8)), 1)</f>
        <v>8</v>
      </c>
      <c r="AG45" s="12">
        <f>CEILING('Earth Elemental'!$M$6/ IF('Earth Elemental'!$O$6&lt; 10.8, Table1[[#This Row],[STR]], Table1[[#This Row],[STR]] / ('Earth Elemental'!$O$6 / 10.8)), 1)</f>
        <v>7</v>
      </c>
      <c r="AH45" s="12">
        <f>CEILING('Wind Elemental'!$M$6/ IF('Wind Elemental'!$O$6&lt; 10.8, Table1[[#This Row],[STR]], Table1[[#This Row],[STR]] / ('Wind Elemental'!$O$6 / 10.8)), 1)</f>
        <v>6</v>
      </c>
      <c r="AI45" s="12">
        <f>CEILING('Water Elemental'!$M$6/ IF('Water Elemental'!$O$6&lt; 10.8, Table1[[#This Row],[STR]], Table1[[#This Row],[STR]] / ('Water Elemental'!$O$6 / 10.8)), 1)</f>
        <v>9</v>
      </c>
      <c r="AJ45" s="12">
        <f>CEILING('Fire Elemental'!$M$4/ IF('Fire Elemental'!$O$4&lt; 10.8, Table1[[#This Row],[STR]], Table1[[#This Row],[STR]] / ('Fire Elemental'!$O$4 / 10.8)), 1)</f>
        <v>12</v>
      </c>
      <c r="AK45" s="15">
        <f>CEILING(Wyvern!$M$4/ IF(Wyvern!$O$4&lt; 10.8, Table1[[#This Row],[STR]], Table1[[#This Row],[STR]] / (Wyvern!$O$4 / 10.8)), 1)</f>
        <v>16</v>
      </c>
      <c r="AL45" s="15">
        <f>CEILING('Evolved Wyvern'!$M$4/ IF('Evolved Wyvern'!$O$4&lt; 10.8, Table1[[#This Row],[STR]], Table1[[#This Row],[STR]] / ('Evolved Wyvern'!$O$4 / 10.8)), 1)</f>
        <v>21</v>
      </c>
      <c r="AM45" s="15">
        <f>CEILING(Dragon!$M$4/ IF(Dragon!$O$4&lt; 10.8, Table1[[#This Row],[STR]], Table1[[#This Row],[STR]] / (Dragon!$O$4 / 10.8)), 1)</f>
        <v>34</v>
      </c>
      <c r="AO45" s="8">
        <f>CEILING('Blue Slime'!$Z$5/ IF('Blue Slime'!$X$5&lt; 10.8, Table1[[#This Row],[STR]], Table1[[#This Row],[STR]] / ('Blue Slime'!$X$5 / 10.8)), 1)</f>
        <v>1</v>
      </c>
      <c r="AP45" s="8">
        <f>CEILING('Green Slime'!$Z$5/ IF('Green Slime'!$X$5&lt; 10.8, Table1[[#This Row],[STR]], Table1[[#This Row],[STR]] / ('Green Slime'!$X$5 / 10.8)), 1)</f>
        <v>1</v>
      </c>
      <c r="AQ45" s="8">
        <f>CEILING(Wolf!$Z$6/ IF(Wolf!$X$6&lt; 10.8, Table1[[#This Row],[STR]], Table1[[#This Row],[STR]] / (Wolf!$X$6 / 10.8)), 1)</f>
        <v>3</v>
      </c>
      <c r="AR45" s="8">
        <f>CEILING('Horned Wolf'!$Z$5/ IF('Horned Wolf'!$X$5&lt; 10.8, Table1[[#This Row],[STR]], Table1[[#This Row],[STR]] / ('Horned Wolf'!$X$5 / 10.8)), 1)</f>
        <v>6</v>
      </c>
      <c r="AS45" s="8">
        <f>CEILING(Spider!$Z$7/ IF(Spider!$X$7&lt; 10.8, Table1[[#This Row],[STR]], Table1[[#This Row],[STR]] / (Spider!$X$7 / 10.8)), 1)</f>
        <v>6</v>
      </c>
      <c r="AT45" s="8">
        <f>CEILING('Evolved Spider'!$Z$8/ IF('Evolved Spider'!$X$8&lt; 10.8, Table1[[#This Row],[STR]], Table1[[#This Row],[STR]] / ('Evolved Spider'!$X$8 / 10.8)), 1)</f>
        <v>10</v>
      </c>
      <c r="AU45" s="8">
        <f>CEILING(Arachne!$Z$4/ IF(Arachne!$X$4&lt; 10.8, Table1[[#This Row],[STR]], Table1[[#This Row],[STR]] / (Arachne!$X$4 / 10.8)), 1)</f>
        <v>13</v>
      </c>
      <c r="AV45" s="12">
        <f>CEILING('Earth Elemental'!$Z$6/ IF('Earth Elemental'!$X$6&lt; 10.8, Table1[[#This Row],[STR]], Table1[[#This Row],[STR]] / ('Earth Elemental'!$X$6 / 10.8)), 1)</f>
        <v>11</v>
      </c>
      <c r="AW45" s="12">
        <f>CEILING('Wind Elemental'!$Z$6/ IF('Wind Elemental'!$X$6&lt; 10.8, Table1[[#This Row],[STR]], Table1[[#This Row],[STR]] / ('Wind Elemental'!$X$6 / 10.8)), 1)</f>
        <v>9</v>
      </c>
      <c r="AX45" s="12">
        <f>CEILING('Water Elemental'!$Z$6/ IF('Water Elemental'!$X$6&lt; 10.8, Table1[[#This Row],[STR]], Table1[[#This Row],[STR]] / ('Water Elemental'!$X$6 / 10.8)), 1)</f>
        <v>12</v>
      </c>
      <c r="AY45" s="12">
        <f>CEILING('Fire Elemental'!$Z$4/ IF('Fire Elemental'!$X$4&lt; 10.8, Table1[[#This Row],[STR]], Table1[[#This Row],[STR]] / ('Fire Elemental'!$X$4 / 10.8)), 1)</f>
        <v>19</v>
      </c>
      <c r="AZ45" s="15">
        <f>CEILING(Wyvern!$Z$4/ IF(Wyvern!$X$4&lt; 10.8, Table1[[#This Row],[STR]], Table1[[#This Row],[STR]] / (Wyvern!$X$4 / 10.8)), 1)</f>
        <v>23</v>
      </c>
      <c r="BA45" s="15">
        <f>CEILING('Evolved Wyvern'!$Z$4/ IF('Evolved Wyvern'!$X$4&lt; 10.8, Table1[[#This Row],[STR]], Table1[[#This Row],[STR]] / ('Evolved Wyvern'!$X$4 / 10.8)), 1)</f>
        <v>29</v>
      </c>
      <c r="BB45" s="15">
        <f>CEILING(Dragon!$Z$4/ IF(Dragon!$X$4&lt; 10.8, Table1[[#This Row],[STR]], Table1[[#This Row],[STR]] / (Dragon!$X$4 / 10.8)), 1)</f>
        <v>48</v>
      </c>
    </row>
    <row r="46" spans="1:54" x14ac:dyDescent="0.3">
      <c r="A46" s="30">
        <v>44</v>
      </c>
      <c r="B46" s="30">
        <f>$B$3 + ((Table1[[#This Row],[Level]] / 10) + $B$3 / 8) * Table1[[#This Row],[Level]]+ Equipment!$AK$34</f>
        <v>345.6</v>
      </c>
      <c r="C46" s="30">
        <f xml:space="preserve"> 2*Table1[[#This Row],[INT]]</f>
        <v>196</v>
      </c>
      <c r="D46" s="30">
        <f>$D$3 + ($D$3 / 4) * Table1[[#This Row],[Level]]+ Equipment!$AL$34</f>
        <v>98</v>
      </c>
      <c r="E46" s="30">
        <f>$E$3 + ($E$3 / 4) * Table1[[#This Row],[Level]]+ Equipment!$AM$34</f>
        <v>81</v>
      </c>
      <c r="F46" s="30">
        <f>$F$3 + ($F$3 / 4) * Table1[[#This Row],[Level]]+ Equipment!$AN$34</f>
        <v>130</v>
      </c>
      <c r="G46" s="30">
        <f>$G$3 + ($G$3 / 4) * Table1[[#This Row],[Level]]+ Equipment!$AO$34</f>
        <v>98</v>
      </c>
      <c r="H46" s="30">
        <f>$H$3 + ($H$3 / 4) * Table1[[#This Row],[Level]]+ Equipment!$AP$34</f>
        <v>114</v>
      </c>
      <c r="I46" s="30">
        <f xml:space="preserve"> (4 * (Table1[[#This Row],[Level]] ^ 3))/7 + $I$3</f>
        <v>48776.571428571428</v>
      </c>
      <c r="K46" s="8">
        <f>CEILING('Blue Slime'!$B$5/ IF('Blue Slime'!$D$5&lt; 10.8, Table1[[#This Row],[STR]], Table1[[#This Row],[STR]] / ('Blue Slime'!$D$5 / 10.8)), 1)</f>
        <v>1</v>
      </c>
      <c r="L46" s="8">
        <f>CEILING('Green Slime'!$B$5/ IF('Green Slime'!$D$5&lt; 10.8, Table1[[#This Row],[STR]], Table1[[#This Row],[STR]] / ('Green Slime'!$D$5 / 10.8)), 1)</f>
        <v>1</v>
      </c>
      <c r="M46" s="8">
        <f>CEILING(Wolf!$B$6/ IF(Wolf!$D$6&lt; 10.8, Table1[[#This Row],[STR]], Table1[[#This Row],[STR]] / (Wolf!$D$6 / 10.8)), 1)</f>
        <v>1</v>
      </c>
      <c r="N46" s="8">
        <f>CEILING('Horned Wolf'!$B$5/ IF('Horned Wolf'!$D$5&lt; 10.8, Table1[[#This Row],[STR]], Table1[[#This Row],[STR]] / ('Horned Wolf'!$D$5 / 10.8)), 1)</f>
        <v>2</v>
      </c>
      <c r="O46" s="8">
        <f>CEILING(Spider!$B$7/ IF(Spider!$D$7&lt; 10.8, Table1[[#This Row],[STR]], Table1[[#This Row],[STR]] / (Spider!$D$7 / 10.8)), 1)</f>
        <v>2</v>
      </c>
      <c r="P46" s="8">
        <f>CEILING('Evolved Spider'!$B$8/ IF('Evolved Spider'!$D$8&lt; 10.8, Table1[[#This Row],[STR]], Table1[[#This Row],[STR]] / ('Evolved Spider'!$D$8 / 10.8)), 1)</f>
        <v>3</v>
      </c>
      <c r="Q46" s="8">
        <f>CEILING(Arachne!$B$4/ IF(Arachne!$D$4&lt; 10.8, Table1[[#This Row],[STR]], Table1[[#This Row],[STR]] / (Arachne!$D$4 / 10.8)), 1)</f>
        <v>4</v>
      </c>
      <c r="R46" s="12">
        <f>CEILING('Earth Elemental'!$B$6/ IF('Earth Elemental'!$D$6&lt; 10.8, Table1[[#This Row],[STR]], Table1[[#This Row],[STR]] / ('Earth Elemental'!$D$6 / 10.8)), 1)</f>
        <v>4</v>
      </c>
      <c r="S46" s="12">
        <f>CEILING('Wind Elemental'!$B$6/ IF('Wind Elemental'!$D$6&lt; 10.8, Table1[[#This Row],[STR]], Table1[[#This Row],[STR]] / ('Wind Elemental'!$D$6 / 10.8)), 1)</f>
        <v>4</v>
      </c>
      <c r="T46" s="12">
        <f>CEILING('Water Elemental'!$B$6/ IF('Water Elemental'!$D$6&lt; 10.8, Table1[[#This Row],[STR]], Table1[[#This Row],[STR]] / ('Water Elemental'!$D$6 / 10.8)), 1)</f>
        <v>6</v>
      </c>
      <c r="U46" s="12">
        <f>CEILING('Fire Elemental'!$B$4/ IF('Fire Elemental'!$D$4&lt; 10.8, Table1[[#This Row],[STR]], Table1[[#This Row],[STR]] / ('Fire Elemental'!$D$4 / 10.8)), 1)</f>
        <v>7</v>
      </c>
      <c r="V46" s="15">
        <f>CEILING(Wyvern!$B$4/ IF(Wyvern!$D$4&lt; 10.8, Table1[[#This Row],[STR]], Table1[[#This Row],[STR]] / (Wyvern!$D$4 / 10.8)), 1)</f>
        <v>10</v>
      </c>
      <c r="W46" s="15">
        <f>CEILING('Evolved Wyvern'!$B$4/ IF('Evolved Wyvern'!$D$4&lt; 10.8, Table1[[#This Row],[STR]], Table1[[#This Row],[STR]] / ('Evolved Wyvern'!$D$4 / 10.8)), 1)</f>
        <v>13</v>
      </c>
      <c r="X46" s="15">
        <f>CEILING(Dragon!$B$4/ IF(Dragon!$D$4&lt; 10.8, Table1[[#This Row],[STR]], Table1[[#This Row],[STR]] / (Dragon!$D$4 / 10.8)), 1)</f>
        <v>21</v>
      </c>
      <c r="Z46" s="8">
        <f>CEILING('Blue Slime'!$M$5/ IF('Blue Slime'!$O$5&lt; 10.8, Table1[[#This Row],[STR]], Table1[[#This Row],[STR]] / ('Blue Slime'!$O$5 / 10.8)), 1)</f>
        <v>1</v>
      </c>
      <c r="AA46" s="8">
        <f>CEILING('Green Slime'!$M$5/ IF('Green Slime'!$O$5&lt; 10.8, Table1[[#This Row],[STR]], Table1[[#This Row],[STR]] / ('Green Slime'!$O$5 / 10.8)), 1)</f>
        <v>1</v>
      </c>
      <c r="AB46" s="8">
        <f>CEILING(Wolf!$M$6/ IF(Wolf!$O$6&lt; 10.8, Table1[[#This Row],[STR]], Table1[[#This Row],[STR]] / (Wolf!$O$6 / 10.8)), 1)</f>
        <v>2</v>
      </c>
      <c r="AC46" s="8">
        <f>CEILING('Horned Wolf'!$M$5/ IF('Horned Wolf'!$O$5&lt; 10.8, Table1[[#This Row],[STR]], Table1[[#This Row],[STR]] / ('Horned Wolf'!$O$5 / 10.8)), 1)</f>
        <v>4</v>
      </c>
      <c r="AD46" s="8">
        <f>CEILING(Spider!$M$7/ IF(Spider!$O$7&lt; 10.8, Table1[[#This Row],[STR]], Table1[[#This Row],[STR]] / (Spider!$O$7 / 10.8)), 1)</f>
        <v>3</v>
      </c>
      <c r="AE46" s="8">
        <f>CEILING('Evolved Spider'!$M$8/ IF('Evolved Spider'!$O$8&lt; 10.8, Table1[[#This Row],[STR]], Table1[[#This Row],[STR]] / ('Evolved Spider'!$O$8 / 10.8)), 1)</f>
        <v>6</v>
      </c>
      <c r="AF46" s="8">
        <f>CEILING(Arachne!$M$4/ IF(Arachne!$O$4&lt; 10.8, Table1[[#This Row],[STR]], Table1[[#This Row],[STR]] / (Arachne!$O$4 / 10.8)), 1)</f>
        <v>8</v>
      </c>
      <c r="AG46" s="12">
        <f>CEILING('Earth Elemental'!$M$6/ IF('Earth Elemental'!$O$6&lt; 10.8, Table1[[#This Row],[STR]], Table1[[#This Row],[STR]] / ('Earth Elemental'!$O$6 / 10.8)), 1)</f>
        <v>7</v>
      </c>
      <c r="AH46" s="12">
        <f>CEILING('Wind Elemental'!$M$6/ IF('Wind Elemental'!$O$6&lt; 10.8, Table1[[#This Row],[STR]], Table1[[#This Row],[STR]] / ('Wind Elemental'!$O$6 / 10.8)), 1)</f>
        <v>6</v>
      </c>
      <c r="AI46" s="12">
        <f>CEILING('Water Elemental'!$M$6/ IF('Water Elemental'!$O$6&lt; 10.8, Table1[[#This Row],[STR]], Table1[[#This Row],[STR]] / ('Water Elemental'!$O$6 / 10.8)), 1)</f>
        <v>9</v>
      </c>
      <c r="AJ46" s="12">
        <f>CEILING('Fire Elemental'!$M$4/ IF('Fire Elemental'!$O$4&lt; 10.8, Table1[[#This Row],[STR]], Table1[[#This Row],[STR]] / ('Fire Elemental'!$O$4 / 10.8)), 1)</f>
        <v>12</v>
      </c>
      <c r="AK46" s="15">
        <f>CEILING(Wyvern!$M$4/ IF(Wyvern!$O$4&lt; 10.8, Table1[[#This Row],[STR]], Table1[[#This Row],[STR]] / (Wyvern!$O$4 / 10.8)), 1)</f>
        <v>15</v>
      </c>
      <c r="AL46" s="15">
        <f>CEILING('Evolved Wyvern'!$M$4/ IF('Evolved Wyvern'!$O$4&lt; 10.8, Table1[[#This Row],[STR]], Table1[[#This Row],[STR]] / ('Evolved Wyvern'!$O$4 / 10.8)), 1)</f>
        <v>20</v>
      </c>
      <c r="AM46" s="15">
        <f>CEILING(Dragon!$M$4/ IF(Dragon!$O$4&lt; 10.8, Table1[[#This Row],[STR]], Table1[[#This Row],[STR]] / (Dragon!$O$4 / 10.8)), 1)</f>
        <v>34</v>
      </c>
      <c r="AO46" s="8">
        <f>CEILING('Blue Slime'!$Z$5/ IF('Blue Slime'!$X$5&lt; 10.8, Table1[[#This Row],[STR]], Table1[[#This Row],[STR]] / ('Blue Slime'!$X$5 / 10.8)), 1)</f>
        <v>1</v>
      </c>
      <c r="AP46" s="8">
        <f>CEILING('Green Slime'!$Z$5/ IF('Green Slime'!$X$5&lt; 10.8, Table1[[#This Row],[STR]], Table1[[#This Row],[STR]] / ('Green Slime'!$X$5 / 10.8)), 1)</f>
        <v>1</v>
      </c>
      <c r="AQ46" s="8">
        <f>CEILING(Wolf!$Z$6/ IF(Wolf!$X$6&lt; 10.8, Table1[[#This Row],[STR]], Table1[[#This Row],[STR]] / (Wolf!$X$6 / 10.8)), 1)</f>
        <v>3</v>
      </c>
      <c r="AR46" s="8">
        <f>CEILING('Horned Wolf'!$Z$5/ IF('Horned Wolf'!$X$5&lt; 10.8, Table1[[#This Row],[STR]], Table1[[#This Row],[STR]] / ('Horned Wolf'!$X$5 / 10.8)), 1)</f>
        <v>6</v>
      </c>
      <c r="AS46" s="8">
        <f>CEILING(Spider!$Z$7/ IF(Spider!$X$7&lt; 10.8, Table1[[#This Row],[STR]], Table1[[#This Row],[STR]] / (Spider!$X$7 / 10.8)), 1)</f>
        <v>5</v>
      </c>
      <c r="AT46" s="8">
        <f>CEILING('Evolved Spider'!$Z$8/ IF('Evolved Spider'!$X$8&lt; 10.8, Table1[[#This Row],[STR]], Table1[[#This Row],[STR]] / ('Evolved Spider'!$X$8 / 10.8)), 1)</f>
        <v>10</v>
      </c>
      <c r="AU46" s="8">
        <f>CEILING(Arachne!$Z$4/ IF(Arachne!$X$4&lt; 10.8, Table1[[#This Row],[STR]], Table1[[#This Row],[STR]] / (Arachne!$X$4 / 10.8)), 1)</f>
        <v>13</v>
      </c>
      <c r="AV46" s="12">
        <f>CEILING('Earth Elemental'!$Z$6/ IF('Earth Elemental'!$X$6&lt; 10.8, Table1[[#This Row],[STR]], Table1[[#This Row],[STR]] / ('Earth Elemental'!$X$6 / 10.8)), 1)</f>
        <v>11</v>
      </c>
      <c r="AW46" s="12">
        <f>CEILING('Wind Elemental'!$Z$6/ IF('Wind Elemental'!$X$6&lt; 10.8, Table1[[#This Row],[STR]], Table1[[#This Row],[STR]] / ('Wind Elemental'!$X$6 / 10.8)), 1)</f>
        <v>8</v>
      </c>
      <c r="AX46" s="12">
        <f>CEILING('Water Elemental'!$Z$6/ IF('Water Elemental'!$X$6&lt; 10.8, Table1[[#This Row],[STR]], Table1[[#This Row],[STR]] / ('Water Elemental'!$X$6 / 10.8)), 1)</f>
        <v>11</v>
      </c>
      <c r="AY46" s="12">
        <f>CEILING('Fire Elemental'!$Z$4/ IF('Fire Elemental'!$X$4&lt; 10.8, Table1[[#This Row],[STR]], Table1[[#This Row],[STR]] / ('Fire Elemental'!$X$4 / 10.8)), 1)</f>
        <v>18</v>
      </c>
      <c r="AZ46" s="15">
        <f>CEILING(Wyvern!$Z$4/ IF(Wyvern!$X$4&lt; 10.8, Table1[[#This Row],[STR]], Table1[[#This Row],[STR]] / (Wyvern!$X$4 / 10.8)), 1)</f>
        <v>22</v>
      </c>
      <c r="BA46" s="15">
        <f>CEILING('Evolved Wyvern'!$Z$4/ IF('Evolved Wyvern'!$X$4&lt; 10.8, Table1[[#This Row],[STR]], Table1[[#This Row],[STR]] / ('Evolved Wyvern'!$X$4 / 10.8)), 1)</f>
        <v>28</v>
      </c>
      <c r="BB46" s="15">
        <f>CEILING(Dragon!$Z$4/ IF(Dragon!$X$4&lt; 10.8, Table1[[#This Row],[STR]], Table1[[#This Row],[STR]] / (Dragon!$X$4 / 10.8)), 1)</f>
        <v>47</v>
      </c>
    </row>
    <row r="47" spans="1:54" x14ac:dyDescent="0.3">
      <c r="A47" s="1">
        <v>45</v>
      </c>
      <c r="B47" s="1">
        <f>$B$3 + ((Table1[[#This Row],[Level]] / 10) + $B$3 / 8) * Table1[[#This Row],[Level]]+ Equipment!$AK$42</f>
        <v>398</v>
      </c>
      <c r="C47" s="1">
        <f xml:space="preserve"> 2*Table1[[#This Row],[INT]]</f>
        <v>213</v>
      </c>
      <c r="D47" s="1">
        <f>$D$3 + ($D$3 / 4) * Table1[[#This Row],[Level]]+ Equipment!$AL$42</f>
        <v>106.5</v>
      </c>
      <c r="E47" s="1">
        <f>$E$3 + ($E$3 / 4) * Table1[[#This Row],[Level]]+ Equipment!$AM$42</f>
        <v>89.25</v>
      </c>
      <c r="F47" s="1">
        <f>$F$3 + ($F$3 / 4) * Table1[[#This Row],[Level]]+ Equipment!$AN$42</f>
        <v>142</v>
      </c>
      <c r="G47" s="1">
        <f>$G$3 + ($G$3 / 4) * Table1[[#This Row],[Level]]+ Equipment!$AO$42</f>
        <v>106.5</v>
      </c>
      <c r="H47" s="1">
        <f>$H$3 + ($H$3 / 4) * Table1[[#This Row],[Level]]+ Equipment!$AP$42</f>
        <v>124.75</v>
      </c>
      <c r="I47" s="34">
        <f xml:space="preserve"> (4 * (Table1[[#This Row],[Level]] ^ 3))/7 + $I$3</f>
        <v>52171.428571428572</v>
      </c>
      <c r="K47" s="8">
        <f>CEILING('Blue Slime'!$B$5/ IF('Blue Slime'!$D$5&lt; 10.8, Table1[[#This Row],[STR]], Table1[[#This Row],[STR]] / ('Blue Slime'!$D$5 / 10.8)), 1)</f>
        <v>1</v>
      </c>
      <c r="L47" s="8">
        <f>CEILING('Green Slime'!$B$5/ IF('Green Slime'!$D$5&lt; 10.8, Table1[[#This Row],[STR]], Table1[[#This Row],[STR]] / ('Green Slime'!$D$5 / 10.8)), 1)</f>
        <v>1</v>
      </c>
      <c r="M47" s="8">
        <f>CEILING(Wolf!$B$6/ IF(Wolf!$D$6&lt; 10.8, Table1[[#This Row],[STR]], Table1[[#This Row],[STR]] / (Wolf!$D$6 / 10.8)), 1)</f>
        <v>1</v>
      </c>
      <c r="N47" s="8">
        <f>CEILING('Horned Wolf'!$B$5/ IF('Horned Wolf'!$D$5&lt; 10.8, Table1[[#This Row],[STR]], Table1[[#This Row],[STR]] / ('Horned Wolf'!$D$5 / 10.8)), 1)</f>
        <v>2</v>
      </c>
      <c r="O47" s="8">
        <f>CEILING(Spider!$B$7/ IF(Spider!$D$7&lt; 10.8, Table1[[#This Row],[STR]], Table1[[#This Row],[STR]] / (Spider!$D$7 / 10.8)), 1)</f>
        <v>2</v>
      </c>
      <c r="P47" s="8">
        <f>CEILING('Evolved Spider'!$B$8/ IF('Evolved Spider'!$D$8&lt; 10.8, Table1[[#This Row],[STR]], Table1[[#This Row],[STR]] / ('Evolved Spider'!$D$8 / 10.8)), 1)</f>
        <v>3</v>
      </c>
      <c r="Q47" s="8">
        <f>CEILING(Arachne!$B$4/ IF(Arachne!$D$4&lt; 10.8, Table1[[#This Row],[STR]], Table1[[#This Row],[STR]] / (Arachne!$D$4 / 10.8)), 1)</f>
        <v>4</v>
      </c>
      <c r="R47" s="12">
        <f>CEILING('Earth Elemental'!$B$6/ IF('Earth Elemental'!$D$6&lt; 10.8, Table1[[#This Row],[STR]], Table1[[#This Row],[STR]] / ('Earth Elemental'!$D$6 / 10.8)), 1)</f>
        <v>4</v>
      </c>
      <c r="S47" s="12">
        <f>CEILING('Wind Elemental'!$B$6/ IF('Wind Elemental'!$D$6&lt; 10.8, Table1[[#This Row],[STR]], Table1[[#This Row],[STR]] / ('Wind Elemental'!$D$6 / 10.8)), 1)</f>
        <v>4</v>
      </c>
      <c r="T47" s="12">
        <f>CEILING('Water Elemental'!$B$6/ IF('Water Elemental'!$D$6&lt; 10.8, Table1[[#This Row],[STR]], Table1[[#This Row],[STR]] / ('Water Elemental'!$D$6 / 10.8)), 1)</f>
        <v>5</v>
      </c>
      <c r="U47" s="12">
        <f>CEILING('Fire Elemental'!$B$4/ IF('Fire Elemental'!$D$4&lt; 10.8, Table1[[#This Row],[STR]], Table1[[#This Row],[STR]] / ('Fire Elemental'!$D$4 / 10.8)), 1)</f>
        <v>7</v>
      </c>
      <c r="V47" s="15">
        <f>CEILING(Wyvern!$B$4/ IF(Wyvern!$D$4&lt; 10.8, Table1[[#This Row],[STR]], Table1[[#This Row],[STR]] / (Wyvern!$D$4 / 10.8)), 1)</f>
        <v>9</v>
      </c>
      <c r="W47" s="15">
        <f>CEILING('Evolved Wyvern'!$B$4/ IF('Evolved Wyvern'!$D$4&lt; 10.8, Table1[[#This Row],[STR]], Table1[[#This Row],[STR]] / ('Evolved Wyvern'!$D$4 / 10.8)), 1)</f>
        <v>12</v>
      </c>
      <c r="X47" s="15">
        <f>CEILING(Dragon!$B$4/ IF(Dragon!$D$4&lt; 10.8, Table1[[#This Row],[STR]], Table1[[#This Row],[STR]] / (Dragon!$D$4 / 10.8)), 1)</f>
        <v>19</v>
      </c>
      <c r="Z47" s="8">
        <f>CEILING('Blue Slime'!$M$5/ IF('Blue Slime'!$O$5&lt; 10.8, Table1[[#This Row],[STR]], Table1[[#This Row],[STR]] / ('Blue Slime'!$O$5 / 10.8)), 1)</f>
        <v>1</v>
      </c>
      <c r="AA47" s="8">
        <f>CEILING('Green Slime'!$M$5/ IF('Green Slime'!$O$5&lt; 10.8, Table1[[#This Row],[STR]], Table1[[#This Row],[STR]] / ('Green Slime'!$O$5 / 10.8)), 1)</f>
        <v>1</v>
      </c>
      <c r="AB47" s="8">
        <f>CEILING(Wolf!$M$6/ IF(Wolf!$O$6&lt; 10.8, Table1[[#This Row],[STR]], Table1[[#This Row],[STR]] / (Wolf!$O$6 / 10.8)), 1)</f>
        <v>2</v>
      </c>
      <c r="AC47" s="8">
        <f>CEILING('Horned Wolf'!$M$5/ IF('Horned Wolf'!$O$5&lt; 10.8, Table1[[#This Row],[STR]], Table1[[#This Row],[STR]] / ('Horned Wolf'!$O$5 / 10.8)), 1)</f>
        <v>3</v>
      </c>
      <c r="AD47" s="8">
        <f>CEILING(Spider!$M$7/ IF(Spider!$O$7&lt; 10.8, Table1[[#This Row],[STR]], Table1[[#This Row],[STR]] / (Spider!$O$7 / 10.8)), 1)</f>
        <v>3</v>
      </c>
      <c r="AE47" s="8">
        <f>CEILING('Evolved Spider'!$M$8/ IF('Evolved Spider'!$O$8&lt; 10.8, Table1[[#This Row],[STR]], Table1[[#This Row],[STR]] / ('Evolved Spider'!$O$8 / 10.8)), 1)</f>
        <v>6</v>
      </c>
      <c r="AF47" s="8">
        <f>CEILING(Arachne!$M$4/ IF(Arachne!$O$4&lt; 10.8, Table1[[#This Row],[STR]], Table1[[#This Row],[STR]] / (Arachne!$O$4 / 10.8)), 1)</f>
        <v>7</v>
      </c>
      <c r="AG47" s="12">
        <f>CEILING('Earth Elemental'!$M$6/ IF('Earth Elemental'!$O$6&lt; 10.8, Table1[[#This Row],[STR]], Table1[[#This Row],[STR]] / ('Earth Elemental'!$O$6 / 10.8)), 1)</f>
        <v>7</v>
      </c>
      <c r="AH47" s="12">
        <f>CEILING('Wind Elemental'!$M$6/ IF('Wind Elemental'!$O$6&lt; 10.8, Table1[[#This Row],[STR]], Table1[[#This Row],[STR]] / ('Wind Elemental'!$O$6 / 10.8)), 1)</f>
        <v>6</v>
      </c>
      <c r="AI47" s="12">
        <f>CEILING('Water Elemental'!$M$6/ IF('Water Elemental'!$O$6&lt; 10.8, Table1[[#This Row],[STR]], Table1[[#This Row],[STR]] / ('Water Elemental'!$O$6 / 10.8)), 1)</f>
        <v>8</v>
      </c>
      <c r="AJ47" s="12">
        <f>CEILING('Fire Elemental'!$M$4/ IF('Fire Elemental'!$O$4&lt; 10.8, Table1[[#This Row],[STR]], Table1[[#This Row],[STR]] / ('Fire Elemental'!$O$4 / 10.8)), 1)</f>
        <v>11</v>
      </c>
      <c r="AK47" s="15">
        <f>CEILING(Wyvern!$M$4/ IF(Wyvern!$O$4&lt; 10.8, Table1[[#This Row],[STR]], Table1[[#This Row],[STR]] / (Wyvern!$O$4 / 10.8)), 1)</f>
        <v>14</v>
      </c>
      <c r="AL47" s="15">
        <f>CEILING('Evolved Wyvern'!$M$4/ IF('Evolved Wyvern'!$O$4&lt; 10.8, Table1[[#This Row],[STR]], Table1[[#This Row],[STR]] / ('Evolved Wyvern'!$O$4 / 10.8)), 1)</f>
        <v>19</v>
      </c>
      <c r="AM47" s="15">
        <f>CEILING(Dragon!$M$4/ IF(Dragon!$O$4&lt; 10.8, Table1[[#This Row],[STR]], Table1[[#This Row],[STR]] / (Dragon!$O$4 / 10.8)), 1)</f>
        <v>31</v>
      </c>
      <c r="AO47" s="8">
        <f>CEILING('Blue Slime'!$Z$5/ IF('Blue Slime'!$X$5&lt; 10.8, Table1[[#This Row],[STR]], Table1[[#This Row],[STR]] / ('Blue Slime'!$X$5 / 10.8)), 1)</f>
        <v>1</v>
      </c>
      <c r="AP47" s="8">
        <f>CEILING('Green Slime'!$Z$5/ IF('Green Slime'!$X$5&lt; 10.8, Table1[[#This Row],[STR]], Table1[[#This Row],[STR]] / ('Green Slime'!$X$5 / 10.8)), 1)</f>
        <v>1</v>
      </c>
      <c r="AQ47" s="8">
        <f>CEILING(Wolf!$Z$6/ IF(Wolf!$X$6&lt; 10.8, Table1[[#This Row],[STR]], Table1[[#This Row],[STR]] / (Wolf!$X$6 / 10.8)), 1)</f>
        <v>2</v>
      </c>
      <c r="AR47" s="8">
        <f>CEILING('Horned Wolf'!$Z$5/ IF('Horned Wolf'!$X$5&lt; 10.8, Table1[[#This Row],[STR]], Table1[[#This Row],[STR]] / ('Horned Wolf'!$X$5 / 10.8)), 1)</f>
        <v>6</v>
      </c>
      <c r="AS47" s="8">
        <f>CEILING(Spider!$Z$7/ IF(Spider!$X$7&lt; 10.8, Table1[[#This Row],[STR]], Table1[[#This Row],[STR]] / (Spider!$X$7 / 10.8)), 1)</f>
        <v>5</v>
      </c>
      <c r="AT47" s="8">
        <f>CEILING('Evolved Spider'!$Z$8/ IF('Evolved Spider'!$X$8&lt; 10.8, Table1[[#This Row],[STR]], Table1[[#This Row],[STR]] / ('Evolved Spider'!$X$8 / 10.8)), 1)</f>
        <v>9</v>
      </c>
      <c r="AU47" s="8">
        <f>CEILING(Arachne!$Z$4/ IF(Arachne!$X$4&lt; 10.8, Table1[[#This Row],[STR]], Table1[[#This Row],[STR]] / (Arachne!$X$4 / 10.8)), 1)</f>
        <v>12</v>
      </c>
      <c r="AV47" s="12">
        <f>CEILING('Earth Elemental'!$Z$6/ IF('Earth Elemental'!$X$6&lt; 10.8, Table1[[#This Row],[STR]], Table1[[#This Row],[STR]] / ('Earth Elemental'!$X$6 / 10.8)), 1)</f>
        <v>10</v>
      </c>
      <c r="AW47" s="12">
        <f>CEILING('Wind Elemental'!$Z$6/ IF('Wind Elemental'!$X$6&lt; 10.8, Table1[[#This Row],[STR]], Table1[[#This Row],[STR]] / ('Wind Elemental'!$X$6 / 10.8)), 1)</f>
        <v>8</v>
      </c>
      <c r="AX47" s="12">
        <f>CEILING('Water Elemental'!$Z$6/ IF('Water Elemental'!$X$6&lt; 10.8, Table1[[#This Row],[STR]], Table1[[#This Row],[STR]] / ('Water Elemental'!$X$6 / 10.8)), 1)</f>
        <v>11</v>
      </c>
      <c r="AY47" s="12">
        <f>CEILING('Fire Elemental'!$Z$4/ IF('Fire Elemental'!$X$4&lt; 10.8, Table1[[#This Row],[STR]], Table1[[#This Row],[STR]] / ('Fire Elemental'!$X$4 / 10.8)), 1)</f>
        <v>17</v>
      </c>
      <c r="AZ47" s="15">
        <f>CEILING(Wyvern!$Z$4/ IF(Wyvern!$X$4&lt; 10.8, Table1[[#This Row],[STR]], Table1[[#This Row],[STR]] / (Wyvern!$X$4 / 10.8)), 1)</f>
        <v>20</v>
      </c>
      <c r="BA47" s="15">
        <f>CEILING('Evolved Wyvern'!$Z$4/ IF('Evolved Wyvern'!$X$4&lt; 10.8, Table1[[#This Row],[STR]], Table1[[#This Row],[STR]] / ('Evolved Wyvern'!$X$4 / 10.8)), 1)</f>
        <v>26</v>
      </c>
      <c r="BB47" s="15">
        <f>CEILING(Dragon!$Z$4/ IF(Dragon!$X$4&lt; 10.8, Table1[[#This Row],[STR]], Table1[[#This Row],[STR]] / (Dragon!$X$4 / 10.8)), 1)</f>
        <v>43</v>
      </c>
    </row>
    <row r="48" spans="1:54" x14ac:dyDescent="0.3">
      <c r="A48" s="1">
        <v>46</v>
      </c>
      <c r="B48" s="1">
        <f>$B$3 + ((Table1[[#This Row],[Level]] / 10) + $B$3 / 8) * Table1[[#This Row],[Level]]+ Equipment!$AK$42</f>
        <v>408.59999999999997</v>
      </c>
      <c r="C48" s="1">
        <f xml:space="preserve"> 2*Table1[[#This Row],[INT]]</f>
        <v>216</v>
      </c>
      <c r="D48" s="1">
        <f>$D$3 + ($D$3 / 4) * Table1[[#This Row],[Level]]+ Equipment!$AL$42</f>
        <v>108</v>
      </c>
      <c r="E48" s="1">
        <f>$E$3 + ($E$3 / 4) * Table1[[#This Row],[Level]]+ Equipment!$AM$42</f>
        <v>90.5</v>
      </c>
      <c r="F48" s="1">
        <f>$F$3 + ($F$3 / 4) * Table1[[#This Row],[Level]]+ Equipment!$AN$42</f>
        <v>144</v>
      </c>
      <c r="G48" s="1">
        <f>$G$3 + ($G$3 / 4) * Table1[[#This Row],[Level]]+ Equipment!$AO$42</f>
        <v>108</v>
      </c>
      <c r="H48" s="1">
        <f>$H$3 + ($H$3 / 4) * Table1[[#This Row],[Level]]+ Equipment!$AP$42</f>
        <v>126.5</v>
      </c>
      <c r="I48" s="34">
        <f xml:space="preserve"> (4 * (Table1[[#This Row],[Level]] ^ 3))/7 + $I$3</f>
        <v>55720.571428571428</v>
      </c>
      <c r="K48" s="8">
        <f>CEILING('Blue Slime'!$B$5/ IF('Blue Slime'!$D$5&lt; 10.8, Table1[[#This Row],[STR]], Table1[[#This Row],[STR]] / ('Blue Slime'!$D$5 / 10.8)), 1)</f>
        <v>1</v>
      </c>
      <c r="L48" s="8">
        <f>CEILING('Green Slime'!$B$5/ IF('Green Slime'!$D$5&lt; 10.8, Table1[[#This Row],[STR]], Table1[[#This Row],[STR]] / ('Green Slime'!$D$5 / 10.8)), 1)</f>
        <v>1</v>
      </c>
      <c r="M48" s="8">
        <f>CEILING(Wolf!$B$6/ IF(Wolf!$D$6&lt; 10.8, Table1[[#This Row],[STR]], Table1[[#This Row],[STR]] / (Wolf!$D$6 / 10.8)), 1)</f>
        <v>1</v>
      </c>
      <c r="N48" s="8">
        <f>CEILING('Horned Wolf'!$B$5/ IF('Horned Wolf'!$D$5&lt; 10.8, Table1[[#This Row],[STR]], Table1[[#This Row],[STR]] / ('Horned Wolf'!$D$5 / 10.8)), 1)</f>
        <v>2</v>
      </c>
      <c r="O48" s="8">
        <f>CEILING(Spider!$B$7/ IF(Spider!$D$7&lt; 10.8, Table1[[#This Row],[STR]], Table1[[#This Row],[STR]] / (Spider!$D$7 / 10.8)), 1)</f>
        <v>2</v>
      </c>
      <c r="P48" s="8">
        <f>CEILING('Evolved Spider'!$B$8/ IF('Evolved Spider'!$D$8&lt; 10.8, Table1[[#This Row],[STR]], Table1[[#This Row],[STR]] / ('Evolved Spider'!$D$8 / 10.8)), 1)</f>
        <v>3</v>
      </c>
      <c r="Q48" s="8">
        <f>CEILING(Arachne!$B$4/ IF(Arachne!$D$4&lt; 10.8, Table1[[#This Row],[STR]], Table1[[#This Row],[STR]] / (Arachne!$D$4 / 10.8)), 1)</f>
        <v>4</v>
      </c>
      <c r="R48" s="12">
        <f>CEILING('Earth Elemental'!$B$6/ IF('Earth Elemental'!$D$6&lt; 10.8, Table1[[#This Row],[STR]], Table1[[#This Row],[STR]] / ('Earth Elemental'!$D$6 / 10.8)), 1)</f>
        <v>4</v>
      </c>
      <c r="S48" s="12">
        <f>CEILING('Wind Elemental'!$B$6/ IF('Wind Elemental'!$D$6&lt; 10.8, Table1[[#This Row],[STR]], Table1[[#This Row],[STR]] / ('Wind Elemental'!$D$6 / 10.8)), 1)</f>
        <v>4</v>
      </c>
      <c r="T48" s="12">
        <f>CEILING('Water Elemental'!$B$6/ IF('Water Elemental'!$D$6&lt; 10.8, Table1[[#This Row],[STR]], Table1[[#This Row],[STR]] / ('Water Elemental'!$D$6 / 10.8)), 1)</f>
        <v>5</v>
      </c>
      <c r="U48" s="12">
        <f>CEILING('Fire Elemental'!$B$4/ IF('Fire Elemental'!$D$4&lt; 10.8, Table1[[#This Row],[STR]], Table1[[#This Row],[STR]] / ('Fire Elemental'!$D$4 / 10.8)), 1)</f>
        <v>7</v>
      </c>
      <c r="V48" s="15">
        <f>CEILING(Wyvern!$B$4/ IF(Wyvern!$D$4&lt; 10.8, Table1[[#This Row],[STR]], Table1[[#This Row],[STR]] / (Wyvern!$D$4 / 10.8)), 1)</f>
        <v>9</v>
      </c>
      <c r="W48" s="15">
        <f>CEILING('Evolved Wyvern'!$B$4/ IF('Evolved Wyvern'!$D$4&lt; 10.8, Table1[[#This Row],[STR]], Table1[[#This Row],[STR]] / ('Evolved Wyvern'!$D$4 / 10.8)), 1)</f>
        <v>12</v>
      </c>
      <c r="X48" s="15">
        <f>CEILING(Dragon!$B$4/ IF(Dragon!$D$4&lt; 10.8, Table1[[#This Row],[STR]], Table1[[#This Row],[STR]] / (Dragon!$D$4 / 10.8)), 1)</f>
        <v>19</v>
      </c>
      <c r="Z48" s="8">
        <f>CEILING('Blue Slime'!$M$5/ IF('Blue Slime'!$O$5&lt; 10.8, Table1[[#This Row],[STR]], Table1[[#This Row],[STR]] / ('Blue Slime'!$O$5 / 10.8)), 1)</f>
        <v>1</v>
      </c>
      <c r="AA48" s="8">
        <f>CEILING('Green Slime'!$M$5/ IF('Green Slime'!$O$5&lt; 10.8, Table1[[#This Row],[STR]], Table1[[#This Row],[STR]] / ('Green Slime'!$O$5 / 10.8)), 1)</f>
        <v>1</v>
      </c>
      <c r="AB48" s="8">
        <f>CEILING(Wolf!$M$6/ IF(Wolf!$O$6&lt; 10.8, Table1[[#This Row],[STR]], Table1[[#This Row],[STR]] / (Wolf!$O$6 / 10.8)), 1)</f>
        <v>2</v>
      </c>
      <c r="AC48" s="8">
        <f>CEILING('Horned Wolf'!$M$5/ IF('Horned Wolf'!$O$5&lt; 10.8, Table1[[#This Row],[STR]], Table1[[#This Row],[STR]] / ('Horned Wolf'!$O$5 / 10.8)), 1)</f>
        <v>3</v>
      </c>
      <c r="AD48" s="8">
        <f>CEILING(Spider!$M$7/ IF(Spider!$O$7&lt; 10.8, Table1[[#This Row],[STR]], Table1[[#This Row],[STR]] / (Spider!$O$7 / 10.8)), 1)</f>
        <v>3</v>
      </c>
      <c r="AE48" s="8">
        <f>CEILING('Evolved Spider'!$M$8/ IF('Evolved Spider'!$O$8&lt; 10.8, Table1[[#This Row],[STR]], Table1[[#This Row],[STR]] / ('Evolved Spider'!$O$8 / 10.8)), 1)</f>
        <v>5</v>
      </c>
      <c r="AF48" s="8">
        <f>CEILING(Arachne!$M$4/ IF(Arachne!$O$4&lt; 10.8, Table1[[#This Row],[STR]], Table1[[#This Row],[STR]] / (Arachne!$O$4 / 10.8)), 1)</f>
        <v>7</v>
      </c>
      <c r="AG48" s="12">
        <f>CEILING('Earth Elemental'!$M$6/ IF('Earth Elemental'!$O$6&lt; 10.8, Table1[[#This Row],[STR]], Table1[[#This Row],[STR]] / ('Earth Elemental'!$O$6 / 10.8)), 1)</f>
        <v>7</v>
      </c>
      <c r="AH48" s="12">
        <f>CEILING('Wind Elemental'!$M$6/ IF('Wind Elemental'!$O$6&lt; 10.8, Table1[[#This Row],[STR]], Table1[[#This Row],[STR]] / ('Wind Elemental'!$O$6 / 10.8)), 1)</f>
        <v>6</v>
      </c>
      <c r="AI48" s="12">
        <f>CEILING('Water Elemental'!$M$6/ IF('Water Elemental'!$O$6&lt; 10.8, Table1[[#This Row],[STR]], Table1[[#This Row],[STR]] / ('Water Elemental'!$O$6 / 10.8)), 1)</f>
        <v>8</v>
      </c>
      <c r="AJ48" s="12">
        <f>CEILING('Fire Elemental'!$M$4/ IF('Fire Elemental'!$O$4&lt; 10.8, Table1[[#This Row],[STR]], Table1[[#This Row],[STR]] / ('Fire Elemental'!$O$4 / 10.8)), 1)</f>
        <v>11</v>
      </c>
      <c r="AK48" s="15">
        <f>CEILING(Wyvern!$M$4/ IF(Wyvern!$O$4&lt; 10.8, Table1[[#This Row],[STR]], Table1[[#This Row],[STR]] / (Wyvern!$O$4 / 10.8)), 1)</f>
        <v>14</v>
      </c>
      <c r="AL48" s="15">
        <f>CEILING('Evolved Wyvern'!$M$4/ IF('Evolved Wyvern'!$O$4&lt; 10.8, Table1[[#This Row],[STR]], Table1[[#This Row],[STR]] / ('Evolved Wyvern'!$O$4 / 10.8)), 1)</f>
        <v>18</v>
      </c>
      <c r="AM48" s="15">
        <f>CEILING(Dragon!$M$4/ IF(Dragon!$O$4&lt; 10.8, Table1[[#This Row],[STR]], Table1[[#This Row],[STR]] / (Dragon!$O$4 / 10.8)), 1)</f>
        <v>30</v>
      </c>
      <c r="AO48" s="8">
        <f>CEILING('Blue Slime'!$Z$5/ IF('Blue Slime'!$X$5&lt; 10.8, Table1[[#This Row],[STR]], Table1[[#This Row],[STR]] / ('Blue Slime'!$X$5 / 10.8)), 1)</f>
        <v>1</v>
      </c>
      <c r="AP48" s="8">
        <f>CEILING('Green Slime'!$Z$5/ IF('Green Slime'!$X$5&lt; 10.8, Table1[[#This Row],[STR]], Table1[[#This Row],[STR]] / ('Green Slime'!$X$5 / 10.8)), 1)</f>
        <v>1</v>
      </c>
      <c r="AQ48" s="8">
        <f>CEILING(Wolf!$Z$6/ IF(Wolf!$X$6&lt; 10.8, Table1[[#This Row],[STR]], Table1[[#This Row],[STR]] / (Wolf!$X$6 / 10.8)), 1)</f>
        <v>2</v>
      </c>
      <c r="AR48" s="8">
        <f>CEILING('Horned Wolf'!$Z$5/ IF('Horned Wolf'!$X$5&lt; 10.8, Table1[[#This Row],[STR]], Table1[[#This Row],[STR]] / ('Horned Wolf'!$X$5 / 10.8)), 1)</f>
        <v>6</v>
      </c>
      <c r="AS48" s="8">
        <f>CEILING(Spider!$Z$7/ IF(Spider!$X$7&lt; 10.8, Table1[[#This Row],[STR]], Table1[[#This Row],[STR]] / (Spider!$X$7 / 10.8)), 1)</f>
        <v>5</v>
      </c>
      <c r="AT48" s="8">
        <f>CEILING('Evolved Spider'!$Z$8/ IF('Evolved Spider'!$X$8&lt; 10.8, Table1[[#This Row],[STR]], Table1[[#This Row],[STR]] / ('Evolved Spider'!$X$8 / 10.8)), 1)</f>
        <v>9</v>
      </c>
      <c r="AU48" s="8">
        <f>CEILING(Arachne!$Z$4/ IF(Arachne!$X$4&lt; 10.8, Table1[[#This Row],[STR]], Table1[[#This Row],[STR]] / (Arachne!$X$4 / 10.8)), 1)</f>
        <v>12</v>
      </c>
      <c r="AV48" s="12">
        <f>CEILING('Earth Elemental'!$Z$6/ IF('Earth Elemental'!$X$6&lt; 10.8, Table1[[#This Row],[STR]], Table1[[#This Row],[STR]] / ('Earth Elemental'!$X$6 / 10.8)), 1)</f>
        <v>10</v>
      </c>
      <c r="AW48" s="12">
        <f>CEILING('Wind Elemental'!$Z$6/ IF('Wind Elemental'!$X$6&lt; 10.8, Table1[[#This Row],[STR]], Table1[[#This Row],[STR]] / ('Wind Elemental'!$X$6 / 10.8)), 1)</f>
        <v>8</v>
      </c>
      <c r="AX48" s="12">
        <f>CEILING('Water Elemental'!$Z$6/ IF('Water Elemental'!$X$6&lt; 10.8, Table1[[#This Row],[STR]], Table1[[#This Row],[STR]] / ('Water Elemental'!$X$6 / 10.8)), 1)</f>
        <v>10</v>
      </c>
      <c r="AY48" s="12">
        <f>CEILING('Fire Elemental'!$Z$4/ IF('Fire Elemental'!$X$4&lt; 10.8, Table1[[#This Row],[STR]], Table1[[#This Row],[STR]] / ('Fire Elemental'!$X$4 / 10.8)), 1)</f>
        <v>17</v>
      </c>
      <c r="AZ48" s="15">
        <f>CEILING(Wyvern!$Z$4/ IF(Wyvern!$X$4&lt; 10.8, Table1[[#This Row],[STR]], Table1[[#This Row],[STR]] / (Wyvern!$X$4 / 10.8)), 1)</f>
        <v>20</v>
      </c>
      <c r="BA48" s="15">
        <f>CEILING('Evolved Wyvern'!$Z$4/ IF('Evolved Wyvern'!$X$4&lt; 10.8, Table1[[#This Row],[STR]], Table1[[#This Row],[STR]] / ('Evolved Wyvern'!$X$4 / 10.8)), 1)</f>
        <v>26</v>
      </c>
      <c r="BB48" s="15">
        <f>CEILING(Dragon!$Z$4/ IF(Dragon!$X$4&lt; 10.8, Table1[[#This Row],[STR]], Table1[[#This Row],[STR]] / (Dragon!$X$4 / 10.8)), 1)</f>
        <v>43</v>
      </c>
    </row>
    <row r="49" spans="1:54" x14ac:dyDescent="0.3">
      <c r="A49" s="1">
        <v>47</v>
      </c>
      <c r="B49" s="1">
        <f>$B$3 + ((Table1[[#This Row],[Level]] / 10) + $B$3 / 8) * Table1[[#This Row],[Level]]+ Equipment!$AK$42</f>
        <v>419.40000000000003</v>
      </c>
      <c r="C49" s="1">
        <f xml:space="preserve"> 2*Table1[[#This Row],[INT]]</f>
        <v>219</v>
      </c>
      <c r="D49" s="1">
        <f>$D$3 + ($D$3 / 4) * Table1[[#This Row],[Level]]+ Equipment!$AL$42</f>
        <v>109.5</v>
      </c>
      <c r="E49" s="1">
        <f>$E$3 + ($E$3 / 4) * Table1[[#This Row],[Level]]+ Equipment!$AM$42</f>
        <v>91.75</v>
      </c>
      <c r="F49" s="1">
        <f>$F$3 + ($F$3 / 4) * Table1[[#This Row],[Level]]+ Equipment!$AN$42</f>
        <v>146</v>
      </c>
      <c r="G49" s="1">
        <f>$G$3 + ($G$3 / 4) * Table1[[#This Row],[Level]]+ Equipment!$AO$42</f>
        <v>109.5</v>
      </c>
      <c r="H49" s="1">
        <f>$H$3 + ($H$3 / 4) * Table1[[#This Row],[Level]]+ Equipment!$AP$42</f>
        <v>128.25</v>
      </c>
      <c r="I49" s="34">
        <f xml:space="preserve"> (4 * (Table1[[#This Row],[Level]] ^ 3))/7 + $I$3</f>
        <v>59427.428571428572</v>
      </c>
      <c r="K49" s="8">
        <f>CEILING('Blue Slime'!$B$5/ IF('Blue Slime'!$D$5&lt; 10.8, Table1[[#This Row],[STR]], Table1[[#This Row],[STR]] / ('Blue Slime'!$D$5 / 10.8)), 1)</f>
        <v>1</v>
      </c>
      <c r="L49" s="8">
        <f>CEILING('Green Slime'!$B$5/ IF('Green Slime'!$D$5&lt; 10.8, Table1[[#This Row],[STR]], Table1[[#This Row],[STR]] / ('Green Slime'!$D$5 / 10.8)), 1)</f>
        <v>1</v>
      </c>
      <c r="M49" s="8">
        <f>CEILING(Wolf!$B$6/ IF(Wolf!$D$6&lt; 10.8, Table1[[#This Row],[STR]], Table1[[#This Row],[STR]] / (Wolf!$D$6 / 10.8)), 1)</f>
        <v>1</v>
      </c>
      <c r="N49" s="8">
        <f>CEILING('Horned Wolf'!$B$5/ IF('Horned Wolf'!$D$5&lt; 10.8, Table1[[#This Row],[STR]], Table1[[#This Row],[STR]] / ('Horned Wolf'!$D$5 / 10.8)), 1)</f>
        <v>2</v>
      </c>
      <c r="O49" s="8">
        <f>CEILING(Spider!$B$7/ IF(Spider!$D$7&lt; 10.8, Table1[[#This Row],[STR]], Table1[[#This Row],[STR]] / (Spider!$D$7 / 10.8)), 1)</f>
        <v>2</v>
      </c>
      <c r="P49" s="8">
        <f>CEILING('Evolved Spider'!$B$8/ IF('Evolved Spider'!$D$8&lt; 10.8, Table1[[#This Row],[STR]], Table1[[#This Row],[STR]] / ('Evolved Spider'!$D$8 / 10.8)), 1)</f>
        <v>3</v>
      </c>
      <c r="Q49" s="8">
        <f>CEILING(Arachne!$B$4/ IF(Arachne!$D$4&lt; 10.8, Table1[[#This Row],[STR]], Table1[[#This Row],[STR]] / (Arachne!$D$4 / 10.8)), 1)</f>
        <v>4</v>
      </c>
      <c r="R49" s="12">
        <f>CEILING('Earth Elemental'!$B$6/ IF('Earth Elemental'!$D$6&lt; 10.8, Table1[[#This Row],[STR]], Table1[[#This Row],[STR]] / ('Earth Elemental'!$D$6 / 10.8)), 1)</f>
        <v>4</v>
      </c>
      <c r="S49" s="12">
        <f>CEILING('Wind Elemental'!$B$6/ IF('Wind Elemental'!$D$6&lt; 10.8, Table1[[#This Row],[STR]], Table1[[#This Row],[STR]] / ('Wind Elemental'!$D$6 / 10.8)), 1)</f>
        <v>4</v>
      </c>
      <c r="T49" s="12">
        <f>CEILING('Water Elemental'!$B$6/ IF('Water Elemental'!$D$6&lt; 10.8, Table1[[#This Row],[STR]], Table1[[#This Row],[STR]] / ('Water Elemental'!$D$6 / 10.8)), 1)</f>
        <v>5</v>
      </c>
      <c r="U49" s="12">
        <f>CEILING('Fire Elemental'!$B$4/ IF('Fire Elemental'!$D$4&lt; 10.8, Table1[[#This Row],[STR]], Table1[[#This Row],[STR]] / ('Fire Elemental'!$D$4 / 10.8)), 1)</f>
        <v>6</v>
      </c>
      <c r="V49" s="15">
        <f>CEILING(Wyvern!$B$4/ IF(Wyvern!$D$4&lt; 10.8, Table1[[#This Row],[STR]], Table1[[#This Row],[STR]] / (Wyvern!$D$4 / 10.8)), 1)</f>
        <v>9</v>
      </c>
      <c r="W49" s="15">
        <f>CEILING('Evolved Wyvern'!$B$4/ IF('Evolved Wyvern'!$D$4&lt; 10.8, Table1[[#This Row],[STR]], Table1[[#This Row],[STR]] / ('Evolved Wyvern'!$D$4 / 10.8)), 1)</f>
        <v>12</v>
      </c>
      <c r="X49" s="15">
        <f>CEILING(Dragon!$B$4/ IF(Dragon!$D$4&lt; 10.8, Table1[[#This Row],[STR]], Table1[[#This Row],[STR]] / (Dragon!$D$4 / 10.8)), 1)</f>
        <v>19</v>
      </c>
      <c r="Z49" s="8">
        <f>CEILING('Blue Slime'!$M$5/ IF('Blue Slime'!$O$5&lt; 10.8, Table1[[#This Row],[STR]], Table1[[#This Row],[STR]] / ('Blue Slime'!$O$5 / 10.8)), 1)</f>
        <v>1</v>
      </c>
      <c r="AA49" s="8">
        <f>CEILING('Green Slime'!$M$5/ IF('Green Slime'!$O$5&lt; 10.8, Table1[[#This Row],[STR]], Table1[[#This Row],[STR]] / ('Green Slime'!$O$5 / 10.8)), 1)</f>
        <v>1</v>
      </c>
      <c r="AB49" s="8">
        <f>CEILING(Wolf!$M$6/ IF(Wolf!$O$6&lt; 10.8, Table1[[#This Row],[STR]], Table1[[#This Row],[STR]] / (Wolf!$O$6 / 10.8)), 1)</f>
        <v>2</v>
      </c>
      <c r="AC49" s="8">
        <f>CEILING('Horned Wolf'!$M$5/ IF('Horned Wolf'!$O$5&lt; 10.8, Table1[[#This Row],[STR]], Table1[[#This Row],[STR]] / ('Horned Wolf'!$O$5 / 10.8)), 1)</f>
        <v>3</v>
      </c>
      <c r="AD49" s="8">
        <f>CEILING(Spider!$M$7/ IF(Spider!$O$7&lt; 10.8, Table1[[#This Row],[STR]], Table1[[#This Row],[STR]] / (Spider!$O$7 / 10.8)), 1)</f>
        <v>3</v>
      </c>
      <c r="AE49" s="8">
        <f>CEILING('Evolved Spider'!$M$8/ IF('Evolved Spider'!$O$8&lt; 10.8, Table1[[#This Row],[STR]], Table1[[#This Row],[STR]] / ('Evolved Spider'!$O$8 / 10.8)), 1)</f>
        <v>5</v>
      </c>
      <c r="AF49" s="8">
        <f>CEILING(Arachne!$M$4/ IF(Arachne!$O$4&lt; 10.8, Table1[[#This Row],[STR]], Table1[[#This Row],[STR]] / (Arachne!$O$4 / 10.8)), 1)</f>
        <v>7</v>
      </c>
      <c r="AG49" s="12">
        <f>CEILING('Earth Elemental'!$M$6/ IF('Earth Elemental'!$O$6&lt; 10.8, Table1[[#This Row],[STR]], Table1[[#This Row],[STR]] / ('Earth Elemental'!$O$6 / 10.8)), 1)</f>
        <v>7</v>
      </c>
      <c r="AH49" s="12">
        <f>CEILING('Wind Elemental'!$M$6/ IF('Wind Elemental'!$O$6&lt; 10.8, Table1[[#This Row],[STR]], Table1[[#This Row],[STR]] / ('Wind Elemental'!$O$6 / 10.8)), 1)</f>
        <v>5</v>
      </c>
      <c r="AI49" s="12">
        <f>CEILING('Water Elemental'!$M$6/ IF('Water Elemental'!$O$6&lt; 10.8, Table1[[#This Row],[STR]], Table1[[#This Row],[STR]] / ('Water Elemental'!$O$6 / 10.8)), 1)</f>
        <v>8</v>
      </c>
      <c r="AJ49" s="12">
        <f>CEILING('Fire Elemental'!$M$4/ IF('Fire Elemental'!$O$4&lt; 10.8, Table1[[#This Row],[STR]], Table1[[#This Row],[STR]] / ('Fire Elemental'!$O$4 / 10.8)), 1)</f>
        <v>11</v>
      </c>
      <c r="AK49" s="15">
        <f>CEILING(Wyvern!$M$4/ IF(Wyvern!$O$4&lt; 10.8, Table1[[#This Row],[STR]], Table1[[#This Row],[STR]] / (Wyvern!$O$4 / 10.8)), 1)</f>
        <v>14</v>
      </c>
      <c r="AL49" s="15">
        <f>CEILING('Evolved Wyvern'!$M$4/ IF('Evolved Wyvern'!$O$4&lt; 10.8, Table1[[#This Row],[STR]], Table1[[#This Row],[STR]] / ('Evolved Wyvern'!$O$4 / 10.8)), 1)</f>
        <v>18</v>
      </c>
      <c r="AM49" s="15">
        <f>CEILING(Dragon!$M$4/ IF(Dragon!$O$4&lt; 10.8, Table1[[#This Row],[STR]], Table1[[#This Row],[STR]] / (Dragon!$O$4 / 10.8)), 1)</f>
        <v>30</v>
      </c>
      <c r="AO49" s="8">
        <f>CEILING('Blue Slime'!$Z$5/ IF('Blue Slime'!$X$5&lt; 10.8, Table1[[#This Row],[STR]], Table1[[#This Row],[STR]] / ('Blue Slime'!$X$5 / 10.8)), 1)</f>
        <v>1</v>
      </c>
      <c r="AP49" s="8">
        <f>CEILING('Green Slime'!$Z$5/ IF('Green Slime'!$X$5&lt; 10.8, Table1[[#This Row],[STR]], Table1[[#This Row],[STR]] / ('Green Slime'!$X$5 / 10.8)), 1)</f>
        <v>1</v>
      </c>
      <c r="AQ49" s="8">
        <f>CEILING(Wolf!$Z$6/ IF(Wolf!$X$6&lt; 10.8, Table1[[#This Row],[STR]], Table1[[#This Row],[STR]] / (Wolf!$X$6 / 10.8)), 1)</f>
        <v>2</v>
      </c>
      <c r="AR49" s="8">
        <f>CEILING('Horned Wolf'!$Z$5/ IF('Horned Wolf'!$X$5&lt; 10.8, Table1[[#This Row],[STR]], Table1[[#This Row],[STR]] / ('Horned Wolf'!$X$5 / 10.8)), 1)</f>
        <v>6</v>
      </c>
      <c r="AS49" s="8">
        <f>CEILING(Spider!$Z$7/ IF(Spider!$X$7&lt; 10.8, Table1[[#This Row],[STR]], Table1[[#This Row],[STR]] / (Spider!$X$7 / 10.8)), 1)</f>
        <v>5</v>
      </c>
      <c r="AT49" s="8">
        <f>CEILING('Evolved Spider'!$Z$8/ IF('Evolved Spider'!$X$8&lt; 10.8, Table1[[#This Row],[STR]], Table1[[#This Row],[STR]] / ('Evolved Spider'!$X$8 / 10.8)), 1)</f>
        <v>9</v>
      </c>
      <c r="AU49" s="8">
        <f>CEILING(Arachne!$Z$4/ IF(Arachne!$X$4&lt; 10.8, Table1[[#This Row],[STR]], Table1[[#This Row],[STR]] / (Arachne!$X$4 / 10.8)), 1)</f>
        <v>11</v>
      </c>
      <c r="AV49" s="12">
        <f>CEILING('Earth Elemental'!$Z$6/ IF('Earth Elemental'!$X$6&lt; 10.8, Table1[[#This Row],[STR]], Table1[[#This Row],[STR]] / ('Earth Elemental'!$X$6 / 10.8)), 1)</f>
        <v>10</v>
      </c>
      <c r="AW49" s="12">
        <f>CEILING('Wind Elemental'!$Z$6/ IF('Wind Elemental'!$X$6&lt; 10.8, Table1[[#This Row],[STR]], Table1[[#This Row],[STR]] / ('Wind Elemental'!$X$6 / 10.8)), 1)</f>
        <v>8</v>
      </c>
      <c r="AX49" s="12">
        <f>CEILING('Water Elemental'!$Z$6/ IF('Water Elemental'!$X$6&lt; 10.8, Table1[[#This Row],[STR]], Table1[[#This Row],[STR]] / ('Water Elemental'!$X$6 / 10.8)), 1)</f>
        <v>10</v>
      </c>
      <c r="AY49" s="12">
        <f>CEILING('Fire Elemental'!$Z$4/ IF('Fire Elemental'!$X$4&lt; 10.8, Table1[[#This Row],[STR]], Table1[[#This Row],[STR]] / ('Fire Elemental'!$X$4 / 10.8)), 1)</f>
        <v>16</v>
      </c>
      <c r="AZ49" s="15">
        <f>CEILING(Wyvern!$Z$4/ IF(Wyvern!$X$4&lt; 10.8, Table1[[#This Row],[STR]], Table1[[#This Row],[STR]] / (Wyvern!$X$4 / 10.8)), 1)</f>
        <v>20</v>
      </c>
      <c r="BA49" s="15">
        <f>CEILING('Evolved Wyvern'!$Z$4/ IF('Evolved Wyvern'!$X$4&lt; 10.8, Table1[[#This Row],[STR]], Table1[[#This Row],[STR]] / ('Evolved Wyvern'!$X$4 / 10.8)), 1)</f>
        <v>25</v>
      </c>
      <c r="BB49" s="15">
        <f>CEILING(Dragon!$Z$4/ IF(Dragon!$X$4&lt; 10.8, Table1[[#This Row],[STR]], Table1[[#This Row],[STR]] / (Dragon!$X$4 / 10.8)), 1)</f>
        <v>42</v>
      </c>
    </row>
    <row r="50" spans="1:54" x14ac:dyDescent="0.3">
      <c r="A50" s="1">
        <v>48</v>
      </c>
      <c r="B50" s="1">
        <f>$B$3 + ((Table1[[#This Row],[Level]] / 10) + $B$3 / 8) * Table1[[#This Row],[Level]]+ Equipment!$AK$42</f>
        <v>430.4</v>
      </c>
      <c r="C50" s="1">
        <f xml:space="preserve"> 2*Table1[[#This Row],[INT]]</f>
        <v>222</v>
      </c>
      <c r="D50" s="1">
        <f>$D$3 + ($D$3 / 4) * Table1[[#This Row],[Level]]+ Equipment!$AL$42</f>
        <v>111</v>
      </c>
      <c r="E50" s="1">
        <f>$E$3 + ($E$3 / 4) * Table1[[#This Row],[Level]]+ Equipment!$AM$42</f>
        <v>93</v>
      </c>
      <c r="F50" s="1">
        <f>$F$3 + ($F$3 / 4) * Table1[[#This Row],[Level]]+ Equipment!$AN$42</f>
        <v>148</v>
      </c>
      <c r="G50" s="1">
        <f>$G$3 + ($G$3 / 4) * Table1[[#This Row],[Level]]+ Equipment!$AO$42</f>
        <v>111</v>
      </c>
      <c r="H50" s="1">
        <f>$H$3 + ($H$3 / 4) * Table1[[#This Row],[Level]]+ Equipment!$AP$42</f>
        <v>130</v>
      </c>
      <c r="I50" s="34">
        <f xml:space="preserve"> (4 * (Table1[[#This Row],[Level]] ^ 3))/7 + $I$3</f>
        <v>63295.428571428572</v>
      </c>
      <c r="K50" s="8">
        <f>CEILING('Blue Slime'!$B$5/ IF('Blue Slime'!$D$5&lt; 10.8, Table1[[#This Row],[STR]], Table1[[#This Row],[STR]] / ('Blue Slime'!$D$5 / 10.8)), 1)</f>
        <v>1</v>
      </c>
      <c r="L50" s="8">
        <f>CEILING('Green Slime'!$B$5/ IF('Green Slime'!$D$5&lt; 10.8, Table1[[#This Row],[STR]], Table1[[#This Row],[STR]] / ('Green Slime'!$D$5 / 10.8)), 1)</f>
        <v>1</v>
      </c>
      <c r="M50" s="8">
        <f>CEILING(Wolf!$B$6/ IF(Wolf!$D$6&lt; 10.8, Table1[[#This Row],[STR]], Table1[[#This Row],[STR]] / (Wolf!$D$6 / 10.8)), 1)</f>
        <v>1</v>
      </c>
      <c r="N50" s="8">
        <f>CEILING('Horned Wolf'!$B$5/ IF('Horned Wolf'!$D$5&lt; 10.8, Table1[[#This Row],[STR]], Table1[[#This Row],[STR]] / ('Horned Wolf'!$D$5 / 10.8)), 1)</f>
        <v>2</v>
      </c>
      <c r="O50" s="8">
        <f>CEILING(Spider!$B$7/ IF(Spider!$D$7&lt; 10.8, Table1[[#This Row],[STR]], Table1[[#This Row],[STR]] / (Spider!$D$7 / 10.8)), 1)</f>
        <v>2</v>
      </c>
      <c r="P50" s="8">
        <f>CEILING('Evolved Spider'!$B$8/ IF('Evolved Spider'!$D$8&lt; 10.8, Table1[[#This Row],[STR]], Table1[[#This Row],[STR]] / ('Evolved Spider'!$D$8 / 10.8)), 1)</f>
        <v>3</v>
      </c>
      <c r="Q50" s="8">
        <f>CEILING(Arachne!$B$4/ IF(Arachne!$D$4&lt; 10.8, Table1[[#This Row],[STR]], Table1[[#This Row],[STR]] / (Arachne!$D$4 / 10.8)), 1)</f>
        <v>4</v>
      </c>
      <c r="R50" s="12">
        <f>CEILING('Earth Elemental'!$B$6/ IF('Earth Elemental'!$D$6&lt; 10.8, Table1[[#This Row],[STR]], Table1[[#This Row],[STR]] / ('Earth Elemental'!$D$6 / 10.8)), 1)</f>
        <v>4</v>
      </c>
      <c r="S50" s="12">
        <f>CEILING('Wind Elemental'!$B$6/ IF('Wind Elemental'!$D$6&lt; 10.8, Table1[[#This Row],[STR]], Table1[[#This Row],[STR]] / ('Wind Elemental'!$D$6 / 10.8)), 1)</f>
        <v>4</v>
      </c>
      <c r="T50" s="12">
        <f>CEILING('Water Elemental'!$B$6/ IF('Water Elemental'!$D$6&lt; 10.8, Table1[[#This Row],[STR]], Table1[[#This Row],[STR]] / ('Water Elemental'!$D$6 / 10.8)), 1)</f>
        <v>5</v>
      </c>
      <c r="U50" s="12">
        <f>CEILING('Fire Elemental'!$B$4/ IF('Fire Elemental'!$D$4&lt; 10.8, Table1[[#This Row],[STR]], Table1[[#This Row],[STR]] / ('Fire Elemental'!$D$4 / 10.8)), 1)</f>
        <v>6</v>
      </c>
      <c r="V50" s="15">
        <f>CEILING(Wyvern!$B$4/ IF(Wyvern!$D$4&lt; 10.8, Table1[[#This Row],[STR]], Table1[[#This Row],[STR]] / (Wyvern!$D$4 / 10.8)), 1)</f>
        <v>8</v>
      </c>
      <c r="W50" s="15">
        <f>CEILING('Evolved Wyvern'!$B$4/ IF('Evolved Wyvern'!$D$4&lt; 10.8, Table1[[#This Row],[STR]], Table1[[#This Row],[STR]] / ('Evolved Wyvern'!$D$4 / 10.8)), 1)</f>
        <v>11</v>
      </c>
      <c r="X50" s="15">
        <f>CEILING(Dragon!$B$4/ IF(Dragon!$D$4&lt; 10.8, Table1[[#This Row],[STR]], Table1[[#This Row],[STR]] / (Dragon!$D$4 / 10.8)), 1)</f>
        <v>19</v>
      </c>
      <c r="Z50" s="8">
        <f>CEILING('Blue Slime'!$M$5/ IF('Blue Slime'!$O$5&lt; 10.8, Table1[[#This Row],[STR]], Table1[[#This Row],[STR]] / ('Blue Slime'!$O$5 / 10.8)), 1)</f>
        <v>1</v>
      </c>
      <c r="AA50" s="8">
        <f>CEILING('Green Slime'!$M$5/ IF('Green Slime'!$O$5&lt; 10.8, Table1[[#This Row],[STR]], Table1[[#This Row],[STR]] / ('Green Slime'!$O$5 / 10.8)), 1)</f>
        <v>1</v>
      </c>
      <c r="AB50" s="8">
        <f>CEILING(Wolf!$M$6/ IF(Wolf!$O$6&lt; 10.8, Table1[[#This Row],[STR]], Table1[[#This Row],[STR]] / (Wolf!$O$6 / 10.8)), 1)</f>
        <v>2</v>
      </c>
      <c r="AC50" s="8">
        <f>CEILING('Horned Wolf'!$M$5/ IF('Horned Wolf'!$O$5&lt; 10.8, Table1[[#This Row],[STR]], Table1[[#This Row],[STR]] / ('Horned Wolf'!$O$5 / 10.8)), 1)</f>
        <v>3</v>
      </c>
      <c r="AD50" s="8">
        <f>CEILING(Spider!$M$7/ IF(Spider!$O$7&lt; 10.8, Table1[[#This Row],[STR]], Table1[[#This Row],[STR]] / (Spider!$O$7 / 10.8)), 1)</f>
        <v>3</v>
      </c>
      <c r="AE50" s="8">
        <f>CEILING('Evolved Spider'!$M$8/ IF('Evolved Spider'!$O$8&lt; 10.8, Table1[[#This Row],[STR]], Table1[[#This Row],[STR]] / ('Evolved Spider'!$O$8 / 10.8)), 1)</f>
        <v>5</v>
      </c>
      <c r="AF50" s="8">
        <f>CEILING(Arachne!$M$4/ IF(Arachne!$O$4&lt; 10.8, Table1[[#This Row],[STR]], Table1[[#This Row],[STR]] / (Arachne!$O$4 / 10.8)), 1)</f>
        <v>7</v>
      </c>
      <c r="AG50" s="12">
        <f>CEILING('Earth Elemental'!$M$6/ IF('Earth Elemental'!$O$6&lt; 10.8, Table1[[#This Row],[STR]], Table1[[#This Row],[STR]] / ('Earth Elemental'!$O$6 / 10.8)), 1)</f>
        <v>6</v>
      </c>
      <c r="AH50" s="12">
        <f>CEILING('Wind Elemental'!$M$6/ IF('Wind Elemental'!$O$6&lt; 10.8, Table1[[#This Row],[STR]], Table1[[#This Row],[STR]] / ('Wind Elemental'!$O$6 / 10.8)), 1)</f>
        <v>5</v>
      </c>
      <c r="AI50" s="12">
        <f>CEILING('Water Elemental'!$M$6/ IF('Water Elemental'!$O$6&lt; 10.8, Table1[[#This Row],[STR]], Table1[[#This Row],[STR]] / ('Water Elemental'!$O$6 / 10.8)), 1)</f>
        <v>8</v>
      </c>
      <c r="AJ50" s="12">
        <f>CEILING('Fire Elemental'!$M$4/ IF('Fire Elemental'!$O$4&lt; 10.8, Table1[[#This Row],[STR]], Table1[[#This Row],[STR]] / ('Fire Elemental'!$O$4 / 10.8)), 1)</f>
        <v>11</v>
      </c>
      <c r="AK50" s="15">
        <f>CEILING(Wyvern!$M$4/ IF(Wyvern!$O$4&lt; 10.8, Table1[[#This Row],[STR]], Table1[[#This Row],[STR]] / (Wyvern!$O$4 / 10.8)), 1)</f>
        <v>14</v>
      </c>
      <c r="AL50" s="15">
        <f>CEILING('Evolved Wyvern'!$M$4/ IF('Evolved Wyvern'!$O$4&lt; 10.8, Table1[[#This Row],[STR]], Table1[[#This Row],[STR]] / ('Evolved Wyvern'!$O$4 / 10.8)), 1)</f>
        <v>18</v>
      </c>
      <c r="AM50" s="15">
        <f>CEILING(Dragon!$M$4/ IF(Dragon!$O$4&lt; 10.8, Table1[[#This Row],[STR]], Table1[[#This Row],[STR]] / (Dragon!$O$4 / 10.8)), 1)</f>
        <v>29</v>
      </c>
      <c r="AO50" s="8">
        <f>CEILING('Blue Slime'!$Z$5/ IF('Blue Slime'!$X$5&lt; 10.8, Table1[[#This Row],[STR]], Table1[[#This Row],[STR]] / ('Blue Slime'!$X$5 / 10.8)), 1)</f>
        <v>1</v>
      </c>
      <c r="AP50" s="8">
        <f>CEILING('Green Slime'!$Z$5/ IF('Green Slime'!$X$5&lt; 10.8, Table1[[#This Row],[STR]], Table1[[#This Row],[STR]] / ('Green Slime'!$X$5 / 10.8)), 1)</f>
        <v>1</v>
      </c>
      <c r="AQ50" s="8">
        <f>CEILING(Wolf!$Z$6/ IF(Wolf!$X$6&lt; 10.8, Table1[[#This Row],[STR]], Table1[[#This Row],[STR]] / (Wolf!$X$6 / 10.8)), 1)</f>
        <v>2</v>
      </c>
      <c r="AR50" s="8">
        <f>CEILING('Horned Wolf'!$Z$5/ IF('Horned Wolf'!$X$5&lt; 10.8, Table1[[#This Row],[STR]], Table1[[#This Row],[STR]] / ('Horned Wolf'!$X$5 / 10.8)), 1)</f>
        <v>5</v>
      </c>
      <c r="AS50" s="8">
        <f>CEILING(Spider!$Z$7/ IF(Spider!$X$7&lt; 10.8, Table1[[#This Row],[STR]], Table1[[#This Row],[STR]] / (Spider!$X$7 / 10.8)), 1)</f>
        <v>5</v>
      </c>
      <c r="AT50" s="8">
        <f>CEILING('Evolved Spider'!$Z$8/ IF('Evolved Spider'!$X$8&lt; 10.8, Table1[[#This Row],[STR]], Table1[[#This Row],[STR]] / ('Evolved Spider'!$X$8 / 10.8)), 1)</f>
        <v>8</v>
      </c>
      <c r="AU50" s="8">
        <f>CEILING(Arachne!$Z$4/ IF(Arachne!$X$4&lt; 10.8, Table1[[#This Row],[STR]], Table1[[#This Row],[STR]] / (Arachne!$X$4 / 10.8)), 1)</f>
        <v>11</v>
      </c>
      <c r="AV50" s="12">
        <f>CEILING('Earth Elemental'!$Z$6/ IF('Earth Elemental'!$X$6&lt; 10.8, Table1[[#This Row],[STR]], Table1[[#This Row],[STR]] / ('Earth Elemental'!$X$6 / 10.8)), 1)</f>
        <v>10</v>
      </c>
      <c r="AW50" s="12">
        <f>CEILING('Wind Elemental'!$Z$6/ IF('Wind Elemental'!$X$6&lt; 10.8, Table1[[#This Row],[STR]], Table1[[#This Row],[STR]] / ('Wind Elemental'!$X$6 / 10.8)), 1)</f>
        <v>7</v>
      </c>
      <c r="AX50" s="12">
        <f>CEILING('Water Elemental'!$Z$6/ IF('Water Elemental'!$X$6&lt; 10.8, Table1[[#This Row],[STR]], Table1[[#This Row],[STR]] / ('Water Elemental'!$X$6 / 10.8)), 1)</f>
        <v>10</v>
      </c>
      <c r="AY50" s="12">
        <f>CEILING('Fire Elemental'!$Z$4/ IF('Fire Elemental'!$X$4&lt; 10.8, Table1[[#This Row],[STR]], Table1[[#This Row],[STR]] / ('Fire Elemental'!$X$4 / 10.8)), 1)</f>
        <v>16</v>
      </c>
      <c r="AZ50" s="15">
        <f>CEILING(Wyvern!$Z$4/ IF(Wyvern!$X$4&lt; 10.8, Table1[[#This Row],[STR]], Table1[[#This Row],[STR]] / (Wyvern!$X$4 / 10.8)), 1)</f>
        <v>20</v>
      </c>
      <c r="BA50" s="15">
        <f>CEILING('Evolved Wyvern'!$Z$4/ IF('Evolved Wyvern'!$X$4&lt; 10.8, Table1[[#This Row],[STR]], Table1[[#This Row],[STR]] / ('Evolved Wyvern'!$X$4 / 10.8)), 1)</f>
        <v>25</v>
      </c>
      <c r="BB50" s="15">
        <f>CEILING(Dragon!$Z$4/ IF(Dragon!$X$4&lt; 10.8, Table1[[#This Row],[STR]], Table1[[#This Row],[STR]] / (Dragon!$X$4 / 10.8)), 1)</f>
        <v>42</v>
      </c>
    </row>
    <row r="51" spans="1:54" x14ac:dyDescent="0.3">
      <c r="A51" s="1">
        <v>49</v>
      </c>
      <c r="B51" s="1">
        <f>$B$3 + ((Table1[[#This Row],[Level]] / 10) + $B$3 / 8) * Table1[[#This Row],[Level]]+ Equipment!$AK$42</f>
        <v>441.6</v>
      </c>
      <c r="C51" s="1">
        <f xml:space="preserve"> 2*Table1[[#This Row],[INT]]</f>
        <v>225</v>
      </c>
      <c r="D51" s="1">
        <f>$D$3 + ($D$3 / 4) * Table1[[#This Row],[Level]]+ Equipment!$AL$42</f>
        <v>112.5</v>
      </c>
      <c r="E51" s="1">
        <f>$E$3 + ($E$3 / 4) * Table1[[#This Row],[Level]]+ Equipment!$AM$42</f>
        <v>94.25</v>
      </c>
      <c r="F51" s="1">
        <f>$F$3 + ($F$3 / 4) * Table1[[#This Row],[Level]]+ Equipment!$AN$42</f>
        <v>150</v>
      </c>
      <c r="G51" s="1">
        <f>$G$3 + ($G$3 / 4) * Table1[[#This Row],[Level]]+ Equipment!$AO$42</f>
        <v>112.5</v>
      </c>
      <c r="H51" s="1">
        <f>$H$3 + ($H$3 / 4) * Table1[[#This Row],[Level]]+ Equipment!$AP$42</f>
        <v>131.75</v>
      </c>
      <c r="I51" s="34">
        <f xml:space="preserve"> (4 * (Table1[[#This Row],[Level]] ^ 3))/7 + $I$3</f>
        <v>67328</v>
      </c>
      <c r="K51" s="8">
        <f>CEILING('Blue Slime'!$B$5/ IF('Blue Slime'!$D$5&lt; 10.8, Table1[[#This Row],[STR]], Table1[[#This Row],[STR]] / ('Blue Slime'!$D$5 / 10.8)), 1)</f>
        <v>1</v>
      </c>
      <c r="L51" s="8">
        <f>CEILING('Green Slime'!$B$5/ IF('Green Slime'!$D$5&lt; 10.8, Table1[[#This Row],[STR]], Table1[[#This Row],[STR]] / ('Green Slime'!$D$5 / 10.8)), 1)</f>
        <v>1</v>
      </c>
      <c r="M51" s="8">
        <f>CEILING(Wolf!$B$6/ IF(Wolf!$D$6&lt; 10.8, Table1[[#This Row],[STR]], Table1[[#This Row],[STR]] / (Wolf!$D$6 / 10.8)), 1)</f>
        <v>1</v>
      </c>
      <c r="N51" s="8">
        <f>CEILING('Horned Wolf'!$B$5/ IF('Horned Wolf'!$D$5&lt; 10.8, Table1[[#This Row],[STR]], Table1[[#This Row],[STR]] / ('Horned Wolf'!$D$5 / 10.8)), 1)</f>
        <v>2</v>
      </c>
      <c r="O51" s="8">
        <f>CEILING(Spider!$B$7/ IF(Spider!$D$7&lt; 10.8, Table1[[#This Row],[STR]], Table1[[#This Row],[STR]] / (Spider!$D$7 / 10.8)), 1)</f>
        <v>2</v>
      </c>
      <c r="P51" s="8">
        <f>CEILING('Evolved Spider'!$B$8/ IF('Evolved Spider'!$D$8&lt; 10.8, Table1[[#This Row],[STR]], Table1[[#This Row],[STR]] / ('Evolved Spider'!$D$8 / 10.8)), 1)</f>
        <v>3</v>
      </c>
      <c r="Q51" s="8">
        <f>CEILING(Arachne!$B$4/ IF(Arachne!$D$4&lt; 10.8, Table1[[#This Row],[STR]], Table1[[#This Row],[STR]] / (Arachne!$D$4 / 10.8)), 1)</f>
        <v>4</v>
      </c>
      <c r="R51" s="12">
        <f>CEILING('Earth Elemental'!$B$6/ IF('Earth Elemental'!$D$6&lt; 10.8, Table1[[#This Row],[STR]], Table1[[#This Row],[STR]] / ('Earth Elemental'!$D$6 / 10.8)), 1)</f>
        <v>4</v>
      </c>
      <c r="S51" s="12">
        <f>CEILING('Wind Elemental'!$B$6/ IF('Wind Elemental'!$D$6&lt; 10.8, Table1[[#This Row],[STR]], Table1[[#This Row],[STR]] / ('Wind Elemental'!$D$6 / 10.8)), 1)</f>
        <v>3</v>
      </c>
      <c r="T51" s="12">
        <f>CEILING('Water Elemental'!$B$6/ IF('Water Elemental'!$D$6&lt; 10.8, Table1[[#This Row],[STR]], Table1[[#This Row],[STR]] / ('Water Elemental'!$D$6 / 10.8)), 1)</f>
        <v>5</v>
      </c>
      <c r="U51" s="12">
        <f>CEILING('Fire Elemental'!$B$4/ IF('Fire Elemental'!$D$4&lt; 10.8, Table1[[#This Row],[STR]], Table1[[#This Row],[STR]] / ('Fire Elemental'!$D$4 / 10.8)), 1)</f>
        <v>6</v>
      </c>
      <c r="V51" s="15">
        <f>CEILING(Wyvern!$B$4/ IF(Wyvern!$D$4&lt; 10.8, Table1[[#This Row],[STR]], Table1[[#This Row],[STR]] / (Wyvern!$D$4 / 10.8)), 1)</f>
        <v>8</v>
      </c>
      <c r="W51" s="15">
        <f>CEILING('Evolved Wyvern'!$B$4/ IF('Evolved Wyvern'!$D$4&lt; 10.8, Table1[[#This Row],[STR]], Table1[[#This Row],[STR]] / ('Evolved Wyvern'!$D$4 / 10.8)), 1)</f>
        <v>11</v>
      </c>
      <c r="X51" s="15">
        <f>CEILING(Dragon!$B$4/ IF(Dragon!$D$4&lt; 10.8, Table1[[#This Row],[STR]], Table1[[#This Row],[STR]] / (Dragon!$D$4 / 10.8)), 1)</f>
        <v>18</v>
      </c>
      <c r="Z51" s="8">
        <f>CEILING('Blue Slime'!$M$5/ IF('Blue Slime'!$O$5&lt; 10.8, Table1[[#This Row],[STR]], Table1[[#This Row],[STR]] / ('Blue Slime'!$O$5 / 10.8)), 1)</f>
        <v>1</v>
      </c>
      <c r="AA51" s="8">
        <f>CEILING('Green Slime'!$M$5/ IF('Green Slime'!$O$5&lt; 10.8, Table1[[#This Row],[STR]], Table1[[#This Row],[STR]] / ('Green Slime'!$O$5 / 10.8)), 1)</f>
        <v>1</v>
      </c>
      <c r="AB51" s="8">
        <f>CEILING(Wolf!$M$6/ IF(Wolf!$O$6&lt; 10.8, Table1[[#This Row],[STR]], Table1[[#This Row],[STR]] / (Wolf!$O$6 / 10.8)), 1)</f>
        <v>2</v>
      </c>
      <c r="AC51" s="8">
        <f>CEILING('Horned Wolf'!$M$5/ IF('Horned Wolf'!$O$5&lt; 10.8, Table1[[#This Row],[STR]], Table1[[#This Row],[STR]] / ('Horned Wolf'!$O$5 / 10.8)), 1)</f>
        <v>3</v>
      </c>
      <c r="AD51" s="8">
        <f>CEILING(Spider!$M$7/ IF(Spider!$O$7&lt; 10.8, Table1[[#This Row],[STR]], Table1[[#This Row],[STR]] / (Spider!$O$7 / 10.8)), 1)</f>
        <v>3</v>
      </c>
      <c r="AE51" s="8">
        <f>CEILING('Evolved Spider'!$M$8/ IF('Evolved Spider'!$O$8&lt; 10.8, Table1[[#This Row],[STR]], Table1[[#This Row],[STR]] / ('Evolved Spider'!$O$8 / 10.8)), 1)</f>
        <v>5</v>
      </c>
      <c r="AF51" s="8">
        <f>CEILING(Arachne!$M$4/ IF(Arachne!$O$4&lt; 10.8, Table1[[#This Row],[STR]], Table1[[#This Row],[STR]] / (Arachne!$O$4 / 10.8)), 1)</f>
        <v>7</v>
      </c>
      <c r="AG51" s="12">
        <f>CEILING('Earth Elemental'!$M$6/ IF('Earth Elemental'!$O$6&lt; 10.8, Table1[[#This Row],[STR]], Table1[[#This Row],[STR]] / ('Earth Elemental'!$O$6 / 10.8)), 1)</f>
        <v>6</v>
      </c>
      <c r="AH51" s="12">
        <f>CEILING('Wind Elemental'!$M$6/ IF('Wind Elemental'!$O$6&lt; 10.8, Table1[[#This Row],[STR]], Table1[[#This Row],[STR]] / ('Wind Elemental'!$O$6 / 10.8)), 1)</f>
        <v>5</v>
      </c>
      <c r="AI51" s="12">
        <f>CEILING('Water Elemental'!$M$6/ IF('Water Elemental'!$O$6&lt; 10.8, Table1[[#This Row],[STR]], Table1[[#This Row],[STR]] / ('Water Elemental'!$O$6 / 10.8)), 1)</f>
        <v>7</v>
      </c>
      <c r="AJ51" s="12">
        <f>CEILING('Fire Elemental'!$M$4/ IF('Fire Elemental'!$O$4&lt; 10.8, Table1[[#This Row],[STR]], Table1[[#This Row],[STR]] / ('Fire Elemental'!$O$4 / 10.8)), 1)</f>
        <v>11</v>
      </c>
      <c r="AK51" s="15">
        <f>CEILING(Wyvern!$M$4/ IF(Wyvern!$O$4&lt; 10.8, Table1[[#This Row],[STR]], Table1[[#This Row],[STR]] / (Wyvern!$O$4 / 10.8)), 1)</f>
        <v>13</v>
      </c>
      <c r="AL51" s="15">
        <f>CEILING('Evolved Wyvern'!$M$4/ IF('Evolved Wyvern'!$O$4&lt; 10.8, Table1[[#This Row],[STR]], Table1[[#This Row],[STR]] / ('Evolved Wyvern'!$O$4 / 10.8)), 1)</f>
        <v>18</v>
      </c>
      <c r="AM51" s="15">
        <f>CEILING(Dragon!$M$4/ IF(Dragon!$O$4&lt; 10.8, Table1[[#This Row],[STR]], Table1[[#This Row],[STR]] / (Dragon!$O$4 / 10.8)), 1)</f>
        <v>29</v>
      </c>
      <c r="AO51" s="8">
        <f>CEILING('Blue Slime'!$Z$5/ IF('Blue Slime'!$X$5&lt; 10.8, Table1[[#This Row],[STR]], Table1[[#This Row],[STR]] / ('Blue Slime'!$X$5 / 10.8)), 1)</f>
        <v>1</v>
      </c>
      <c r="AP51" s="8">
        <f>CEILING('Green Slime'!$Z$5/ IF('Green Slime'!$X$5&lt; 10.8, Table1[[#This Row],[STR]], Table1[[#This Row],[STR]] / ('Green Slime'!$X$5 / 10.8)), 1)</f>
        <v>1</v>
      </c>
      <c r="AQ51" s="8">
        <f>CEILING(Wolf!$Z$6/ IF(Wolf!$X$6&lt; 10.8, Table1[[#This Row],[STR]], Table1[[#This Row],[STR]] / (Wolf!$X$6 / 10.8)), 1)</f>
        <v>2</v>
      </c>
      <c r="AR51" s="8">
        <f>CEILING('Horned Wolf'!$Z$5/ IF('Horned Wolf'!$X$5&lt; 10.8, Table1[[#This Row],[STR]], Table1[[#This Row],[STR]] / ('Horned Wolf'!$X$5 / 10.8)), 1)</f>
        <v>5</v>
      </c>
      <c r="AS51" s="8">
        <f>CEILING(Spider!$Z$7/ IF(Spider!$X$7&lt; 10.8, Table1[[#This Row],[STR]], Table1[[#This Row],[STR]] / (Spider!$X$7 / 10.8)), 1)</f>
        <v>5</v>
      </c>
      <c r="AT51" s="8">
        <f>CEILING('Evolved Spider'!$Z$8/ IF('Evolved Spider'!$X$8&lt; 10.8, Table1[[#This Row],[STR]], Table1[[#This Row],[STR]] / ('Evolved Spider'!$X$8 / 10.8)), 1)</f>
        <v>8</v>
      </c>
      <c r="AU51" s="8">
        <f>CEILING(Arachne!$Z$4/ IF(Arachne!$X$4&lt; 10.8, Table1[[#This Row],[STR]], Table1[[#This Row],[STR]] / (Arachne!$X$4 / 10.8)), 1)</f>
        <v>11</v>
      </c>
      <c r="AV51" s="12">
        <f>CEILING('Earth Elemental'!$Z$6/ IF('Earth Elemental'!$X$6&lt; 10.8, Table1[[#This Row],[STR]], Table1[[#This Row],[STR]] / ('Earth Elemental'!$X$6 / 10.8)), 1)</f>
        <v>9</v>
      </c>
      <c r="AW51" s="12">
        <f>CEILING('Wind Elemental'!$Z$6/ IF('Wind Elemental'!$X$6&lt; 10.8, Table1[[#This Row],[STR]], Table1[[#This Row],[STR]] / ('Wind Elemental'!$X$6 / 10.8)), 1)</f>
        <v>7</v>
      </c>
      <c r="AX51" s="12">
        <f>CEILING('Water Elemental'!$Z$6/ IF('Water Elemental'!$X$6&lt; 10.8, Table1[[#This Row],[STR]], Table1[[#This Row],[STR]] / ('Water Elemental'!$X$6 / 10.8)), 1)</f>
        <v>10</v>
      </c>
      <c r="AY51" s="12">
        <f>CEILING('Fire Elemental'!$Z$4/ IF('Fire Elemental'!$X$4&lt; 10.8, Table1[[#This Row],[STR]], Table1[[#This Row],[STR]] / ('Fire Elemental'!$X$4 / 10.8)), 1)</f>
        <v>16</v>
      </c>
      <c r="AZ51" s="15">
        <f>CEILING(Wyvern!$Z$4/ IF(Wyvern!$X$4&lt; 10.8, Table1[[#This Row],[STR]], Table1[[#This Row],[STR]] / (Wyvern!$X$4 / 10.8)), 1)</f>
        <v>19</v>
      </c>
      <c r="BA51" s="15">
        <f>CEILING('Evolved Wyvern'!$Z$4/ IF('Evolved Wyvern'!$X$4&lt; 10.8, Table1[[#This Row],[STR]], Table1[[#This Row],[STR]] / ('Evolved Wyvern'!$X$4 / 10.8)), 1)</f>
        <v>25</v>
      </c>
      <c r="BB51" s="15">
        <f>CEILING(Dragon!$Z$4/ IF(Dragon!$X$4&lt; 10.8, Table1[[#This Row],[STR]], Table1[[#This Row],[STR]] / (Dragon!$X$4 / 10.8)), 1)</f>
        <v>41</v>
      </c>
    </row>
    <row r="52" spans="1:54" x14ac:dyDescent="0.3">
      <c r="A52" s="1">
        <v>50</v>
      </c>
      <c r="B52" s="1">
        <f>$B$3 + ((Table1[[#This Row],[Level]] / 10) + $B$3 / 8) * Table1[[#This Row],[Level]]+ Equipment!$AK$42</f>
        <v>453</v>
      </c>
      <c r="C52" s="1">
        <f xml:space="preserve"> 2*Table1[[#This Row],[INT]]</f>
        <v>228</v>
      </c>
      <c r="D52" s="1">
        <f>$D$3 + ($D$3 / 4) * Table1[[#This Row],[Level]]+ Equipment!$AL$42</f>
        <v>114</v>
      </c>
      <c r="E52" s="1">
        <f>$E$3 + ($E$3 / 4) * Table1[[#This Row],[Level]]+ Equipment!$AM$42</f>
        <v>95.5</v>
      </c>
      <c r="F52" s="1">
        <f>$F$3 + ($F$3 / 4) * Table1[[#This Row],[Level]]+ Equipment!$AN$42</f>
        <v>152</v>
      </c>
      <c r="G52" s="1">
        <f>$G$3 + ($G$3 / 4) * Table1[[#This Row],[Level]]+ Equipment!$AO$42</f>
        <v>114</v>
      </c>
      <c r="H52" s="1">
        <f>$H$3 + ($H$3 / 4) * Table1[[#This Row],[Level]]+ Equipment!$AP$42</f>
        <v>133.5</v>
      </c>
      <c r="I52" s="34">
        <f xml:space="preserve"> (4 * (Table1[[#This Row],[Level]] ^ 3))/7 + $I$3</f>
        <v>71528.571428571435</v>
      </c>
      <c r="K52" s="8">
        <f>CEILING('Blue Slime'!$B$5/ IF('Blue Slime'!$D$5&lt; 10.8, Table1[[#This Row],[STR]], Table1[[#This Row],[STR]] / ('Blue Slime'!$D$5 / 10.8)), 1)</f>
        <v>1</v>
      </c>
      <c r="L52" s="8">
        <f>CEILING('Green Slime'!$B$5/ IF('Green Slime'!$D$5&lt; 10.8, Table1[[#This Row],[STR]], Table1[[#This Row],[STR]] / ('Green Slime'!$D$5 / 10.8)), 1)</f>
        <v>1</v>
      </c>
      <c r="M52" s="8">
        <f>CEILING(Wolf!$B$6/ IF(Wolf!$D$6&lt; 10.8, Table1[[#This Row],[STR]], Table1[[#This Row],[STR]] / (Wolf!$D$6 / 10.8)), 1)</f>
        <v>1</v>
      </c>
      <c r="N52" s="8">
        <f>CEILING('Horned Wolf'!$B$5/ IF('Horned Wolf'!$D$5&lt; 10.8, Table1[[#This Row],[STR]], Table1[[#This Row],[STR]] / ('Horned Wolf'!$D$5 / 10.8)), 1)</f>
        <v>2</v>
      </c>
      <c r="O52" s="8">
        <f>CEILING(Spider!$B$7/ IF(Spider!$D$7&lt; 10.8, Table1[[#This Row],[STR]], Table1[[#This Row],[STR]] / (Spider!$D$7 / 10.8)), 1)</f>
        <v>2</v>
      </c>
      <c r="P52" s="8">
        <f>CEILING('Evolved Spider'!$B$8/ IF('Evolved Spider'!$D$8&lt; 10.8, Table1[[#This Row],[STR]], Table1[[#This Row],[STR]] / ('Evolved Spider'!$D$8 / 10.8)), 1)</f>
        <v>3</v>
      </c>
      <c r="Q52" s="8">
        <f>CEILING(Arachne!$B$4/ IF(Arachne!$D$4&lt; 10.8, Table1[[#This Row],[STR]], Table1[[#This Row],[STR]] / (Arachne!$D$4 / 10.8)), 1)</f>
        <v>4</v>
      </c>
      <c r="R52" s="12">
        <f>CEILING('Earth Elemental'!$B$6/ IF('Earth Elemental'!$D$6&lt; 10.8, Table1[[#This Row],[STR]], Table1[[#This Row],[STR]] / ('Earth Elemental'!$D$6 / 10.8)), 1)</f>
        <v>4</v>
      </c>
      <c r="S52" s="12">
        <f>CEILING('Wind Elemental'!$B$6/ IF('Wind Elemental'!$D$6&lt; 10.8, Table1[[#This Row],[STR]], Table1[[#This Row],[STR]] / ('Wind Elemental'!$D$6 / 10.8)), 1)</f>
        <v>3</v>
      </c>
      <c r="T52" s="12">
        <f>CEILING('Water Elemental'!$B$6/ IF('Water Elemental'!$D$6&lt; 10.8, Table1[[#This Row],[STR]], Table1[[#This Row],[STR]] / ('Water Elemental'!$D$6 / 10.8)), 1)</f>
        <v>5</v>
      </c>
      <c r="U52" s="12">
        <f>CEILING('Fire Elemental'!$B$4/ IF('Fire Elemental'!$D$4&lt; 10.8, Table1[[#This Row],[STR]], Table1[[#This Row],[STR]] / ('Fire Elemental'!$D$4 / 10.8)), 1)</f>
        <v>6</v>
      </c>
      <c r="V52" s="15">
        <f>CEILING(Wyvern!$B$4/ IF(Wyvern!$D$4&lt; 10.8, Table1[[#This Row],[STR]], Table1[[#This Row],[STR]] / (Wyvern!$D$4 / 10.8)), 1)</f>
        <v>8</v>
      </c>
      <c r="W52" s="15">
        <f>CEILING('Evolved Wyvern'!$B$4/ IF('Evolved Wyvern'!$D$4&lt; 10.8, Table1[[#This Row],[STR]], Table1[[#This Row],[STR]] / ('Evolved Wyvern'!$D$4 / 10.8)), 1)</f>
        <v>11</v>
      </c>
      <c r="X52" s="15">
        <f>CEILING(Dragon!$B$4/ IF(Dragon!$D$4&lt; 10.8, Table1[[#This Row],[STR]], Table1[[#This Row],[STR]] / (Dragon!$D$4 / 10.8)), 1)</f>
        <v>18</v>
      </c>
      <c r="Z52" s="8">
        <f>CEILING('Blue Slime'!$M$5/ IF('Blue Slime'!$O$5&lt; 10.8, Table1[[#This Row],[STR]], Table1[[#This Row],[STR]] / ('Blue Slime'!$O$5 / 10.8)), 1)</f>
        <v>1</v>
      </c>
      <c r="AA52" s="8">
        <f>CEILING('Green Slime'!$M$5/ IF('Green Slime'!$O$5&lt; 10.8, Table1[[#This Row],[STR]], Table1[[#This Row],[STR]] / ('Green Slime'!$O$5 / 10.8)), 1)</f>
        <v>1</v>
      </c>
      <c r="AB52" s="8">
        <f>CEILING(Wolf!$M$6/ IF(Wolf!$O$6&lt; 10.8, Table1[[#This Row],[STR]], Table1[[#This Row],[STR]] / (Wolf!$O$6 / 10.8)), 1)</f>
        <v>1</v>
      </c>
      <c r="AC52" s="8">
        <f>CEILING('Horned Wolf'!$M$5/ IF('Horned Wolf'!$O$5&lt; 10.8, Table1[[#This Row],[STR]], Table1[[#This Row],[STR]] / ('Horned Wolf'!$O$5 / 10.8)), 1)</f>
        <v>3</v>
      </c>
      <c r="AD52" s="8">
        <f>CEILING(Spider!$M$7/ IF(Spider!$O$7&lt; 10.8, Table1[[#This Row],[STR]], Table1[[#This Row],[STR]] / (Spider!$O$7 / 10.8)), 1)</f>
        <v>3</v>
      </c>
      <c r="AE52" s="8">
        <f>CEILING('Evolved Spider'!$M$8/ IF('Evolved Spider'!$O$8&lt; 10.8, Table1[[#This Row],[STR]], Table1[[#This Row],[STR]] / ('Evolved Spider'!$O$8 / 10.8)), 1)</f>
        <v>5</v>
      </c>
      <c r="AF52" s="8">
        <f>CEILING(Arachne!$M$4/ IF(Arachne!$O$4&lt; 10.8, Table1[[#This Row],[STR]], Table1[[#This Row],[STR]] / (Arachne!$O$4 / 10.8)), 1)</f>
        <v>7</v>
      </c>
      <c r="AG52" s="12">
        <f>CEILING('Earth Elemental'!$M$6/ IF('Earth Elemental'!$O$6&lt; 10.8, Table1[[#This Row],[STR]], Table1[[#This Row],[STR]] / ('Earth Elemental'!$O$6 / 10.8)), 1)</f>
        <v>6</v>
      </c>
      <c r="AH52" s="12">
        <f>CEILING('Wind Elemental'!$M$6/ IF('Wind Elemental'!$O$6&lt; 10.8, Table1[[#This Row],[STR]], Table1[[#This Row],[STR]] / ('Wind Elemental'!$O$6 / 10.8)), 1)</f>
        <v>5</v>
      </c>
      <c r="AI52" s="12">
        <f>CEILING('Water Elemental'!$M$6/ IF('Water Elemental'!$O$6&lt; 10.8, Table1[[#This Row],[STR]], Table1[[#This Row],[STR]] / ('Water Elemental'!$O$6 / 10.8)), 1)</f>
        <v>7</v>
      </c>
      <c r="AJ52" s="12">
        <f>CEILING('Fire Elemental'!$M$4/ IF('Fire Elemental'!$O$4&lt; 10.8, Table1[[#This Row],[STR]], Table1[[#This Row],[STR]] / ('Fire Elemental'!$O$4 / 10.8)), 1)</f>
        <v>11</v>
      </c>
      <c r="AK52" s="15">
        <f>CEILING(Wyvern!$M$4/ IF(Wyvern!$O$4&lt; 10.8, Table1[[#This Row],[STR]], Table1[[#This Row],[STR]] / (Wyvern!$O$4 / 10.8)), 1)</f>
        <v>13</v>
      </c>
      <c r="AL52" s="15">
        <f>CEILING('Evolved Wyvern'!$M$4/ IF('Evolved Wyvern'!$O$4&lt; 10.8, Table1[[#This Row],[STR]], Table1[[#This Row],[STR]] / ('Evolved Wyvern'!$O$4 / 10.8)), 1)</f>
        <v>17</v>
      </c>
      <c r="AM52" s="15">
        <f>CEILING(Dragon!$M$4/ IF(Dragon!$O$4&lt; 10.8, Table1[[#This Row],[STR]], Table1[[#This Row],[STR]] / (Dragon!$O$4 / 10.8)), 1)</f>
        <v>29</v>
      </c>
      <c r="AO52" s="8">
        <f>CEILING('Blue Slime'!$Z$5/ IF('Blue Slime'!$X$5&lt; 10.8, Table1[[#This Row],[STR]], Table1[[#This Row],[STR]] / ('Blue Slime'!$X$5 / 10.8)), 1)</f>
        <v>1</v>
      </c>
      <c r="AP52" s="8">
        <f>CEILING('Green Slime'!$Z$5/ IF('Green Slime'!$X$5&lt; 10.8, Table1[[#This Row],[STR]], Table1[[#This Row],[STR]] / ('Green Slime'!$X$5 / 10.8)), 1)</f>
        <v>1</v>
      </c>
      <c r="AQ52" s="8">
        <f>CEILING(Wolf!$Z$6/ IF(Wolf!$X$6&lt; 10.8, Table1[[#This Row],[STR]], Table1[[#This Row],[STR]] / (Wolf!$X$6 / 10.8)), 1)</f>
        <v>2</v>
      </c>
      <c r="AR52" s="8">
        <f>CEILING('Horned Wolf'!$Z$5/ IF('Horned Wolf'!$X$5&lt; 10.8, Table1[[#This Row],[STR]], Table1[[#This Row],[STR]] / ('Horned Wolf'!$X$5 / 10.8)), 1)</f>
        <v>5</v>
      </c>
      <c r="AS52" s="8">
        <f>CEILING(Spider!$Z$7/ IF(Spider!$X$7&lt; 10.8, Table1[[#This Row],[STR]], Table1[[#This Row],[STR]] / (Spider!$X$7 / 10.8)), 1)</f>
        <v>5</v>
      </c>
      <c r="AT52" s="8">
        <f>CEILING('Evolved Spider'!$Z$8/ IF('Evolved Spider'!$X$8&lt; 10.8, Table1[[#This Row],[STR]], Table1[[#This Row],[STR]] / ('Evolved Spider'!$X$8 / 10.8)), 1)</f>
        <v>8</v>
      </c>
      <c r="AU52" s="8">
        <f>CEILING(Arachne!$Z$4/ IF(Arachne!$X$4&lt; 10.8, Table1[[#This Row],[STR]], Table1[[#This Row],[STR]] / (Arachne!$X$4 / 10.8)), 1)</f>
        <v>11</v>
      </c>
      <c r="AV52" s="12">
        <f>CEILING('Earth Elemental'!$Z$6/ IF('Earth Elemental'!$X$6&lt; 10.8, Table1[[#This Row],[STR]], Table1[[#This Row],[STR]] / ('Earth Elemental'!$X$6 / 10.8)), 1)</f>
        <v>9</v>
      </c>
      <c r="AW52" s="12">
        <f>CEILING('Wind Elemental'!$Z$6/ IF('Wind Elemental'!$X$6&lt; 10.8, Table1[[#This Row],[STR]], Table1[[#This Row],[STR]] / ('Wind Elemental'!$X$6 / 10.8)), 1)</f>
        <v>7</v>
      </c>
      <c r="AX52" s="12">
        <f>CEILING('Water Elemental'!$Z$6/ IF('Water Elemental'!$X$6&lt; 10.8, Table1[[#This Row],[STR]], Table1[[#This Row],[STR]] / ('Water Elemental'!$X$6 / 10.8)), 1)</f>
        <v>10</v>
      </c>
      <c r="AY52" s="12">
        <f>CEILING('Fire Elemental'!$Z$4/ IF('Fire Elemental'!$X$4&lt; 10.8, Table1[[#This Row],[STR]], Table1[[#This Row],[STR]] / ('Fire Elemental'!$X$4 / 10.8)), 1)</f>
        <v>16</v>
      </c>
      <c r="AZ52" s="15">
        <f>CEILING(Wyvern!$Z$4/ IF(Wyvern!$X$4&lt; 10.8, Table1[[#This Row],[STR]], Table1[[#This Row],[STR]] / (Wyvern!$X$4 / 10.8)), 1)</f>
        <v>19</v>
      </c>
      <c r="BA52" s="15">
        <f>CEILING('Evolved Wyvern'!$Z$4/ IF('Evolved Wyvern'!$X$4&lt; 10.8, Table1[[#This Row],[STR]], Table1[[#This Row],[STR]] / ('Evolved Wyvern'!$X$4 / 10.8)), 1)</f>
        <v>24</v>
      </c>
      <c r="BB52" s="15">
        <f>CEILING(Dragon!$Z$4/ IF(Dragon!$X$4&lt; 10.8, Table1[[#This Row],[STR]], Table1[[#This Row],[STR]] / (Dragon!$X$4 / 10.8)), 1)</f>
        <v>41</v>
      </c>
    </row>
    <row r="54" spans="1:54" x14ac:dyDescent="0.3">
      <c r="B54" s="2"/>
    </row>
  </sheetData>
  <mergeCells count="3">
    <mergeCell ref="K1:X1"/>
    <mergeCell ref="Z1:AM1"/>
    <mergeCell ref="AO1:BB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8491-B311-4E84-B4DF-1DA5022A357C}">
  <dimension ref="A1:AG63"/>
  <sheetViews>
    <sheetView tabSelected="1" zoomScale="50" zoomScaleNormal="50" workbookViewId="0">
      <selection activeCell="B4" sqref="B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7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5.3320312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.1093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94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14</v>
      </c>
      <c r="C3" s="1"/>
      <c r="D3" s="1">
        <v>4</v>
      </c>
      <c r="E3" s="1">
        <v>3</v>
      </c>
      <c r="F3" s="1">
        <v>1</v>
      </c>
      <c r="G3" s="1">
        <v>3</v>
      </c>
      <c r="H3" s="1">
        <v>3</v>
      </c>
      <c r="I3" s="1">
        <f>AVERAGE(Warrior!I3:I5) / 25 * 75 / 100</f>
        <v>3.2</v>
      </c>
      <c r="J3" s="1">
        <v>4</v>
      </c>
      <c r="K3" s="1"/>
      <c r="L3" s="4">
        <v>1</v>
      </c>
      <c r="M3" s="1">
        <f>Table5[[#This Row],[HP]] * 1.5</f>
        <v>21</v>
      </c>
      <c r="N3" s="1"/>
      <c r="O3" s="1">
        <f>Table5[[#This Row],[DEF]] * 1.5</f>
        <v>6</v>
      </c>
      <c r="P3" s="1">
        <f>Table5[[#This Row],[AGI]] * 1.5</f>
        <v>4.5</v>
      </c>
      <c r="Q3" s="1">
        <f>Table5[[#This Row],[STR]] * 1.5</f>
        <v>1.5</v>
      </c>
      <c r="R3" s="1">
        <f>Table5[[#This Row],[INT]] * 1.5</f>
        <v>4.5</v>
      </c>
      <c r="S3" s="1">
        <f xml:space="preserve"> Table5[[#This Row],[DEX]] * 1.5</f>
        <v>4.5</v>
      </c>
      <c r="T3" s="1">
        <f>Table5[[#This Row],[XP Given]] * 1.25</f>
        <v>4</v>
      </c>
      <c r="U3" s="1">
        <f xml:space="preserve"> Table5[[#This Row],[Gold given]] * 1.25</f>
        <v>5</v>
      </c>
      <c r="V3" s="1"/>
      <c r="W3" s="4">
        <v>1</v>
      </c>
      <c r="X3" s="1">
        <f>Table5[[#This Row],[HP]] * 2</f>
        <v>28</v>
      </c>
      <c r="Y3" s="1"/>
      <c r="Z3" s="1">
        <f>Table5[[#This Row],[DEF]] * 2</f>
        <v>8</v>
      </c>
      <c r="AA3" s="1">
        <f>Table5[[#This Row],[AGI]] * 2</f>
        <v>6</v>
      </c>
      <c r="AB3" s="1">
        <f>Table5[[#This Row],[STR]] * 2</f>
        <v>2</v>
      </c>
      <c r="AC3" s="1">
        <f>Table5[[#This Row],[INT]] * 2</f>
        <v>6</v>
      </c>
      <c r="AD3" s="1">
        <f xml:space="preserve"> Table5[[#This Row],[DEX]] * 2</f>
        <v>6</v>
      </c>
      <c r="AE3" s="1">
        <f>Table5[[#This Row],[XP Given]] * 1.5</f>
        <v>4.8000000000000007</v>
      </c>
      <c r="AF3" s="1">
        <f>Table5[[#This Row],[Gold given]] * 1.5</f>
        <v>6</v>
      </c>
    </row>
    <row r="4" spans="1:32" x14ac:dyDescent="0.3">
      <c r="A4" s="4">
        <v>2</v>
      </c>
      <c r="B4" s="1">
        <f>$B$3 + ((Table5[[#This Row],[LV]] / 10) + $B$3 / 8) * Table5[[#This Row],[LV]]</f>
        <v>17.899999999999999</v>
      </c>
      <c r="C4" s="1"/>
      <c r="D4" s="1">
        <f>$D$3 + ($D$3 / 4) * Table5[[#This Row],[LV]]</f>
        <v>6</v>
      </c>
      <c r="E4" s="1">
        <f>$E$3 + ($E$3 / 4) * Table5[[#This Row],[LV]]</f>
        <v>4.5</v>
      </c>
      <c r="F4" s="1">
        <f>$F$3 + ($F$3 / 4) * Table5[[#This Row],[LV]]</f>
        <v>1.5</v>
      </c>
      <c r="G4" s="1">
        <f>$G$3 + ($G$3 / 4) * Table5[[#This Row],[LV]]</f>
        <v>4.5</v>
      </c>
      <c r="H4" s="1">
        <f>$H$3 + ($H$3 / 4) * Table5[[#This Row],[LV]]</f>
        <v>4.5</v>
      </c>
      <c r="I4" s="1">
        <f>$I$3 + $I$3 * Table5[[#This Row],[LV]] *25 / 100</f>
        <v>4.8000000000000007</v>
      </c>
      <c r="J4" s="1">
        <f>$J$3 + $J$3 * Table5[[#This Row],[LV]] * 25 / 100</f>
        <v>6</v>
      </c>
      <c r="K4" s="1"/>
      <c r="L4" s="4">
        <v>2</v>
      </c>
      <c r="M4" s="1">
        <f>$M$3 + ((Table59[[#This Row],[LV]] / 10) + $M$3 / 8) * Table59[[#This Row],[LV]]</f>
        <v>26.65</v>
      </c>
      <c r="N4" s="1"/>
      <c r="O4" s="1">
        <f>$O$3 + ($O$3 / 4) * Table59[[#This Row],[LV]]</f>
        <v>9</v>
      </c>
      <c r="P4" s="1">
        <f>$P$3 + ($P$3 / 4) * Table59[[#This Row],[LV]]</f>
        <v>6.75</v>
      </c>
      <c r="Q4" s="1">
        <f>$Q$3 + ($Q$3 / 4) * Table59[[#This Row],[LV]]</f>
        <v>2.25</v>
      </c>
      <c r="R4" s="1">
        <f>$R$3 + ($R$3 / 4) * Table59[[#This Row],[LV]]</f>
        <v>6.75</v>
      </c>
      <c r="S4" s="1">
        <f>$S$3 + ($S$3 / 4) * Table59[[#This Row],[LV]]</f>
        <v>6.75</v>
      </c>
      <c r="T4" s="1">
        <f>Table5[[#This Row],[XP Given]] * 1.25</f>
        <v>6.0000000000000009</v>
      </c>
      <c r="U4" s="1">
        <f xml:space="preserve"> Table5[[#This Row],[Gold given]] * 1.25</f>
        <v>7.5</v>
      </c>
      <c r="V4" s="1"/>
      <c r="W4" s="4">
        <v>2</v>
      </c>
      <c r="X4" s="1">
        <f>$X$3 + ((Table5910[[#This Row],[LV]] / 10) + $X$3 / 8) * Table5910[[#This Row],[LV]]</f>
        <v>35.4</v>
      </c>
      <c r="Y4" s="1"/>
      <c r="Z4" s="1">
        <f>$Z$3 + ($Z$3 / 4) * Table5910[[#This Row],[LV]]</f>
        <v>12</v>
      </c>
      <c r="AA4" s="1">
        <f>$AA$3 + ($AA$3 / 4) * Table5910[[#This Row],[LV]]</f>
        <v>9</v>
      </c>
      <c r="AB4" s="1">
        <f>$AB$3 + ($AB$3 / 4) * Table5910[[#This Row],[LV]]</f>
        <v>3</v>
      </c>
      <c r="AC4" s="1">
        <f>$AC$3 + ($AC$3 / 4) * Table5910[[#This Row],[LV]]</f>
        <v>9</v>
      </c>
      <c r="AD4" s="1">
        <f>$AD$3 + ($AD$3 / 4) * Table5910[[#This Row],[LV]]</f>
        <v>9</v>
      </c>
      <c r="AE4" s="1">
        <f>Table5[[#This Row],[XP Given]] * 1.5</f>
        <v>7.2000000000000011</v>
      </c>
      <c r="AF4" s="1">
        <f>Table5[[#This Row],[Gold given]] * 1.5</f>
        <v>9</v>
      </c>
    </row>
    <row r="5" spans="1:32" x14ac:dyDescent="0.3">
      <c r="A5" s="4">
        <v>3</v>
      </c>
      <c r="B5" s="1">
        <f>$B$3 + ((Table5[[#This Row],[LV]] / 10) + $B$3 / 8) * Table5[[#This Row],[LV]]</f>
        <v>20.149999999999999</v>
      </c>
      <c r="C5" s="1"/>
      <c r="D5" s="1">
        <f>$D$3 + ($D$3 / 4) * Table5[[#This Row],[LV]]</f>
        <v>7</v>
      </c>
      <c r="E5" s="1">
        <f>$E$3 + ($E$3 / 4) * Table5[[#This Row],[LV]]</f>
        <v>5.25</v>
      </c>
      <c r="F5" s="1">
        <f>$F$3 + ($F$3 / 4) * Table5[[#This Row],[LV]]</f>
        <v>1.75</v>
      </c>
      <c r="G5" s="1">
        <f>$G$3 + ($G$3 / 4) * Table5[[#This Row],[LV]]</f>
        <v>5.25</v>
      </c>
      <c r="H5" s="1">
        <f>$H$3 + ($H$3 / 4) * Table5[[#This Row],[LV]]</f>
        <v>5.25</v>
      </c>
      <c r="I5" s="1">
        <f>$I$3 + $I$3 * Table5[[#This Row],[LV]] *25 / 100</f>
        <v>5.6000000000000005</v>
      </c>
      <c r="J5" s="1">
        <f>$J$3 + $J$3 * Table5[[#This Row],[LV]] * 25 / 100</f>
        <v>7</v>
      </c>
      <c r="K5" s="1"/>
      <c r="L5" s="4">
        <v>3</v>
      </c>
      <c r="M5" s="1">
        <f>$M$3 + ((Table59[[#This Row],[LV]] / 10) + $M$3 / 8) * Table59[[#This Row],[LV]]</f>
        <v>29.774999999999999</v>
      </c>
      <c r="N5" s="1"/>
      <c r="O5" s="1">
        <f>$O$3 + ($O$3 / 4) * Table59[[#This Row],[LV]]</f>
        <v>10.5</v>
      </c>
      <c r="P5" s="1">
        <f>$P$3 + ($P$3 / 4) * Table59[[#This Row],[LV]]</f>
        <v>7.875</v>
      </c>
      <c r="Q5" s="1">
        <f>$Q$3 + ($Q$3 / 4) * Table59[[#This Row],[LV]]</f>
        <v>2.625</v>
      </c>
      <c r="R5" s="1">
        <f>$R$3 + ($R$3 / 4) * Table59[[#This Row],[LV]]</f>
        <v>7.875</v>
      </c>
      <c r="S5" s="1">
        <f>$S$3 + ($S$3 / 4) * Table59[[#This Row],[LV]]</f>
        <v>7.875</v>
      </c>
      <c r="T5" s="1">
        <f>Table5[[#This Row],[XP Given]] * 1.25</f>
        <v>7.0000000000000009</v>
      </c>
      <c r="U5" s="1">
        <f xml:space="preserve"> Table5[[#This Row],[Gold given]] * 1.25</f>
        <v>8.75</v>
      </c>
      <c r="V5" s="1"/>
      <c r="W5" s="4">
        <v>3</v>
      </c>
      <c r="X5" s="1">
        <f>$X$3 + ((Table5910[[#This Row],[LV]] / 10) + $X$3 / 8) * Table5910[[#This Row],[LV]]</f>
        <v>39.4</v>
      </c>
      <c r="Y5" s="1"/>
      <c r="Z5" s="1">
        <f>$Z$3 + ($Z$3 / 4) * Table5910[[#This Row],[LV]]</f>
        <v>14</v>
      </c>
      <c r="AA5" s="1">
        <f>$AA$3 + ($AA$3 / 4) * Table5910[[#This Row],[LV]]</f>
        <v>10.5</v>
      </c>
      <c r="AB5" s="1">
        <f>$AB$3 + ($AB$3 / 4) * Table5910[[#This Row],[LV]]</f>
        <v>3.5</v>
      </c>
      <c r="AC5" s="1">
        <f>$AC$3 + ($AC$3 / 4) * Table5910[[#This Row],[LV]]</f>
        <v>10.5</v>
      </c>
      <c r="AD5" s="1">
        <f>$AD$3 + ($AD$3 / 4) * Table5910[[#This Row],[LV]]</f>
        <v>10.5</v>
      </c>
      <c r="AE5" s="1">
        <f>Table5[[#This Row],[XP Given]] * 1.5</f>
        <v>8.4</v>
      </c>
      <c r="AF5" s="1">
        <f>Table5[[#This Row],[Gold given]] * 1.5</f>
        <v>10.5</v>
      </c>
    </row>
    <row r="7" spans="1:32" ht="25.8" x14ac:dyDescent="0.3">
      <c r="C7" s="53" t="s">
        <v>18</v>
      </c>
      <c r="D7" s="53"/>
      <c r="E7" s="53"/>
      <c r="F7" s="53"/>
      <c r="G7" s="53"/>
      <c r="H7" s="7"/>
      <c r="N7" s="53" t="s">
        <v>18</v>
      </c>
      <c r="O7" s="53"/>
      <c r="P7" s="53"/>
      <c r="Q7" s="53"/>
      <c r="R7" s="53"/>
      <c r="S7" s="7"/>
      <c r="T7" s="7"/>
      <c r="U7" s="7"/>
      <c r="V7" s="7"/>
      <c r="Y7" s="53" t="s">
        <v>18</v>
      </c>
      <c r="Z7" s="53"/>
      <c r="AA7" s="53"/>
      <c r="AB7" s="53"/>
      <c r="AC7" s="53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10.8,$F$3, $F$3 / (Demon!$D3 / 10.8)),1)</f>
        <v>10</v>
      </c>
      <c r="E9" s="1">
        <f>CEILING(Elf!$B3 / IF(Elf!$D3 &lt; 10.8, $F$3, $F$3 / (Elf!$D3 / 10.8)),1)</f>
        <v>8</v>
      </c>
      <c r="F9" s="1">
        <f>CEILING(Beastgirl!$B3 / IF(Beastgirl!$D3&lt; 10.8, $F$3, $F$3 / (Beastgirl!$D3 / 10.8)),1)</f>
        <v>14</v>
      </c>
      <c r="G9" s="1">
        <f>CEILING(Warrior!$B3 / IF(Warrior!$D3&lt; 10.8,$F$3, $F$3 / (Warrior!$D3 / 10.8)),1)</f>
        <v>12</v>
      </c>
      <c r="N9" s="1">
        <v>1</v>
      </c>
      <c r="O9" s="1">
        <f>CEILING(Demon!$B3 / IF(Demon!$D3&lt; 10.8, $Q$3, $Q$3 / (Demon!$D3 / 10.8)),1)</f>
        <v>7</v>
      </c>
      <c r="P9" s="1">
        <f>CEILING(Elf!$B3 / IF(Elf!$D3 &lt; 10.8, $Q$3,$Q$3 / (Elf!$D3 / 10.8)),1)</f>
        <v>6</v>
      </c>
      <c r="Q9" s="1">
        <f>CEILING(Beastgirl!$B3 / IF(Beastgirl!$D3&lt; 10.8, $Q$3, $Q$3 / (Beastgirl!$D3 / 10.8)),1)</f>
        <v>10</v>
      </c>
      <c r="R9" s="1">
        <f>CEILING(Warrior!$B3 / IF(Warrior!$D3&lt; 10.8, $Q$3, $Q$3 / (Warrior!$D3 / 10.8)),1)</f>
        <v>8</v>
      </c>
      <c r="Y9" s="1">
        <v>1</v>
      </c>
      <c r="Z9" s="1">
        <f>CEILING(Demon!$B3 / IF(Demon!$D3&lt; 10.8, $AB$3, $AB$3 / (Demon!$D3 / 10.8)),1)</f>
        <v>5</v>
      </c>
      <c r="AA9" s="1">
        <f>CEILING(Elf!$B3 / IF(Elf!$D3 &lt; 10.8, $AB$3,$AB$3 / (Elf!$D3 / 10.8)),1)</f>
        <v>4</v>
      </c>
      <c r="AB9" s="1">
        <f>CEILING(Beastgirl!$B3 / IF(Beastgirl!$D3&lt; 10.8, $AB$3, $AB$3 / (Beastgirl!$D3 / 10.8)),1)</f>
        <v>7</v>
      </c>
      <c r="AC9" s="1">
        <f>CEILING(Warrior!$B3 / IF(Warrior!$D3&lt; 10.8, $AB$3, $AB$3 / (Warrior!$D3 / 10.8)),1)</f>
        <v>6</v>
      </c>
    </row>
    <row r="10" spans="1:32" s="1" customFormat="1" x14ac:dyDescent="0.3">
      <c r="C10" s="1">
        <v>2</v>
      </c>
      <c r="D10" s="1">
        <f>CEILING(Demon!$B4 / IF(Demon!$D4&lt; 10.8,$F$3, $F$3 / (Demon!$D4 / 10.8)),1)</f>
        <v>13</v>
      </c>
      <c r="E10" s="1">
        <f>CEILING(Elf!$B4 / IF(Elf!$D4 &lt; 10.8, $F$3, $F$3 / (Elf!$D4 / 10.8)),1)</f>
        <v>11</v>
      </c>
      <c r="F10" s="1">
        <f>CEILING(Beastgirl!$B4 / IF(Beastgirl!$D4&lt; 10.8, $F$3, $F$3 / (Beastgirl!$D4 / 10.8)),1)</f>
        <v>20</v>
      </c>
      <c r="G10" s="1">
        <f>CEILING(Warrior!$B4 / IF(Warrior!$D4&lt; 10.8,$F$3, $F$3 / (Warrior!$D4 / 10.8)),1)</f>
        <v>16</v>
      </c>
      <c r="N10" s="1">
        <v>2</v>
      </c>
      <c r="O10" s="1">
        <f>CEILING(Demon!$B4 / IF(Demon!$D4&lt; 10.8, $Q$3, $Q$3 / (Demon!$D4 / 10.8)),1)</f>
        <v>9</v>
      </c>
      <c r="P10" s="1">
        <f>CEILING(Elf!$B4 / IF(Elf!$D4 &lt; 10.8, $Q$3,$Q$3 / (Elf!$D4 / 10.8)),1)</f>
        <v>7</v>
      </c>
      <c r="Q10" s="1">
        <f>CEILING(Beastgirl!$B4 / IF(Beastgirl!$D4&lt; 10.8, $Q$3, $Q$3 / (Beastgirl!$D4 / 10.8)),1)</f>
        <v>14</v>
      </c>
      <c r="R10" s="1">
        <f>CEILING(Warrior!$B4 / IF(Warrior!$D4&lt; 10.8, $Q$3, $Q$3 / (Warrior!$D4 / 10.8)),1)</f>
        <v>11</v>
      </c>
      <c r="Y10" s="1">
        <v>2</v>
      </c>
      <c r="Z10" s="1">
        <f>CEILING(Demon!$B4 / IF(Demon!$D4&lt; 10.8, $AB$3, $AB$3 / (Demon!$D4 / 10.8)),1)</f>
        <v>7</v>
      </c>
      <c r="AA10" s="1">
        <f>CEILING(Elf!$B4 / IF(Elf!$D4 &lt; 10.8, $AB$3,$AB$3 / (Elf!$D4 / 10.8)),1)</f>
        <v>6</v>
      </c>
      <c r="AB10" s="1">
        <f>CEILING(Beastgirl!$B4 / IF(Beastgirl!$D4&lt; 10.8, $AB$3, $AB$3 / (Beastgirl!$D4 / 10.8)),1)</f>
        <v>10</v>
      </c>
      <c r="AC10" s="1">
        <f>CEILING(Warrior!$B4 / IF(Warrior!$D4&lt; 10.8, $AB$3, $AB$3 / (Warrior!$D4 / 10.8)),1)</f>
        <v>8</v>
      </c>
    </row>
    <row r="11" spans="1:32" s="1" customFormat="1" x14ac:dyDescent="0.3">
      <c r="C11" s="1">
        <v>3</v>
      </c>
      <c r="D11" s="1">
        <f>CEILING(Demon!$B5 / IF(Demon!$D5&lt; 10.8,$F$3, $F$3 / (Demon!$D5 / 10.8)),1)</f>
        <v>15</v>
      </c>
      <c r="E11" s="1">
        <f>CEILING(Elf!$B5 / IF(Elf!$D5 &lt; 10.8, $F$3, $F$3 / (Elf!$D5 / 10.8)),1)</f>
        <v>12</v>
      </c>
      <c r="F11" s="1">
        <f>CEILING(Beastgirl!$B5 / IF(Beastgirl!$D5&lt; 10.8, $F$3, $F$3 / (Beastgirl!$D5 / 10.8)),1)</f>
        <v>27</v>
      </c>
      <c r="G11" s="1">
        <f>CEILING(Warrior!$B5 / IF(Warrior!$D5&lt; 10.8,$F$3, $F$3 / (Warrior!$D5 / 10.8)),1)</f>
        <v>18</v>
      </c>
      <c r="N11" s="1">
        <v>3</v>
      </c>
      <c r="O11" s="1">
        <f>CEILING(Demon!$B5 / IF(Demon!$D5&lt; 10.8, $Q$3, $Q$3 / (Demon!$D5 / 10.8)),1)</f>
        <v>10</v>
      </c>
      <c r="P11" s="1">
        <f>CEILING(Elf!$B5 / IF(Elf!$D5 &lt; 10.8, $Q$3,$Q$3 / (Elf!$D5 / 10.8)),1)</f>
        <v>8</v>
      </c>
      <c r="Q11" s="1">
        <f>CEILING(Beastgirl!$B5 / IF(Beastgirl!$D5&lt; 10.8, $Q$3, $Q$3 / (Beastgirl!$D5 / 10.8)),1)</f>
        <v>18</v>
      </c>
      <c r="R11" s="1">
        <f>CEILING(Warrior!$B5 / IF(Warrior!$D5&lt; 10.8, $Q$3, $Q$3 / (Warrior!$D5 / 10.8)),1)</f>
        <v>12</v>
      </c>
      <c r="Y11" s="1">
        <v>3</v>
      </c>
      <c r="Z11" s="1">
        <f>CEILING(Demon!$B5 / IF(Demon!$D5&lt; 10.8, $AB$3, $AB$3 / (Demon!$D5 / 10.8)),1)</f>
        <v>8</v>
      </c>
      <c r="AA11" s="1">
        <f>CEILING(Elf!$B5 / IF(Elf!$D5 &lt; 10.8, $AB$3,$AB$3 / (Elf!$D5 / 10.8)),1)</f>
        <v>6</v>
      </c>
      <c r="AB11" s="1">
        <f>CEILING(Beastgirl!$B5 / IF(Beastgirl!$D5&lt; 10.8, $AB$3, $AB$3 / (Beastgirl!$D5 / 10.8)),1)</f>
        <v>14</v>
      </c>
      <c r="AC11" s="1">
        <f>CEILING(Warrior!$B5 / IF(Warrior!$D5&lt; 10.8, $AB$3, $AB$3 / (Warrior!$D5 / 10.8)),1)</f>
        <v>9</v>
      </c>
    </row>
    <row r="12" spans="1:32" s="1" customFormat="1" x14ac:dyDescent="0.3">
      <c r="C12" s="1">
        <v>4</v>
      </c>
      <c r="D12" s="1">
        <f>CEILING(Demon!$B6 / IF(Demon!$D6&lt; 10.8,$F$3, $F$3 / (Demon!$D6 / 10.8)),1)</f>
        <v>17</v>
      </c>
      <c r="E12" s="1">
        <f>CEILING(Elf!$B6 / IF(Elf!$D6 &lt; 10.8, $F$3, $F$3 / (Elf!$D6 / 10.8)),1)</f>
        <v>16</v>
      </c>
      <c r="F12" s="1">
        <f>CEILING(Beastgirl!$B6 / IF(Beastgirl!$D6&lt; 10.8, $F$3, $F$3 / (Beastgirl!$D6 / 10.8)),1)</f>
        <v>34</v>
      </c>
      <c r="G12" s="1">
        <f>CEILING(Warrior!$B6 / IF(Warrior!$D6&lt; 10.8,$F$3, $F$3 / (Warrior!$D6 / 10.8)),1)</f>
        <v>22</v>
      </c>
      <c r="N12" s="1">
        <v>4</v>
      </c>
      <c r="O12" s="1">
        <f>CEILING(Demon!$B6 / IF(Demon!$D6&lt; 10.8, $Q$3, $Q$3 / (Demon!$D6 / 10.8)),1)</f>
        <v>12</v>
      </c>
      <c r="P12" s="1">
        <f>CEILING(Elf!$B6 / IF(Elf!$D6 &lt; 10.8, $Q$3,$Q$3 / (Elf!$D6 / 10.8)),1)</f>
        <v>11</v>
      </c>
      <c r="Q12" s="1">
        <f>CEILING(Beastgirl!$B6 / IF(Beastgirl!$D6&lt; 10.8, $Q$3, $Q$3 / (Beastgirl!$D6 / 10.8)),1)</f>
        <v>23</v>
      </c>
      <c r="R12" s="1">
        <f>CEILING(Warrior!$B6 / IF(Warrior!$D6&lt; 10.8, $Q$3, $Q$3 / (Warrior!$D6 / 10.8)),1)</f>
        <v>15</v>
      </c>
      <c r="Y12" s="1">
        <v>4</v>
      </c>
      <c r="Z12" s="1">
        <f>CEILING(Demon!$B6 / IF(Demon!$D6&lt; 10.8, $AB$3, $AB$3 / (Demon!$D6 / 10.8)),1)</f>
        <v>9</v>
      </c>
      <c r="AA12" s="1">
        <f>CEILING(Elf!$B6 / IF(Elf!$D6 &lt; 10.8, $AB$3,$AB$3 / (Elf!$D6 / 10.8)),1)</f>
        <v>8</v>
      </c>
      <c r="AB12" s="1">
        <f>CEILING(Beastgirl!$B6 / IF(Beastgirl!$D6&lt; 10.8, $AB$3, $AB$3 / (Beastgirl!$D6 / 10.8)),1)</f>
        <v>17</v>
      </c>
      <c r="AC12" s="1">
        <f>CEILING(Warrior!$B6 / IF(Warrior!$D6&lt; 10.8, $AB$3, $AB$3 / (Warrior!$D6 / 10.8)),1)</f>
        <v>11</v>
      </c>
    </row>
    <row r="13" spans="1:32" s="1" customFormat="1" x14ac:dyDescent="0.3">
      <c r="C13" s="1">
        <v>5</v>
      </c>
      <c r="D13" s="1">
        <f>CEILING(Demon!$B7 / IF(Demon!$D7&lt; 10.8,$F$3, $F$3 / (Demon!$D7 / 10.8)),1)</f>
        <v>33</v>
      </c>
      <c r="E13" s="1">
        <f>CEILING(Elf!$B7 / IF(Elf!$D7 &lt; 10.8, $F$3, $F$3 / (Elf!$D7 / 10.8)),1)</f>
        <v>32</v>
      </c>
      <c r="F13" s="1">
        <f>CEILING(Beastgirl!$B7 / IF(Beastgirl!$D7&lt; 10.8, $F$3, $F$3 / (Beastgirl!$D7 / 10.8)),1)</f>
        <v>68</v>
      </c>
      <c r="G13" s="1">
        <f>CEILING(Warrior!$B7 / IF(Warrior!$D7&lt; 10.8,$F$3, $F$3 / (Warrior!$D7 / 10.8)),1)</f>
        <v>45</v>
      </c>
      <c r="N13" s="1">
        <v>5</v>
      </c>
      <c r="O13" s="1">
        <f>CEILING(Demon!$B7 / IF(Demon!$D7&lt; 10.8, $Q$3, $Q$3 / (Demon!$D7 / 10.8)),1)</f>
        <v>22</v>
      </c>
      <c r="P13" s="1">
        <f>CEILING(Elf!$B7 / IF(Elf!$D7 &lt; 10.8, $Q$3,$Q$3 / (Elf!$D7 / 10.8)),1)</f>
        <v>21</v>
      </c>
      <c r="Q13" s="1">
        <f>CEILING(Beastgirl!$B7 / IF(Beastgirl!$D7&lt; 10.8, $Q$3, $Q$3 / (Beastgirl!$D7 / 10.8)),1)</f>
        <v>46</v>
      </c>
      <c r="R13" s="1">
        <f>CEILING(Warrior!$B7 / IF(Warrior!$D7&lt; 10.8, $Q$3, $Q$3 / (Warrior!$D7 / 10.8)),1)</f>
        <v>30</v>
      </c>
      <c r="Y13" s="1">
        <v>5</v>
      </c>
      <c r="Z13" s="1">
        <f>CEILING(Demon!$B7 / IF(Demon!$D7&lt; 10.8, $AB$3, $AB$3 / (Demon!$D7 / 10.8)),1)</f>
        <v>17</v>
      </c>
      <c r="AA13" s="1">
        <f>CEILING(Elf!$B7 / IF(Elf!$D7 &lt; 10.8, $AB$3,$AB$3 / (Elf!$D7 / 10.8)),1)</f>
        <v>16</v>
      </c>
      <c r="AB13" s="1">
        <f>CEILING(Beastgirl!$B7 / IF(Beastgirl!$D7&lt; 10.8, $AB$3, $AB$3 / (Beastgirl!$D7 / 10.8)),1)</f>
        <v>34</v>
      </c>
      <c r="AC13" s="1">
        <f>CEILING(Warrior!$B7 / IF(Warrior!$D7&lt; 10.8, $AB$3, $AB$3 / (Warrior!$D7 / 10.8)),1)</f>
        <v>23</v>
      </c>
    </row>
    <row r="14" spans="1:32" s="1" customFormat="1" x14ac:dyDescent="0.3">
      <c r="C14" s="1">
        <v>6</v>
      </c>
      <c r="D14" s="1">
        <f>CEILING(Demon!$B8 / IF(Demon!$D8&lt; 10.8,$F$3, $F$3 / (Demon!$D8 / 10.8)),1)</f>
        <v>39</v>
      </c>
      <c r="E14" s="1">
        <f>CEILING(Elf!$B8 / IF(Elf!$D8 &lt; 10.8, $F$3, $F$3 / (Elf!$D8 / 10.8)),1)</f>
        <v>38</v>
      </c>
      <c r="F14" s="1">
        <f>CEILING(Beastgirl!$B8 / IF(Beastgirl!$D8&lt; 10.8, $F$3, $F$3 / (Beastgirl!$D8 / 10.8)),1)</f>
        <v>81</v>
      </c>
      <c r="G14" s="1">
        <f>CEILING(Warrior!$B8 / IF(Warrior!$D8&lt; 10.8,$F$3, $F$3 / (Warrior!$D8 / 10.8)),1)</f>
        <v>53</v>
      </c>
      <c r="N14" s="1">
        <v>6</v>
      </c>
      <c r="O14" s="1">
        <f>CEILING(Demon!$B8 / IF(Demon!$D8&lt; 10.8, $Q$3, $Q$3 / (Demon!$D8 / 10.8)),1)</f>
        <v>26</v>
      </c>
      <c r="P14" s="1">
        <f>CEILING(Elf!$B8 / IF(Elf!$D8 &lt; 10.8, $Q$3,$Q$3 / (Elf!$D8 / 10.8)),1)</f>
        <v>26</v>
      </c>
      <c r="Q14" s="1">
        <f>CEILING(Beastgirl!$B8 / IF(Beastgirl!$D8&lt; 10.8, $Q$3, $Q$3 / (Beastgirl!$D8 / 10.8)),1)</f>
        <v>54</v>
      </c>
      <c r="R14" s="1">
        <f>CEILING(Warrior!$B8 / IF(Warrior!$D8&lt; 10.8, $Q$3, $Q$3 / (Warrior!$D8 / 10.8)),1)</f>
        <v>36</v>
      </c>
      <c r="Y14" s="1">
        <v>6</v>
      </c>
      <c r="Z14" s="1">
        <f>CEILING(Demon!$B8 / IF(Demon!$D8&lt; 10.8, $AB$3, $AB$3 / (Demon!$D8 / 10.8)),1)</f>
        <v>20</v>
      </c>
      <c r="AA14" s="1">
        <f>CEILING(Elf!$B8 / IF(Elf!$D8 &lt; 10.8, $AB$3,$AB$3 / (Elf!$D8 / 10.8)),1)</f>
        <v>19</v>
      </c>
      <c r="AB14" s="1">
        <f>CEILING(Beastgirl!$B8 / IF(Beastgirl!$D8&lt; 10.8, $AB$3, $AB$3 / (Beastgirl!$D8 / 10.8)),1)</f>
        <v>41</v>
      </c>
      <c r="AC14" s="1">
        <f>CEILING(Warrior!$B8 / IF(Warrior!$D8&lt; 10.8, $AB$3, $AB$3 / (Warrior!$D8 / 10.8)),1)</f>
        <v>27</v>
      </c>
    </row>
    <row r="15" spans="1:32" s="1" customFormat="1" x14ac:dyDescent="0.3">
      <c r="C15" s="1">
        <v>7</v>
      </c>
      <c r="D15" s="1">
        <f>CEILING(Demon!$B9 / IF(Demon!$D9&lt; 10.8,$F$3, $F$3 / (Demon!$D9 / 10.8)),1)</f>
        <v>46</v>
      </c>
      <c r="E15" s="1">
        <f>CEILING(Elf!$B9 / IF(Elf!$D9 &lt; 10.8, $F$3, $F$3 / (Elf!$D9 / 10.8)),1)</f>
        <v>45</v>
      </c>
      <c r="F15" s="1">
        <f>CEILING(Beastgirl!$B9 / IF(Beastgirl!$D9&lt; 10.8, $F$3, $F$3 / (Beastgirl!$D9 / 10.8)),1)</f>
        <v>95</v>
      </c>
      <c r="G15" s="1">
        <f>CEILING(Warrior!$B9 / IF(Warrior!$D9&lt; 10.8,$F$3, $F$3 / (Warrior!$D9 / 10.8)),1)</f>
        <v>63</v>
      </c>
      <c r="N15" s="1">
        <v>7</v>
      </c>
      <c r="O15" s="1">
        <f>CEILING(Demon!$B9 / IF(Demon!$D9&lt; 10.8, $Q$3, $Q$3 / (Demon!$D9 / 10.8)),1)</f>
        <v>31</v>
      </c>
      <c r="P15" s="1">
        <f>CEILING(Elf!$B9 / IF(Elf!$D9 &lt; 10.8, $Q$3,$Q$3 / (Elf!$D9 / 10.8)),1)</f>
        <v>30</v>
      </c>
      <c r="Q15" s="1">
        <f>CEILING(Beastgirl!$B9 / IF(Beastgirl!$D9&lt; 10.8, $Q$3, $Q$3 / (Beastgirl!$D9 / 10.8)),1)</f>
        <v>63</v>
      </c>
      <c r="R15" s="1">
        <f>CEILING(Warrior!$B9 / IF(Warrior!$D9&lt; 10.8, $Q$3, $Q$3 / (Warrior!$D9 / 10.8)),1)</f>
        <v>42</v>
      </c>
      <c r="Y15" s="1">
        <v>7</v>
      </c>
      <c r="Z15" s="1">
        <f>CEILING(Demon!$B9 / IF(Demon!$D9&lt; 10.8, $AB$3, $AB$3 / (Demon!$D9 / 10.8)),1)</f>
        <v>23</v>
      </c>
      <c r="AA15" s="1">
        <f>CEILING(Elf!$B9 / IF(Elf!$D9 &lt; 10.8, $AB$3,$AB$3 / (Elf!$D9 / 10.8)),1)</f>
        <v>23</v>
      </c>
      <c r="AB15" s="1">
        <f>CEILING(Beastgirl!$B9 / IF(Beastgirl!$D9&lt; 10.8, $AB$3, $AB$3 / (Beastgirl!$D9 / 10.8)),1)</f>
        <v>48</v>
      </c>
      <c r="AC15" s="1">
        <f>CEILING(Warrior!$B9 / IF(Warrior!$D9&lt; 10.8, $AB$3, $AB$3 / (Warrior!$D9 / 10.8)),1)</f>
        <v>32</v>
      </c>
    </row>
    <row r="16" spans="1:32" s="1" customFormat="1" x14ac:dyDescent="0.3">
      <c r="C16" s="1">
        <v>8</v>
      </c>
      <c r="D16" s="1">
        <f>CEILING(Demon!$B10 / IF(Demon!$D10&lt; 10.8,$F$3, $F$3 / (Demon!$D10 / 10.8)),1)</f>
        <v>54</v>
      </c>
      <c r="E16" s="1">
        <f>CEILING(Elf!$B10 / IF(Elf!$D10 &lt; 10.8, $F$3, $F$3 / (Elf!$D10 / 10.8)),1)</f>
        <v>54</v>
      </c>
      <c r="F16" s="1">
        <f>CEILING(Beastgirl!$B10 / IF(Beastgirl!$D10&lt; 10.8, $F$3, $F$3 / (Beastgirl!$D10 / 10.8)),1)</f>
        <v>110</v>
      </c>
      <c r="G16" s="1">
        <f>CEILING(Warrior!$B10 / IF(Warrior!$D10&lt; 10.8,$F$3, $F$3 / (Warrior!$D10 / 10.8)),1)</f>
        <v>73</v>
      </c>
      <c r="N16" s="1">
        <v>8</v>
      </c>
      <c r="O16" s="1">
        <f>CEILING(Demon!$B10 / IF(Demon!$D10&lt; 10.8, $Q$3, $Q$3 / (Demon!$D10 / 10.8)),1)</f>
        <v>36</v>
      </c>
      <c r="P16" s="1">
        <f>CEILING(Elf!$B10 / IF(Elf!$D10 &lt; 10.8, $Q$3,$Q$3 / (Elf!$D10 / 10.8)),1)</f>
        <v>36</v>
      </c>
      <c r="Q16" s="1">
        <f>CEILING(Beastgirl!$B10 / IF(Beastgirl!$D10&lt; 10.8, $Q$3, $Q$3 / (Beastgirl!$D10 / 10.8)),1)</f>
        <v>74</v>
      </c>
      <c r="R16" s="1">
        <f>CEILING(Warrior!$B10 / IF(Warrior!$D10&lt; 10.8, $Q$3, $Q$3 / (Warrior!$D10 / 10.8)),1)</f>
        <v>49</v>
      </c>
      <c r="Y16" s="1">
        <v>8</v>
      </c>
      <c r="Z16" s="1">
        <f>CEILING(Demon!$B10 / IF(Demon!$D10&lt; 10.8, $AB$3, $AB$3 / (Demon!$D10 / 10.8)),1)</f>
        <v>27</v>
      </c>
      <c r="AA16" s="1">
        <f>CEILING(Elf!$B10 / IF(Elf!$D10 &lt; 10.8, $AB$3,$AB$3 / (Elf!$D10 / 10.8)),1)</f>
        <v>27</v>
      </c>
      <c r="AB16" s="1">
        <f>CEILING(Beastgirl!$B10 / IF(Beastgirl!$D10&lt; 10.8, $AB$3, $AB$3 / (Beastgirl!$D10 / 10.8)),1)</f>
        <v>55</v>
      </c>
      <c r="AC16" s="1">
        <f>CEILING(Warrior!$B10 / IF(Warrior!$D10&lt; 10.8, $AB$3, $AB$3 / (Warrior!$D10 / 10.8)),1)</f>
        <v>37</v>
      </c>
    </row>
    <row r="17" spans="3:33" s="1" customFormat="1" x14ac:dyDescent="0.3">
      <c r="C17" s="1">
        <v>9</v>
      </c>
      <c r="D17" s="1">
        <f>CEILING(Demon!$B11 / IF(Demon!$D11&lt; 10.8,$F$3, $F$3 / (Demon!$D11 / 10.8)),1)</f>
        <v>64</v>
      </c>
      <c r="E17" s="1">
        <f>CEILING(Elf!$B11 / IF(Elf!$D11 &lt; 10.8, $F$3, $F$3 / (Elf!$D11 / 10.8)),1)</f>
        <v>63</v>
      </c>
      <c r="F17" s="1">
        <f>CEILING(Beastgirl!$B11 / IF(Beastgirl!$D11&lt; 10.8, $F$3, $F$3 / (Beastgirl!$D11 / 10.8)),1)</f>
        <v>128</v>
      </c>
      <c r="G17" s="1">
        <f>CEILING(Warrior!$B11 / IF(Warrior!$D11&lt; 10.8,$F$3, $F$3 / (Warrior!$D11 / 10.8)),1)</f>
        <v>85</v>
      </c>
      <c r="N17" s="1">
        <v>9</v>
      </c>
      <c r="O17" s="1">
        <f>CEILING(Demon!$B11 / IF(Demon!$D11&lt; 10.8, $Q$3, $Q$3 / (Demon!$D11 / 10.8)),1)</f>
        <v>43</v>
      </c>
      <c r="P17" s="1">
        <f>CEILING(Elf!$B11 / IF(Elf!$D11 &lt; 10.8, $Q$3,$Q$3 / (Elf!$D11 / 10.8)),1)</f>
        <v>42</v>
      </c>
      <c r="Q17" s="1">
        <f>CEILING(Beastgirl!$B11 / IF(Beastgirl!$D11&lt; 10.8, $Q$3, $Q$3 / (Beastgirl!$D11 / 10.8)),1)</f>
        <v>85</v>
      </c>
      <c r="R17" s="1">
        <f>CEILING(Warrior!$B11 / IF(Warrior!$D11&lt; 10.8, $Q$3, $Q$3 / (Warrior!$D11 / 10.8)),1)</f>
        <v>57</v>
      </c>
      <c r="Y17" s="1">
        <v>9</v>
      </c>
      <c r="Z17" s="1">
        <f>CEILING(Demon!$B11 / IF(Demon!$D11&lt; 10.8, $AB$3, $AB$3 / (Demon!$D11 / 10.8)),1)</f>
        <v>32</v>
      </c>
      <c r="AA17" s="1">
        <f>CEILING(Elf!$B11 / IF(Elf!$D11 &lt; 10.8, $AB$3,$AB$3 / (Elf!$D11 / 10.8)),1)</f>
        <v>32</v>
      </c>
      <c r="AB17" s="1">
        <f>CEILING(Beastgirl!$B11 / IF(Beastgirl!$D11&lt; 10.8, $AB$3, $AB$3 / (Beastgirl!$D11 / 10.8)),1)</f>
        <v>64</v>
      </c>
      <c r="AC17" s="1">
        <f>CEILING(Warrior!$B11 / IF(Warrior!$D11&lt; 10.8, $AB$3, $AB$3 / (Warrior!$D11 / 10.8)),1)</f>
        <v>43</v>
      </c>
    </row>
    <row r="18" spans="3:33" s="1" customFormat="1" x14ac:dyDescent="0.3">
      <c r="C18" s="1">
        <v>10</v>
      </c>
      <c r="D18" s="1">
        <f>CEILING(Demon!$B12 / IF(Demon!$D12&lt; 10.8,$F$3, $F$3 / (Demon!$D12 / 10.8)),1)</f>
        <v>74</v>
      </c>
      <c r="E18" s="1">
        <f>CEILING(Elf!$B12 / IF(Elf!$D12 &lt; 10.8, $F$3, $F$3 / (Elf!$D12 / 10.8)),1)</f>
        <v>74</v>
      </c>
      <c r="F18" s="1">
        <f>CEILING(Beastgirl!$B12 / IF(Beastgirl!$D12&lt; 10.8, $F$3, $F$3 / (Beastgirl!$D12 / 10.8)),1)</f>
        <v>147</v>
      </c>
      <c r="G18" s="1">
        <f>CEILING(Warrior!$B12 / IF(Warrior!$D12&lt; 10.8,$F$3, $F$3 / (Warrior!$D12 / 10.8)),1)</f>
        <v>98</v>
      </c>
      <c r="N18" s="1">
        <v>10</v>
      </c>
      <c r="O18" s="1">
        <f>CEILING(Demon!$B12 / IF(Demon!$D12&lt; 10.8, $Q$3, $Q$3 / (Demon!$D12 / 10.8)),1)</f>
        <v>49</v>
      </c>
      <c r="P18" s="1">
        <f>CEILING(Elf!$B12 / IF(Elf!$D12 &lt; 10.8, $Q$3,$Q$3 / (Elf!$D12 / 10.8)),1)</f>
        <v>49</v>
      </c>
      <c r="Q18" s="1">
        <f>CEILING(Beastgirl!$B12 / IF(Beastgirl!$D12&lt; 10.8, $Q$3, $Q$3 / (Beastgirl!$D12 / 10.8)),1)</f>
        <v>98</v>
      </c>
      <c r="R18" s="1">
        <f>CEILING(Warrior!$B12 / IF(Warrior!$D12&lt; 10.8, $Q$3, $Q$3 / (Warrior!$D12 / 10.8)),1)</f>
        <v>66</v>
      </c>
      <c r="Y18" s="1">
        <v>10</v>
      </c>
      <c r="Z18" s="1">
        <f>CEILING(Demon!$B12 / IF(Demon!$D12&lt; 10.8, $AB$3, $AB$3 / (Demon!$D12 / 10.8)),1)</f>
        <v>37</v>
      </c>
      <c r="AA18" s="1">
        <f>CEILING(Elf!$B12 / IF(Elf!$D12 &lt; 10.8, $AB$3,$AB$3 / (Elf!$D12 / 10.8)),1)</f>
        <v>37</v>
      </c>
      <c r="AB18" s="1">
        <f>CEILING(Beastgirl!$B12 / IF(Beastgirl!$D12&lt; 10.8, $AB$3, $AB$3 / (Beastgirl!$D12 / 10.8)),1)</f>
        <v>74</v>
      </c>
      <c r="AC18" s="1">
        <f>CEILING(Warrior!$B12 / IF(Warrior!$D12&lt; 10.8, $AB$3, $AB$3 / (Warrior!$D12 / 10.8)),1)</f>
        <v>49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3" t="s">
        <v>19</v>
      </c>
      <c r="D20" s="53"/>
      <c r="E20" s="53"/>
      <c r="F20" s="53"/>
      <c r="G20" s="53"/>
      <c r="I20" s="4"/>
      <c r="J20" s="4"/>
      <c r="K20" s="4"/>
      <c r="L20" s="4"/>
      <c r="M20" s="4"/>
      <c r="N20" s="53" t="s">
        <v>19</v>
      </c>
      <c r="O20" s="53"/>
      <c r="P20" s="53"/>
      <c r="Q20" s="53"/>
      <c r="R20" s="53"/>
      <c r="S20" s="4"/>
      <c r="T20" s="4"/>
      <c r="U20" s="4"/>
      <c r="W20" s="4"/>
      <c r="X20" s="4"/>
      <c r="Y20" s="53" t="s">
        <v>19</v>
      </c>
      <c r="Z20" s="53"/>
      <c r="AA20" s="53"/>
      <c r="AB20" s="53"/>
      <c r="AC20" s="53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 / IF(Demon!$D3&lt; 10.8, $F$4, $F$4 / (Demon!$D3 / 10.8)),1)</f>
        <v>7</v>
      </c>
      <c r="E22" s="1">
        <f>CEILING(Elf!$B3 / IF(Elf!$D3 &lt; 10.8, $F$4, $F$4 / (Elf!$D3 / 10.8)),1)</f>
        <v>6</v>
      </c>
      <c r="F22" s="1">
        <f>CEILING(Beastgirl!$B3/ IF(Beastgirl!$D3&lt; 10.8,$F$4, $F$4 / (Beastgirl!$D3 / 10.8)),1)</f>
        <v>10</v>
      </c>
      <c r="G22" s="1">
        <f>CEILING(Warrior!$B3/ IF(Warrior!$D3&lt; 10.8, $F$4, $F$4 / (Warrior!$D3 / 10.8)),1)</f>
        <v>8</v>
      </c>
      <c r="I22" s="4"/>
      <c r="J22" s="4"/>
      <c r="K22" s="4"/>
      <c r="L22" s="4"/>
      <c r="M22" s="4"/>
      <c r="N22" s="1">
        <v>1</v>
      </c>
      <c r="O22" s="1">
        <f>CEILING(Demon!$B3 / IF(Demon!$D3&lt; 10.8, $Q$4, $Q$4 / (Demon!$D3 / 10.8)),1)</f>
        <v>5</v>
      </c>
      <c r="P22" s="1">
        <f>CEILING(Elf!$B3 / IF(Elf!$D3 &lt; 10.8, $Q$4, $Q$4 / (Elf!$D3 / 10.8)),1)</f>
        <v>4</v>
      </c>
      <c r="Q22" s="1">
        <f>CEILING(Beastgirl!$B3 / IF(Beastgirl!$D3&lt; 10.8, $Q$4, $Q$4 / (Beastgirl!$D3 / 10.8)),1)</f>
        <v>7</v>
      </c>
      <c r="R22" s="1">
        <f>CEILING(Warrior!$B3 / IF(Warrior!$D3&lt; 10.8, $Q$4, $Q$4 / (Warrior!$D3 / 10.8)),1)</f>
        <v>6</v>
      </c>
      <c r="S22" s="4"/>
      <c r="T22" s="4"/>
      <c r="U22" s="4"/>
      <c r="W22" s="4"/>
      <c r="X22" s="4"/>
      <c r="Y22" s="1">
        <v>1</v>
      </c>
      <c r="Z22" s="1">
        <f>CEILING(Demon!$B3 / IF(Demon!$D3&lt; 10.8, $AB$4, $AB$4 / (Demon!$D3 / 10.8)),1)</f>
        <v>4</v>
      </c>
      <c r="AA22" s="1">
        <f>CEILING(Elf!$B3 / IF(Elf!$D3 &lt; 10.8, $AB$4, $AB$4 / (Elf!$D3 / 10.8)),1)</f>
        <v>3</v>
      </c>
      <c r="AB22" s="1">
        <f>CEILING(Beastgirl!$B3 / IF(Beastgirl!$D3&lt; 10.8, $AB$4, $AB$4 / (Beastgirl!$D3 / 10.8)),1)</f>
        <v>5</v>
      </c>
      <c r="AC22" s="1">
        <f>CEILING(Warrior!$B3 / IF(Warrior!$D3&lt; 10.8, $AB$4, $AB$4 / (Warrior!$D3 / 10.8)),1)</f>
        <v>4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 / IF(Demon!$D4&lt; 10.8, $F$4, $F$4 / (Demon!$D4 / 10.8)),1)</f>
        <v>9</v>
      </c>
      <c r="E23" s="1">
        <f>CEILING(Elf!$B4 / IF(Elf!$D4 &lt; 10.8, $F$4, $F$4 / (Elf!$D4 / 10.8)),1)</f>
        <v>7</v>
      </c>
      <c r="F23" s="1">
        <f>CEILING(Beastgirl!$B4/ IF(Beastgirl!$D4&lt; 10.8,$F$4, $F$4 / (Beastgirl!$D4 / 10.8)),1)</f>
        <v>14</v>
      </c>
      <c r="G23" s="1">
        <f>CEILING(Warrior!$B4/ IF(Warrior!$D4&lt; 10.8, $F$4, $F$4 / (Warrior!$D4 / 10.8)),1)</f>
        <v>11</v>
      </c>
      <c r="I23" s="4"/>
      <c r="J23" s="4"/>
      <c r="K23" s="4"/>
      <c r="L23" s="4"/>
      <c r="M23" s="4"/>
      <c r="N23" s="1">
        <v>2</v>
      </c>
      <c r="O23" s="1">
        <f>CEILING(Demon!$B4 / IF(Demon!$D4&lt; 10.8, $Q$4, $Q$4 / (Demon!$D4 / 10.8)),1)</f>
        <v>6</v>
      </c>
      <c r="P23" s="1">
        <f>CEILING(Elf!$B4 / IF(Elf!$D4 &lt; 10.8, $Q$4, $Q$4 / (Elf!$D4 / 10.8)),1)</f>
        <v>5</v>
      </c>
      <c r="Q23" s="1">
        <f>CEILING(Beastgirl!$B4 / IF(Beastgirl!$D4&lt; 10.8, $Q$4, $Q$4 / (Beastgirl!$D4 / 10.8)),1)</f>
        <v>9</v>
      </c>
      <c r="R23" s="1">
        <f>CEILING(Warrior!$B4 / IF(Warrior!$D4&lt; 10.8, $Q$4, $Q$4 / (Warrior!$D4 / 10.8)),1)</f>
        <v>7</v>
      </c>
      <c r="S23" s="4"/>
      <c r="T23" s="4"/>
      <c r="U23" s="4"/>
      <c r="W23" s="4"/>
      <c r="X23" s="4"/>
      <c r="Y23" s="1">
        <v>2</v>
      </c>
      <c r="Z23" s="1">
        <f>CEILING(Demon!$B4 / IF(Demon!$D4&lt; 10.8, $AB$4, $AB$4 / (Demon!$D4 / 10.8)),1)</f>
        <v>5</v>
      </c>
      <c r="AA23" s="1">
        <f>CEILING(Elf!$B4 / IF(Elf!$D4 &lt; 10.8, $AB$4, $AB$4 / (Elf!$D4 / 10.8)),1)</f>
        <v>4</v>
      </c>
      <c r="AB23" s="1">
        <f>CEILING(Beastgirl!$B4 / IF(Beastgirl!$D4&lt; 10.8, $AB$4, $AB$4 / (Beastgirl!$D4 / 10.8)),1)</f>
        <v>7</v>
      </c>
      <c r="AC23" s="1">
        <f>CEILING(Warrior!$B4 / IF(Warrior!$D4&lt; 10.8, $AB$4, $AB$4 / (Warrior!$D4 / 10.8)),1)</f>
        <v>6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 / IF(Demon!$D5&lt; 10.8, $F$4, $F$4 / (Demon!$D5 / 10.8)),1)</f>
        <v>10</v>
      </c>
      <c r="E24" s="1">
        <f>CEILING(Elf!$B5 / IF(Elf!$D5 &lt; 10.8, $F$4, $F$4 / (Elf!$D5 / 10.8)),1)</f>
        <v>8</v>
      </c>
      <c r="F24" s="1">
        <f>CEILING(Beastgirl!$B5/ IF(Beastgirl!$D5&lt; 10.8,$F$4, $F$4 / (Beastgirl!$D5 / 10.8)),1)</f>
        <v>18</v>
      </c>
      <c r="G24" s="1">
        <f>CEILING(Warrior!$B5/ IF(Warrior!$D5&lt; 10.8, $F$4, $F$4 / (Warrior!$D5 / 10.8)),1)</f>
        <v>12</v>
      </c>
      <c r="I24" s="4"/>
      <c r="J24" s="4"/>
      <c r="K24" s="4"/>
      <c r="L24" s="4"/>
      <c r="M24" s="4"/>
      <c r="N24" s="1">
        <v>3</v>
      </c>
      <c r="O24" s="1">
        <f>CEILING(Demon!$B5 / IF(Demon!$D5&lt; 10.8, $Q$4, $Q$4 / (Demon!$D5 / 10.8)),1)</f>
        <v>7</v>
      </c>
      <c r="P24" s="1">
        <f>CEILING(Elf!$B5 / IF(Elf!$D5 &lt; 10.8, $Q$4, $Q$4 / (Elf!$D5 / 10.8)),1)</f>
        <v>6</v>
      </c>
      <c r="Q24" s="1">
        <f>CEILING(Beastgirl!$B5 / IF(Beastgirl!$D5&lt; 10.8, $Q$4, $Q$4 / (Beastgirl!$D5 / 10.8)),1)</f>
        <v>12</v>
      </c>
      <c r="R24" s="1">
        <f>CEILING(Warrior!$B5 / IF(Warrior!$D5&lt; 10.8, $Q$4, $Q$4 / (Warrior!$D5 / 10.8)),1)</f>
        <v>8</v>
      </c>
      <c r="S24" s="4"/>
      <c r="T24" s="4"/>
      <c r="U24" s="4"/>
      <c r="W24" s="4"/>
      <c r="X24" s="4"/>
      <c r="Y24" s="1">
        <v>3</v>
      </c>
      <c r="Z24" s="1">
        <f>CEILING(Demon!$B5 / IF(Demon!$D5&lt; 10.8, $AB$4, $AB$4 / (Demon!$D5 / 10.8)),1)</f>
        <v>5</v>
      </c>
      <c r="AA24" s="1">
        <f>CEILING(Elf!$B5 / IF(Elf!$D5 &lt; 10.8, $AB$4, $AB$4 / (Elf!$D5 / 10.8)),1)</f>
        <v>4</v>
      </c>
      <c r="AB24" s="1">
        <f>CEILING(Beastgirl!$B5 / IF(Beastgirl!$D5&lt; 10.8, $AB$4, $AB$4 / (Beastgirl!$D5 / 10.8)),1)</f>
        <v>9</v>
      </c>
      <c r="AC24" s="1">
        <f>CEILING(Warrior!$B5 / IF(Warrior!$D5&lt; 10.8, $AB$4, $AB$4 / (Warrior!$D5 / 10.8)),1)</f>
        <v>6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 / IF(Demon!$D6&lt; 10.8, $F$4, $F$4 / (Demon!$D6 / 10.8)),1)</f>
        <v>12</v>
      </c>
      <c r="E25" s="1">
        <f>CEILING(Elf!$B6 / IF(Elf!$D6 &lt; 10.8, $F$4, $F$4 / (Elf!$D6 / 10.8)),1)</f>
        <v>11</v>
      </c>
      <c r="F25" s="1">
        <f>CEILING(Beastgirl!$B6/ IF(Beastgirl!$D6&lt; 10.8,$F$4, $F$4 / (Beastgirl!$D6 / 10.8)),1)</f>
        <v>23</v>
      </c>
      <c r="G25" s="1">
        <f>CEILING(Warrior!$B6/ IF(Warrior!$D6&lt; 10.8, $F$4, $F$4 / (Warrior!$D6 / 10.8)),1)</f>
        <v>15</v>
      </c>
      <c r="I25" s="4"/>
      <c r="J25" s="4"/>
      <c r="K25" s="4"/>
      <c r="L25" s="4"/>
      <c r="M25" s="4"/>
      <c r="N25" s="1">
        <v>4</v>
      </c>
      <c r="O25" s="1">
        <f>CEILING(Demon!$B6 / IF(Demon!$D6&lt; 10.8, $Q$4, $Q$4 / (Demon!$D6 / 10.8)),1)</f>
        <v>8</v>
      </c>
      <c r="P25" s="1">
        <f>CEILING(Elf!$B6 / IF(Elf!$D6 &lt; 10.8, $Q$4, $Q$4 / (Elf!$D6 / 10.8)),1)</f>
        <v>7</v>
      </c>
      <c r="Q25" s="1">
        <f>CEILING(Beastgirl!$B6 / IF(Beastgirl!$D6&lt; 10.8, $Q$4, $Q$4 / (Beastgirl!$D6 / 10.8)),1)</f>
        <v>15</v>
      </c>
      <c r="R25" s="1">
        <f>CEILING(Warrior!$B6 / IF(Warrior!$D6&lt; 10.8, $Q$4, $Q$4 / (Warrior!$D6 / 10.8)),1)</f>
        <v>10</v>
      </c>
      <c r="S25" s="4"/>
      <c r="T25" s="4"/>
      <c r="U25" s="4"/>
      <c r="W25" s="4"/>
      <c r="X25" s="4"/>
      <c r="Y25" s="1">
        <v>4</v>
      </c>
      <c r="Z25" s="1">
        <f>CEILING(Demon!$B6 / IF(Demon!$D6&lt; 10.8, $AB$4, $AB$4 / (Demon!$D6 / 10.8)),1)</f>
        <v>6</v>
      </c>
      <c r="AA25" s="1">
        <f>CEILING(Elf!$B6 / IF(Elf!$D6 &lt; 10.8, $AB$4, $AB$4 / (Elf!$D6 / 10.8)),1)</f>
        <v>6</v>
      </c>
      <c r="AB25" s="1">
        <f>CEILING(Beastgirl!$B6 / IF(Beastgirl!$D6&lt; 10.8, $AB$4, $AB$4 / (Beastgirl!$D6 / 10.8)),1)</f>
        <v>12</v>
      </c>
      <c r="AC25" s="1">
        <f>CEILING(Warrior!$B6 / IF(Warrior!$D6&lt; 10.8, $AB$4, $AB$4 / (Warrior!$D6 / 10.8)),1)</f>
        <v>8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 / IF(Demon!$D7&lt; 10.8, $F$4, $F$4 / (Demon!$D7 / 10.8)),1)</f>
        <v>22</v>
      </c>
      <c r="E26" s="1">
        <f>CEILING(Elf!$B7 / IF(Elf!$D7 &lt; 10.8, $F$4, $F$4 / (Elf!$D7 / 10.8)),1)</f>
        <v>21</v>
      </c>
      <c r="F26" s="1">
        <f>CEILING(Beastgirl!$B7/ IF(Beastgirl!$D7&lt; 10.8,$F$4, $F$4 / (Beastgirl!$D7 / 10.8)),1)</f>
        <v>46</v>
      </c>
      <c r="G26" s="1">
        <f>CEILING(Warrior!$B7/ IF(Warrior!$D7&lt; 10.8, $F$4, $F$4 / (Warrior!$D7 / 10.8)),1)</f>
        <v>30</v>
      </c>
      <c r="I26" s="4"/>
      <c r="J26" s="4"/>
      <c r="K26" s="4"/>
      <c r="L26" s="4"/>
      <c r="M26" s="4"/>
      <c r="N26" s="1">
        <v>5</v>
      </c>
      <c r="O26" s="1">
        <f>CEILING(Demon!$B7 / IF(Demon!$D7&lt; 10.8, $Q$4, $Q$4 / (Demon!$D7 / 10.8)),1)</f>
        <v>15</v>
      </c>
      <c r="P26" s="1">
        <f>CEILING(Elf!$B7 / IF(Elf!$D7 &lt; 10.8, $Q$4, $Q$4 / (Elf!$D7 / 10.8)),1)</f>
        <v>14</v>
      </c>
      <c r="Q26" s="1">
        <f>CEILING(Beastgirl!$B7 / IF(Beastgirl!$D7&lt; 10.8, $Q$4, $Q$4 / (Beastgirl!$D7 / 10.8)),1)</f>
        <v>31</v>
      </c>
      <c r="R26" s="1">
        <f>CEILING(Warrior!$B7 / IF(Warrior!$D7&lt; 10.8, $Q$4, $Q$4 / (Warrior!$D7 / 10.8)),1)</f>
        <v>20</v>
      </c>
      <c r="S26" s="4"/>
      <c r="T26" s="4"/>
      <c r="U26" s="4"/>
      <c r="W26" s="4"/>
      <c r="X26" s="4"/>
      <c r="Y26" s="1">
        <v>5</v>
      </c>
      <c r="Z26" s="1">
        <f>CEILING(Demon!$B7 / IF(Demon!$D7&lt; 10.8, $AB$4, $AB$4 / (Demon!$D7 / 10.8)),1)</f>
        <v>11</v>
      </c>
      <c r="AA26" s="1">
        <f>CEILING(Elf!$B7 / IF(Elf!$D7 &lt; 10.8, $AB$4, $AB$4 / (Elf!$D7 / 10.8)),1)</f>
        <v>11</v>
      </c>
      <c r="AB26" s="1">
        <f>CEILING(Beastgirl!$B7 / IF(Beastgirl!$D7&lt; 10.8, $AB$4, $AB$4 / (Beastgirl!$D7 / 10.8)),1)</f>
        <v>23</v>
      </c>
      <c r="AC26" s="1">
        <f>CEILING(Warrior!$B7 / IF(Warrior!$D7&lt; 10.8, $AB$4, $AB$4 / (Warrior!$D7 / 10.8)),1)</f>
        <v>15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 / IF(Demon!$D8&lt; 10.8, $F$4, $F$4 / (Demon!$D8 / 10.8)),1)</f>
        <v>26</v>
      </c>
      <c r="E27" s="1">
        <f>CEILING(Elf!$B8 / IF(Elf!$D8 &lt; 10.8, $F$4, $F$4 / (Elf!$D8 / 10.8)),1)</f>
        <v>26</v>
      </c>
      <c r="F27" s="1">
        <f>CEILING(Beastgirl!$B8/ IF(Beastgirl!$D8&lt; 10.8,$F$4, $F$4 / (Beastgirl!$D8 / 10.8)),1)</f>
        <v>54</v>
      </c>
      <c r="G27" s="1">
        <f>CEILING(Warrior!$B8/ IF(Warrior!$D8&lt; 10.8, $F$4, $F$4 / (Warrior!$D8 / 10.8)),1)</f>
        <v>36</v>
      </c>
      <c r="I27" s="4"/>
      <c r="J27" s="4"/>
      <c r="K27" s="4"/>
      <c r="L27" s="4"/>
      <c r="M27" s="4"/>
      <c r="N27" s="1">
        <v>6</v>
      </c>
      <c r="O27" s="1">
        <f>CEILING(Demon!$B8 / IF(Demon!$D8&lt; 10.8, $Q$4, $Q$4 / (Demon!$D8 / 10.8)),1)</f>
        <v>18</v>
      </c>
      <c r="P27" s="1">
        <f>CEILING(Elf!$B8 / IF(Elf!$D8 &lt; 10.8, $Q$4, $Q$4 / (Elf!$D8 / 10.8)),1)</f>
        <v>17</v>
      </c>
      <c r="Q27" s="1">
        <f>CEILING(Beastgirl!$B8 / IF(Beastgirl!$D8&lt; 10.8, $Q$4, $Q$4 / (Beastgirl!$D8 / 10.8)),1)</f>
        <v>36</v>
      </c>
      <c r="R27" s="1">
        <f>CEILING(Warrior!$B8 / IF(Warrior!$D8&lt; 10.8, $Q$4, $Q$4 / (Warrior!$D8 / 10.8)),1)</f>
        <v>24</v>
      </c>
      <c r="S27" s="4"/>
      <c r="T27" s="4"/>
      <c r="U27" s="4"/>
      <c r="W27" s="4"/>
      <c r="X27" s="4"/>
      <c r="Y27" s="1">
        <v>6</v>
      </c>
      <c r="Z27" s="1">
        <f>CEILING(Demon!$B8 / IF(Demon!$D8&lt; 10.8, $AB$4, $AB$4 / (Demon!$D8 / 10.8)),1)</f>
        <v>13</v>
      </c>
      <c r="AA27" s="1">
        <f>CEILING(Elf!$B8 / IF(Elf!$D8 &lt; 10.8, $AB$4, $AB$4 / (Elf!$D8 / 10.8)),1)</f>
        <v>13</v>
      </c>
      <c r="AB27" s="1">
        <f>CEILING(Beastgirl!$B8 / IF(Beastgirl!$D8&lt; 10.8, $AB$4, $AB$4 / (Beastgirl!$D8 / 10.8)),1)</f>
        <v>27</v>
      </c>
      <c r="AC27" s="1">
        <f>CEILING(Warrior!$B8 / IF(Warrior!$D8&lt; 10.8, $AB$4, $AB$4 / (Warrior!$D8 / 10.8)),1)</f>
        <v>18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 / IF(Demon!$D9&lt; 10.8, $F$4, $F$4 / (Demon!$D9 / 10.8)),1)</f>
        <v>31</v>
      </c>
      <c r="E28" s="1">
        <f>CEILING(Elf!$B9 / IF(Elf!$D9 &lt; 10.8, $F$4, $F$4 / (Elf!$D9 / 10.8)),1)</f>
        <v>30</v>
      </c>
      <c r="F28" s="1">
        <f>CEILING(Beastgirl!$B9/ IF(Beastgirl!$D9&lt; 10.8,$F$4, $F$4 / (Beastgirl!$D9 / 10.8)),1)</f>
        <v>63</v>
      </c>
      <c r="G28" s="1">
        <f>CEILING(Warrior!$B9/ IF(Warrior!$D9&lt; 10.8, $F$4, $F$4 / (Warrior!$D9 / 10.8)),1)</f>
        <v>42</v>
      </c>
      <c r="I28" s="4"/>
      <c r="J28" s="4"/>
      <c r="K28" s="4"/>
      <c r="L28" s="4"/>
      <c r="M28" s="4"/>
      <c r="N28" s="1">
        <v>7</v>
      </c>
      <c r="O28" s="1">
        <f>CEILING(Demon!$B9 / IF(Demon!$D9&lt; 10.8, $Q$4, $Q$4 / (Demon!$D9 / 10.8)),1)</f>
        <v>21</v>
      </c>
      <c r="P28" s="1">
        <f>CEILING(Elf!$B9 / IF(Elf!$D9 &lt; 10.8, $Q$4, $Q$4 / (Elf!$D9 / 10.8)),1)</f>
        <v>20</v>
      </c>
      <c r="Q28" s="1">
        <f>CEILING(Beastgirl!$B9 / IF(Beastgirl!$D9&lt; 10.8, $Q$4, $Q$4 / (Beastgirl!$D9 / 10.8)),1)</f>
        <v>42</v>
      </c>
      <c r="R28" s="1">
        <f>CEILING(Warrior!$B9 / IF(Warrior!$D9&lt; 10.8, $Q$4, $Q$4 / (Warrior!$D9 / 10.8)),1)</f>
        <v>28</v>
      </c>
      <c r="S28" s="4"/>
      <c r="T28" s="4"/>
      <c r="U28" s="4"/>
      <c r="W28" s="4"/>
      <c r="X28" s="4"/>
      <c r="Y28" s="1">
        <v>7</v>
      </c>
      <c r="Z28" s="1">
        <f>CEILING(Demon!$B9 / IF(Demon!$D9&lt; 10.8, $AB$4, $AB$4 / (Demon!$D9 / 10.8)),1)</f>
        <v>16</v>
      </c>
      <c r="AA28" s="1">
        <f>CEILING(Elf!$B9 / IF(Elf!$D9 &lt; 10.8, $AB$4, $AB$4 / (Elf!$D9 / 10.8)),1)</f>
        <v>15</v>
      </c>
      <c r="AB28" s="1">
        <f>CEILING(Beastgirl!$B9 / IF(Beastgirl!$D9&lt; 10.8, $AB$4, $AB$4 / (Beastgirl!$D9 / 10.8)),1)</f>
        <v>32</v>
      </c>
      <c r="AC28" s="1">
        <f>CEILING(Warrior!$B9 / IF(Warrior!$D9&lt; 10.8, $AB$4, $AB$4 / (Warrior!$D9 / 10.8)),1)</f>
        <v>21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 / IF(Demon!$D10&lt; 10.8, $F$4, $F$4 / (Demon!$D10 / 10.8)),1)</f>
        <v>36</v>
      </c>
      <c r="E29" s="1">
        <f>CEILING(Elf!$B10 / IF(Elf!$D10 &lt; 10.8, $F$4, $F$4 / (Elf!$D10 / 10.8)),1)</f>
        <v>36</v>
      </c>
      <c r="F29" s="1">
        <f>CEILING(Beastgirl!$B10/ IF(Beastgirl!$D10&lt; 10.8,$F$4, $F$4 / (Beastgirl!$D10 / 10.8)),1)</f>
        <v>74</v>
      </c>
      <c r="G29" s="1">
        <f>CEILING(Warrior!$B10/ IF(Warrior!$D10&lt; 10.8, $F$4, $F$4 / (Warrior!$D10 / 10.8)),1)</f>
        <v>49</v>
      </c>
      <c r="I29" s="4"/>
      <c r="J29" s="4"/>
      <c r="K29" s="4"/>
      <c r="L29" s="4"/>
      <c r="M29" s="4"/>
      <c r="N29" s="1">
        <v>8</v>
      </c>
      <c r="O29" s="1">
        <f>CEILING(Demon!$B10 / IF(Demon!$D10&lt; 10.8, $Q$4, $Q$4 / (Demon!$D10 / 10.8)),1)</f>
        <v>24</v>
      </c>
      <c r="P29" s="1">
        <f>CEILING(Elf!$B10 / IF(Elf!$D10 &lt; 10.8, $Q$4, $Q$4 / (Elf!$D10 / 10.8)),1)</f>
        <v>24</v>
      </c>
      <c r="Q29" s="1">
        <f>CEILING(Beastgirl!$B10 / IF(Beastgirl!$D10&lt; 10.8, $Q$4, $Q$4 / (Beastgirl!$D10 / 10.8)),1)</f>
        <v>49</v>
      </c>
      <c r="R29" s="1">
        <f>CEILING(Warrior!$B10 / IF(Warrior!$D10&lt; 10.8, $Q$4, $Q$4 / (Warrior!$D10 / 10.8)),1)</f>
        <v>33</v>
      </c>
      <c r="S29" s="4"/>
      <c r="T29" s="4"/>
      <c r="U29" s="4"/>
      <c r="W29" s="4"/>
      <c r="X29" s="4"/>
      <c r="Y29" s="1">
        <v>8</v>
      </c>
      <c r="Z29" s="1">
        <f>CEILING(Demon!$B10 / IF(Demon!$D10&lt; 10.8, $AB$4, $AB$4 / (Demon!$D10 / 10.8)),1)</f>
        <v>18</v>
      </c>
      <c r="AA29" s="1">
        <f>CEILING(Elf!$B10 / IF(Elf!$D10 &lt; 10.8, $AB$4, $AB$4 / (Elf!$D10 / 10.8)),1)</f>
        <v>18</v>
      </c>
      <c r="AB29" s="1">
        <f>CEILING(Beastgirl!$B10 / IF(Beastgirl!$D10&lt; 10.8, $AB$4, $AB$4 / (Beastgirl!$D10 / 10.8)),1)</f>
        <v>37</v>
      </c>
      <c r="AC29" s="1">
        <f>CEILING(Warrior!$B10 / IF(Warrior!$D10&lt; 10.8, $AB$4, $AB$4 / (Warrior!$D10 / 10.8)),1)</f>
        <v>25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 / IF(Demon!$D11&lt; 10.8, $F$4, $F$4 / (Demon!$D11 / 10.8)),1)</f>
        <v>43</v>
      </c>
      <c r="E30" s="1">
        <f>CEILING(Elf!$B11 / IF(Elf!$D11 &lt; 10.8, $F$4, $F$4 / (Elf!$D11 / 10.8)),1)</f>
        <v>42</v>
      </c>
      <c r="F30" s="1">
        <f>CEILING(Beastgirl!$B11/ IF(Beastgirl!$D11&lt; 10.8,$F$4, $F$4 / (Beastgirl!$D11 / 10.8)),1)</f>
        <v>85</v>
      </c>
      <c r="G30" s="1">
        <f>CEILING(Warrior!$B11/ IF(Warrior!$D11&lt; 10.8, $F$4, $F$4 / (Warrior!$D11 / 10.8)),1)</f>
        <v>57</v>
      </c>
      <c r="I30" s="4"/>
      <c r="J30" s="4"/>
      <c r="K30" s="4"/>
      <c r="L30" s="4"/>
      <c r="M30" s="4"/>
      <c r="N30" s="1">
        <v>9</v>
      </c>
      <c r="O30" s="1">
        <f>CEILING(Demon!$B11 / IF(Demon!$D11&lt; 10.8, $Q$4, $Q$4 / (Demon!$D11 / 10.8)),1)</f>
        <v>29</v>
      </c>
      <c r="P30" s="1">
        <f>CEILING(Elf!$B11 / IF(Elf!$D11 &lt; 10.8, $Q$4, $Q$4 / (Elf!$D11 / 10.8)),1)</f>
        <v>28</v>
      </c>
      <c r="Q30" s="1">
        <f>CEILING(Beastgirl!$B11 / IF(Beastgirl!$D11&lt; 10.8, $Q$4, $Q$4 / (Beastgirl!$D11 / 10.8)),1)</f>
        <v>57</v>
      </c>
      <c r="R30" s="1">
        <f>CEILING(Warrior!$B11 / IF(Warrior!$D11&lt; 10.8, $Q$4, $Q$4 / (Warrior!$D11 / 10.8)),1)</f>
        <v>38</v>
      </c>
      <c r="S30" s="4"/>
      <c r="T30" s="4"/>
      <c r="U30" s="4"/>
      <c r="W30" s="4"/>
      <c r="X30" s="4"/>
      <c r="Y30" s="1">
        <v>9</v>
      </c>
      <c r="Z30" s="1">
        <f>CEILING(Demon!$B11 / IF(Demon!$D11&lt; 10.8, $AB$4, $AB$4 / (Demon!$D11 / 10.8)),1)</f>
        <v>22</v>
      </c>
      <c r="AA30" s="1">
        <f>CEILING(Elf!$B11 / IF(Elf!$D11 &lt; 10.8, $AB$4, $AB$4 / (Elf!$D11 / 10.8)),1)</f>
        <v>21</v>
      </c>
      <c r="AB30" s="1">
        <f>CEILING(Beastgirl!$B11 / IF(Beastgirl!$D11&lt; 10.8, $AB$4, $AB$4 / (Beastgirl!$D11 / 10.8)),1)</f>
        <v>43</v>
      </c>
      <c r="AC30" s="1">
        <f>CEILING(Warrior!$B11 / IF(Warrior!$D11&lt; 10.8, $AB$4, $AB$4 / (Warrior!$D11 / 10.8)),1)</f>
        <v>29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 / IF(Demon!$D12&lt; 10.8, $F$4, $F$4 / (Demon!$D12 / 10.8)),1)</f>
        <v>49</v>
      </c>
      <c r="E31" s="1">
        <f>CEILING(Elf!$B12 / IF(Elf!$D12 &lt; 10.8, $F$4, $F$4 / (Elf!$D12 / 10.8)),1)</f>
        <v>49</v>
      </c>
      <c r="F31" s="1">
        <f>CEILING(Beastgirl!$B12/ IF(Beastgirl!$D12&lt; 10.8,$F$4, $F$4 / (Beastgirl!$D12 / 10.8)),1)</f>
        <v>98</v>
      </c>
      <c r="G31" s="1">
        <f>CEILING(Warrior!$B12/ IF(Warrior!$D12&lt; 10.8, $F$4, $F$4 / (Warrior!$D12 / 10.8)),1)</f>
        <v>66</v>
      </c>
      <c r="I31" s="4"/>
      <c r="J31" s="4"/>
      <c r="K31" s="4"/>
      <c r="L31" s="4"/>
      <c r="M31" s="4"/>
      <c r="N31" s="1">
        <v>10</v>
      </c>
      <c r="O31" s="1">
        <f>CEILING(Demon!$B12 / IF(Demon!$D12&lt; 10.8, $Q$4, $Q$4 / (Demon!$D12 / 10.8)),1)</f>
        <v>33</v>
      </c>
      <c r="P31" s="1">
        <f>CEILING(Elf!$B12 / IF(Elf!$D12 &lt; 10.8, $Q$4, $Q$4 / (Elf!$D12 / 10.8)),1)</f>
        <v>33</v>
      </c>
      <c r="Q31" s="1">
        <f>CEILING(Beastgirl!$B12 / IF(Beastgirl!$D12&lt; 10.8, $Q$4, $Q$4 / (Beastgirl!$D12 / 10.8)),1)</f>
        <v>66</v>
      </c>
      <c r="R31" s="1">
        <f>CEILING(Warrior!$B12 / IF(Warrior!$D12&lt; 10.8, $Q$4, $Q$4 / (Warrior!$D12 / 10.8)),1)</f>
        <v>44</v>
      </c>
      <c r="S31" s="4"/>
      <c r="T31" s="4"/>
      <c r="U31" s="4"/>
      <c r="W31" s="4"/>
      <c r="X31" s="4"/>
      <c r="Y31" s="1">
        <v>10</v>
      </c>
      <c r="Z31" s="1">
        <f>CEILING(Demon!$B12 / IF(Demon!$D12&lt; 10.8, $AB$4, $AB$4 / (Demon!$D12 / 10.8)),1)</f>
        <v>25</v>
      </c>
      <c r="AA31" s="1">
        <f>CEILING(Elf!$B12 / IF(Elf!$D12 &lt; 10.8, $AB$4, $AB$4 / (Elf!$D12 / 10.8)),1)</f>
        <v>25</v>
      </c>
      <c r="AB31" s="1">
        <f>CEILING(Beastgirl!$B12 / IF(Beastgirl!$D12&lt; 10.8, $AB$4, $AB$4 / (Beastgirl!$D12 / 10.8)),1)</f>
        <v>49</v>
      </c>
      <c r="AC31" s="1">
        <f>CEILING(Warrior!$B12 / IF(Warrior!$D12&lt; 10.8, $AB$4, $AB$4 / (Warrior!$D12 / 10.8)),1)</f>
        <v>33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1:33" s="1" customFormat="1" ht="25.8" x14ac:dyDescent="0.3">
      <c r="C33" s="53" t="s">
        <v>20</v>
      </c>
      <c r="D33" s="53"/>
      <c r="E33" s="53"/>
      <c r="F33" s="53"/>
      <c r="G33" s="53"/>
      <c r="I33" s="4"/>
      <c r="J33" s="4"/>
      <c r="K33" s="4"/>
      <c r="L33" s="4"/>
      <c r="M33" s="4"/>
      <c r="N33" s="53" t="s">
        <v>20</v>
      </c>
      <c r="O33" s="53"/>
      <c r="P33" s="53"/>
      <c r="Q33" s="53"/>
      <c r="R33" s="53"/>
      <c r="S33" s="4"/>
      <c r="T33" s="4"/>
      <c r="U33" s="4"/>
      <c r="W33" s="4"/>
      <c r="X33" s="4"/>
      <c r="Y33" s="53" t="s">
        <v>20</v>
      </c>
      <c r="Z33" s="53"/>
      <c r="AA33" s="53"/>
      <c r="AB33" s="53"/>
      <c r="AC33" s="53"/>
      <c r="AD33" s="4"/>
      <c r="AE33" s="4"/>
      <c r="AF33" s="4"/>
      <c r="AG33" s="4"/>
    </row>
    <row r="34" spans="1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1:33" s="1" customFormat="1" x14ac:dyDescent="0.3">
      <c r="C35" s="1">
        <v>1</v>
      </c>
      <c r="D35" s="1">
        <f>CEILING(Demon!$B3/ IF(Demon!$D3&lt; 10.8, $F$5, $F$5 / (Demon!$D3 / 10.8)),1)</f>
        <v>6</v>
      </c>
      <c r="E35" s="1">
        <f>CEILING(Elf!$B3 / IF(Elf!$D3 &lt; 10.8, $F$5,$F$5 / (Elf!$D3 / 10.8)),1)</f>
        <v>5</v>
      </c>
      <c r="F35" s="1">
        <f>CEILING(Beastgirl!$B3 / IF(Beastgirl!$D3&lt; 10.8, $F$5, $F$5 / (Beastgirl!$D3 / 10.8)),1)</f>
        <v>8</v>
      </c>
      <c r="G35" s="1">
        <f>CEILING(Warrior!$B3 / IF(Warrior!$D3&lt; 10.8, $F$5, $F$5 / (Warrior!$D3 / 10.8)),1)</f>
        <v>7</v>
      </c>
      <c r="I35" s="4"/>
      <c r="J35" s="4"/>
      <c r="K35" s="4"/>
      <c r="L35" s="4"/>
      <c r="M35" s="4"/>
      <c r="N35" s="1">
        <v>1</v>
      </c>
      <c r="O35" s="1">
        <f>CEILING(Demon!$B3 / IF(Demon!$D3&lt; 10.8, $Q$5, $Q$5 / (Demon!$D3/ 10.8)),1)</f>
        <v>4</v>
      </c>
      <c r="P35" s="1">
        <f>CEILING(Elf!$B3/ IF(Elf!$D3 &lt; 10.8, $Q$5, $Q$5 / (Elf!$D3 / 10.8)),1)</f>
        <v>4</v>
      </c>
      <c r="Q35" s="1">
        <f>CEILING(Beastgirl!$B3 / IF(Beastgirl!$D3&lt; 10.8, $Q$5, $Q$5 / (Beastgirl!$D3 / 10.8)),1)</f>
        <v>6</v>
      </c>
      <c r="R35" s="1">
        <f>CEILING(Warrior!$B3/ IF(Warrior!$D3&lt; 10.8, $Q$5, $Q$5 / (Warrior!$D3 / 10.8)),1)</f>
        <v>5</v>
      </c>
      <c r="S35" s="4"/>
      <c r="T35" s="4"/>
      <c r="U35" s="4"/>
      <c r="W35" s="4"/>
      <c r="X35" s="4"/>
      <c r="Y35" s="1">
        <v>1</v>
      </c>
      <c r="Z35" s="1">
        <f>CEILING(Demon!$B3 / IF(Demon!$D3&lt; 10.8, $AB$5, $AB$5 / (Demon!$D3 / 10.8)),1)</f>
        <v>3</v>
      </c>
      <c r="AA35" s="1">
        <f>CEILING(Elf!$B3 / IF(Elf!$D3 &lt; 10.8, $AB$5, $AB$5 / (Elf!$D3 / 10.8)),1)</f>
        <v>3</v>
      </c>
      <c r="AB35" s="1">
        <f>CEILING(Beastgirl!$B3 / IF(Beastgirl!$D3&lt; 10.8, $AB$5, $AB$5 / (Beastgirl!$D3 / 10.8)),1)</f>
        <v>4</v>
      </c>
      <c r="AC35" s="1">
        <f>CEILING(Warrior!$B3 / IF(Warrior!$D3&lt; 10.8, $AB$5, $AB$5 / (Warrior!$D3 / 10.8)),1)</f>
        <v>4</v>
      </c>
      <c r="AD35" s="4"/>
      <c r="AE35" s="4"/>
      <c r="AF35" s="4"/>
      <c r="AG35" s="4"/>
    </row>
    <row r="36" spans="1:33" s="1" customFormat="1" x14ac:dyDescent="0.3">
      <c r="C36" s="1">
        <v>2</v>
      </c>
      <c r="D36" s="1">
        <f>CEILING(Demon!$B4/ IF(Demon!$D4&lt; 10.8, $F$5, $F$5 / (Demon!$D4 / 10.8)),1)</f>
        <v>8</v>
      </c>
      <c r="E36" s="1">
        <f>CEILING(Elf!$B4 / IF(Elf!$D4 &lt; 10.8, $F$5,$F$5 / (Elf!$D4 / 10.8)),1)</f>
        <v>6</v>
      </c>
      <c r="F36" s="1">
        <f>CEILING(Beastgirl!$B4 / IF(Beastgirl!$D4&lt; 10.8, $F$5, $F$5 / (Beastgirl!$D4 / 10.8)),1)</f>
        <v>12</v>
      </c>
      <c r="G36" s="1">
        <f>CEILING(Warrior!$B4 / IF(Warrior!$D4&lt; 10.8, $F$5, $F$5 / (Warrior!$D4 / 10.8)),1)</f>
        <v>9</v>
      </c>
      <c r="I36" s="4"/>
      <c r="J36" s="4"/>
      <c r="K36" s="4"/>
      <c r="L36" s="4"/>
      <c r="M36" s="4"/>
      <c r="N36" s="1">
        <v>2</v>
      </c>
      <c r="O36" s="1">
        <f>CEILING(Demon!$B4 / IF(Demon!$D4&lt; 10.8, $Q$5, $Q$5 / (Demon!$D4/ 10.8)),1)</f>
        <v>5</v>
      </c>
      <c r="P36" s="1">
        <f>CEILING(Elf!$B4/ IF(Elf!$D4 &lt; 10.8, $Q$5, $Q$5 / (Elf!$D4 / 10.8)),1)</f>
        <v>4</v>
      </c>
      <c r="Q36" s="1">
        <f>CEILING(Beastgirl!$B4 / IF(Beastgirl!$D4&lt; 10.8, $Q$5, $Q$5 / (Beastgirl!$D4 / 10.8)),1)</f>
        <v>8</v>
      </c>
      <c r="R36" s="1">
        <f>CEILING(Warrior!$B4/ IF(Warrior!$D4&lt; 10.8, $Q$5, $Q$5 / (Warrior!$D4 / 10.8)),1)</f>
        <v>6</v>
      </c>
      <c r="S36" s="4"/>
      <c r="T36" s="4"/>
      <c r="U36" s="4"/>
      <c r="W36" s="4"/>
      <c r="X36" s="4"/>
      <c r="Y36" s="1">
        <v>2</v>
      </c>
      <c r="Z36" s="1">
        <f>CEILING(Demon!$B4 / IF(Demon!$D4&lt; 10.8, $AB$5, $AB$5 / (Demon!$D4 / 10.8)),1)</f>
        <v>4</v>
      </c>
      <c r="AA36" s="1">
        <f>CEILING(Elf!$B4 / IF(Elf!$D4 &lt; 10.8, $AB$5, $AB$5 / (Elf!$D4 / 10.8)),1)</f>
        <v>3</v>
      </c>
      <c r="AB36" s="1">
        <f>CEILING(Beastgirl!$B4 / IF(Beastgirl!$D4&lt; 10.8, $AB$5, $AB$5 / (Beastgirl!$D4 / 10.8)),1)</f>
        <v>6</v>
      </c>
      <c r="AC36" s="1">
        <f>CEILING(Warrior!$B4 / IF(Warrior!$D4&lt; 10.8, $AB$5, $AB$5 / (Warrior!$D4 / 10.8)),1)</f>
        <v>5</v>
      </c>
      <c r="AD36" s="4"/>
      <c r="AE36" s="4"/>
      <c r="AF36" s="4"/>
      <c r="AG36" s="4"/>
    </row>
    <row r="37" spans="1:33" s="1" customFormat="1" x14ac:dyDescent="0.3">
      <c r="C37" s="1">
        <v>3</v>
      </c>
      <c r="D37" s="1">
        <f>CEILING(Demon!$B5/ IF(Demon!$D5&lt; 10.8, $F$5, $F$5 / (Demon!$D5 / 10.8)),1)</f>
        <v>9</v>
      </c>
      <c r="E37" s="1">
        <f>CEILING(Elf!$B5 / IF(Elf!$D5 &lt; 10.8, $F$5,$F$5 / (Elf!$D5 / 10.8)),1)</f>
        <v>7</v>
      </c>
      <c r="F37" s="1">
        <f>CEILING(Beastgirl!$B5 / IF(Beastgirl!$D5&lt; 10.8, $F$5, $F$5 / (Beastgirl!$D5 / 10.8)),1)</f>
        <v>15</v>
      </c>
      <c r="G37" s="1">
        <f>CEILING(Warrior!$B5 / IF(Warrior!$D5&lt; 10.8, $F$5, $F$5 / (Warrior!$D5 / 10.8)),1)</f>
        <v>10</v>
      </c>
      <c r="I37" s="4"/>
      <c r="J37" s="4"/>
      <c r="K37" s="4"/>
      <c r="L37" s="4"/>
      <c r="M37" s="4"/>
      <c r="N37" s="1">
        <v>3</v>
      </c>
      <c r="O37" s="1">
        <f>CEILING(Demon!$B5 / IF(Demon!$D5&lt; 10.8, $Q$5, $Q$5 / (Demon!$D5/ 10.8)),1)</f>
        <v>6</v>
      </c>
      <c r="P37" s="1">
        <f>CEILING(Elf!$B5/ IF(Elf!$D5 &lt; 10.8, $Q$5, $Q$5 / (Elf!$D5 / 10.8)),1)</f>
        <v>5</v>
      </c>
      <c r="Q37" s="1">
        <f>CEILING(Beastgirl!$B5 / IF(Beastgirl!$D5&lt; 10.8, $Q$5, $Q$5 / (Beastgirl!$D5 / 10.8)),1)</f>
        <v>10</v>
      </c>
      <c r="R37" s="1">
        <f>CEILING(Warrior!$B5/ IF(Warrior!$D5&lt; 10.8, $Q$5, $Q$5 / (Warrior!$D5 / 10.8)),1)</f>
        <v>7</v>
      </c>
      <c r="S37" s="4"/>
      <c r="T37" s="4"/>
      <c r="U37" s="4"/>
      <c r="W37" s="4"/>
      <c r="X37" s="4"/>
      <c r="Y37" s="1">
        <v>3</v>
      </c>
      <c r="Z37" s="1">
        <f>CEILING(Demon!$B5 / IF(Demon!$D5&lt; 10.8, $AB$5, $AB$5 / (Demon!$D5 / 10.8)),1)</f>
        <v>5</v>
      </c>
      <c r="AA37" s="1">
        <f>CEILING(Elf!$B5 / IF(Elf!$D5 &lt; 10.8, $AB$5, $AB$5 / (Elf!$D5 / 10.8)),1)</f>
        <v>4</v>
      </c>
      <c r="AB37" s="1">
        <f>CEILING(Beastgirl!$B5 / IF(Beastgirl!$D5&lt; 10.8, $AB$5, $AB$5 / (Beastgirl!$D5 / 10.8)),1)</f>
        <v>8</v>
      </c>
      <c r="AC37" s="1">
        <f>CEILING(Warrior!$B5 / IF(Warrior!$D5&lt; 10.8, $AB$5, $AB$5 / (Warrior!$D5 / 10.8)),1)</f>
        <v>5</v>
      </c>
      <c r="AD37" s="4"/>
      <c r="AE37" s="4"/>
      <c r="AF37" s="4"/>
      <c r="AG37" s="4"/>
    </row>
    <row r="38" spans="1:33" s="1" customFormat="1" x14ac:dyDescent="0.3">
      <c r="C38" s="1">
        <v>4</v>
      </c>
      <c r="D38" s="1">
        <f>CEILING(Demon!$B6/ IF(Demon!$D6&lt; 10.8, $F$5, $F$5 / (Demon!$D6 / 10.8)),1)</f>
        <v>10</v>
      </c>
      <c r="E38" s="1">
        <f>CEILING(Elf!$B6 / IF(Elf!$D6 &lt; 10.8, $F$5,$F$5 / (Elf!$D6 / 10.8)),1)</f>
        <v>9</v>
      </c>
      <c r="F38" s="1">
        <f>CEILING(Beastgirl!$B6 / IF(Beastgirl!$D6&lt; 10.8, $F$5, $F$5 / (Beastgirl!$D6 / 10.8)),1)</f>
        <v>20</v>
      </c>
      <c r="G38" s="1">
        <f>CEILING(Warrior!$B6 / IF(Warrior!$D6&lt; 10.8, $F$5, $F$5 / (Warrior!$D6 / 10.8)),1)</f>
        <v>13</v>
      </c>
      <c r="I38" s="4"/>
      <c r="J38" s="4"/>
      <c r="K38" s="4"/>
      <c r="L38" s="4"/>
      <c r="M38" s="4"/>
      <c r="N38" s="1">
        <v>4</v>
      </c>
      <c r="O38" s="1">
        <f>CEILING(Demon!$B6 / IF(Demon!$D6&lt; 10.8, $Q$5, $Q$5 / (Demon!$D6/ 10.8)),1)</f>
        <v>7</v>
      </c>
      <c r="P38" s="1">
        <f>CEILING(Elf!$B6/ IF(Elf!$D6 &lt; 10.8, $Q$5, $Q$5 / (Elf!$D6 / 10.8)),1)</f>
        <v>6</v>
      </c>
      <c r="Q38" s="1">
        <f>CEILING(Beastgirl!$B6 / IF(Beastgirl!$D6&lt; 10.8, $Q$5, $Q$5 / (Beastgirl!$D6 / 10.8)),1)</f>
        <v>13</v>
      </c>
      <c r="R38" s="1">
        <f>CEILING(Warrior!$B6/ IF(Warrior!$D6&lt; 10.8, $Q$5, $Q$5 / (Warrior!$D6 / 10.8)),1)</f>
        <v>9</v>
      </c>
      <c r="S38" s="4"/>
      <c r="T38" s="4"/>
      <c r="U38" s="4"/>
      <c r="W38" s="4"/>
      <c r="X38" s="4"/>
      <c r="Y38" s="1">
        <v>4</v>
      </c>
      <c r="Z38" s="1">
        <f>CEILING(Demon!$B6 / IF(Demon!$D6&lt; 10.8, $AB$5, $AB$5 / (Demon!$D6 / 10.8)),1)</f>
        <v>5</v>
      </c>
      <c r="AA38" s="1">
        <f>CEILING(Elf!$B6 / IF(Elf!$D6 &lt; 10.8, $AB$5, $AB$5 / (Elf!$D6 / 10.8)),1)</f>
        <v>5</v>
      </c>
      <c r="AB38" s="1">
        <f>CEILING(Beastgirl!$B6 / IF(Beastgirl!$D6&lt; 10.8, $AB$5, $AB$5 / (Beastgirl!$D6 / 10.8)),1)</f>
        <v>10</v>
      </c>
      <c r="AC38" s="1">
        <f>CEILING(Warrior!$B6 / IF(Warrior!$D6&lt; 10.8, $AB$5, $AB$5 / (Warrior!$D6 / 10.8)),1)</f>
        <v>7</v>
      </c>
      <c r="AD38" s="4"/>
      <c r="AE38" s="4"/>
      <c r="AF38" s="4"/>
      <c r="AG38" s="4"/>
    </row>
    <row r="39" spans="1:33" s="1" customFormat="1" x14ac:dyDescent="0.3">
      <c r="C39" s="1">
        <v>5</v>
      </c>
      <c r="D39" s="1">
        <f>CEILING(Demon!$B7/ IF(Demon!$D7&lt; 10.8, $F$5, $F$5 / (Demon!$D7 / 10.8)),1)</f>
        <v>19</v>
      </c>
      <c r="E39" s="1">
        <f>CEILING(Elf!$B7 / IF(Elf!$D7 &lt; 10.8, $F$5,$F$5 / (Elf!$D7 / 10.8)),1)</f>
        <v>18</v>
      </c>
      <c r="F39" s="1">
        <f>CEILING(Beastgirl!$B7 / IF(Beastgirl!$D7&lt; 10.8, $F$5, $F$5 / (Beastgirl!$D7 / 10.8)),1)</f>
        <v>39</v>
      </c>
      <c r="G39" s="1">
        <f>CEILING(Warrior!$B7 / IF(Warrior!$D7&lt; 10.8, $F$5, $F$5 / (Warrior!$D7 / 10.8)),1)</f>
        <v>26</v>
      </c>
      <c r="I39" s="4"/>
      <c r="J39" s="4"/>
      <c r="K39" s="4"/>
      <c r="L39" s="4"/>
      <c r="M39" s="4"/>
      <c r="N39" s="1">
        <v>5</v>
      </c>
      <c r="O39" s="1">
        <f>CEILING(Demon!$B7 / IF(Demon!$D7&lt; 10.8, $Q$5, $Q$5 / (Demon!$D7/ 10.8)),1)</f>
        <v>13</v>
      </c>
      <c r="P39" s="1">
        <f>CEILING(Elf!$B7/ IF(Elf!$D7 &lt; 10.8, $Q$5, $Q$5 / (Elf!$D7 / 10.8)),1)</f>
        <v>12</v>
      </c>
      <c r="Q39" s="1">
        <f>CEILING(Beastgirl!$B7 / IF(Beastgirl!$D7&lt; 10.8, $Q$5, $Q$5 / (Beastgirl!$D7 / 10.8)),1)</f>
        <v>26</v>
      </c>
      <c r="R39" s="1">
        <f>CEILING(Warrior!$B7/ IF(Warrior!$D7&lt; 10.8, $Q$5, $Q$5 / (Warrior!$D7 / 10.8)),1)</f>
        <v>17</v>
      </c>
      <c r="S39" s="4"/>
      <c r="T39" s="4"/>
      <c r="U39" s="4"/>
      <c r="W39" s="4"/>
      <c r="X39" s="4"/>
      <c r="Y39" s="1">
        <v>5</v>
      </c>
      <c r="Z39" s="1">
        <f>CEILING(Demon!$B7 / IF(Demon!$D7&lt; 10.8, $AB$5, $AB$5 / (Demon!$D7 / 10.8)),1)</f>
        <v>10</v>
      </c>
      <c r="AA39" s="1">
        <f>CEILING(Elf!$B7 / IF(Elf!$D7 &lt; 10.8, $AB$5, $AB$5 / (Elf!$D7 / 10.8)),1)</f>
        <v>9</v>
      </c>
      <c r="AB39" s="1">
        <f>CEILING(Beastgirl!$B7 / IF(Beastgirl!$D7&lt; 10.8, $AB$5, $AB$5 / (Beastgirl!$D7 / 10.8)),1)</f>
        <v>20</v>
      </c>
      <c r="AC39" s="1">
        <f>CEILING(Warrior!$B7 / IF(Warrior!$D7&lt; 10.8, $AB$5, $AB$5 / (Warrior!$D7 / 10.8)),1)</f>
        <v>13</v>
      </c>
      <c r="AD39" s="4"/>
      <c r="AE39" s="4"/>
      <c r="AF39" s="4"/>
      <c r="AG39" s="4"/>
    </row>
    <row r="40" spans="1:33" s="1" customFormat="1" x14ac:dyDescent="0.3">
      <c r="C40" s="1">
        <v>6</v>
      </c>
      <c r="D40" s="1">
        <f>CEILING(Demon!$B8/ IF(Demon!$D8&lt; 10.8, $F$5, $F$5 / (Demon!$D8 / 10.8)),1)</f>
        <v>23</v>
      </c>
      <c r="E40" s="1">
        <f>CEILING(Elf!$B8 / IF(Elf!$D8 &lt; 10.8, $F$5,$F$5 / (Elf!$D8 / 10.8)),1)</f>
        <v>22</v>
      </c>
      <c r="F40" s="1">
        <f>CEILING(Beastgirl!$B8 / IF(Beastgirl!$D8&lt; 10.8, $F$5, $F$5 / (Beastgirl!$D8 / 10.8)),1)</f>
        <v>46</v>
      </c>
      <c r="G40" s="1">
        <f>CEILING(Warrior!$B8 / IF(Warrior!$D8&lt; 10.8, $F$5, $F$5 / (Warrior!$D8 / 10.8)),1)</f>
        <v>31</v>
      </c>
      <c r="I40" s="4"/>
      <c r="J40" s="4"/>
      <c r="K40" s="4"/>
      <c r="L40" s="4"/>
      <c r="M40" s="4"/>
      <c r="N40" s="1">
        <v>6</v>
      </c>
      <c r="O40" s="1">
        <f>CEILING(Demon!$B8 / IF(Demon!$D8&lt; 10.8, $Q$5, $Q$5 / (Demon!$D8/ 10.8)),1)</f>
        <v>15</v>
      </c>
      <c r="P40" s="1">
        <f>CEILING(Elf!$B8/ IF(Elf!$D8 &lt; 10.8, $Q$5, $Q$5 / (Elf!$D8 / 10.8)),1)</f>
        <v>15</v>
      </c>
      <c r="Q40" s="1">
        <f>CEILING(Beastgirl!$B8 / IF(Beastgirl!$D8&lt; 10.8, $Q$5, $Q$5 / (Beastgirl!$D8 / 10.8)),1)</f>
        <v>31</v>
      </c>
      <c r="R40" s="1">
        <f>CEILING(Warrior!$B8/ IF(Warrior!$D8&lt; 10.8, $Q$5, $Q$5 / (Warrior!$D8 / 10.8)),1)</f>
        <v>21</v>
      </c>
      <c r="S40" s="4"/>
      <c r="T40" s="4"/>
      <c r="U40" s="4"/>
      <c r="W40" s="4"/>
      <c r="X40" s="4"/>
      <c r="Y40" s="1">
        <v>6</v>
      </c>
      <c r="Z40" s="1">
        <f>CEILING(Demon!$B8 / IF(Demon!$D8&lt; 10.8, $AB$5, $AB$5 / (Demon!$D8 / 10.8)),1)</f>
        <v>12</v>
      </c>
      <c r="AA40" s="1">
        <f>CEILING(Elf!$B8 / IF(Elf!$D8 &lt; 10.8, $AB$5, $AB$5 / (Elf!$D8 / 10.8)),1)</f>
        <v>11</v>
      </c>
      <c r="AB40" s="1">
        <f>CEILING(Beastgirl!$B8 / IF(Beastgirl!$D8&lt; 10.8, $AB$5, $AB$5 / (Beastgirl!$D8 / 10.8)),1)</f>
        <v>23</v>
      </c>
      <c r="AC40" s="1">
        <f>CEILING(Warrior!$B8 / IF(Warrior!$D8&lt; 10.8, $AB$5, $AB$5 / (Warrior!$D8 / 10.8)),1)</f>
        <v>16</v>
      </c>
      <c r="AD40" s="4"/>
      <c r="AE40" s="4"/>
      <c r="AF40" s="4"/>
      <c r="AG40" s="4"/>
    </row>
    <row r="41" spans="1:33" s="1" customFormat="1" x14ac:dyDescent="0.3">
      <c r="C41" s="1">
        <v>7</v>
      </c>
      <c r="D41" s="1">
        <f>CEILING(Demon!$B9/ IF(Demon!$D9&lt; 10.8, $F$5, $F$5 / (Demon!$D9 / 10.8)),1)</f>
        <v>27</v>
      </c>
      <c r="E41" s="1">
        <f>CEILING(Elf!$B9 / IF(Elf!$D9 &lt; 10.8, $F$5,$F$5 / (Elf!$D9 / 10.8)),1)</f>
        <v>26</v>
      </c>
      <c r="F41" s="1">
        <f>CEILING(Beastgirl!$B9 / IF(Beastgirl!$D9&lt; 10.8, $F$5, $F$5 / (Beastgirl!$D9 / 10.8)),1)</f>
        <v>54</v>
      </c>
      <c r="G41" s="1">
        <f>CEILING(Warrior!$B9 / IF(Warrior!$D9&lt; 10.8, $F$5, $F$5 / (Warrior!$D9 / 10.8)),1)</f>
        <v>36</v>
      </c>
      <c r="I41" s="4"/>
      <c r="J41" s="4"/>
      <c r="K41" s="4"/>
      <c r="L41" s="4"/>
      <c r="M41" s="4"/>
      <c r="N41" s="1">
        <v>7</v>
      </c>
      <c r="O41" s="1">
        <f>CEILING(Demon!$B9 / IF(Demon!$D9&lt; 10.8, $Q$5, $Q$5 / (Demon!$D9/ 10.8)),1)</f>
        <v>18</v>
      </c>
      <c r="P41" s="1">
        <f>CEILING(Elf!$B9/ IF(Elf!$D9 &lt; 10.8, $Q$5, $Q$5 / (Elf!$D9 / 10.8)),1)</f>
        <v>18</v>
      </c>
      <c r="Q41" s="1">
        <f>CEILING(Beastgirl!$B9 / IF(Beastgirl!$D9&lt; 10.8, $Q$5, $Q$5 / (Beastgirl!$D9 / 10.8)),1)</f>
        <v>36</v>
      </c>
      <c r="R41" s="1">
        <f>CEILING(Warrior!$B9/ IF(Warrior!$D9&lt; 10.8, $Q$5, $Q$5 / (Warrior!$D9 / 10.8)),1)</f>
        <v>24</v>
      </c>
      <c r="S41" s="4"/>
      <c r="T41" s="4"/>
      <c r="U41" s="4"/>
      <c r="W41" s="4"/>
      <c r="X41" s="4"/>
      <c r="Y41" s="1">
        <v>7</v>
      </c>
      <c r="Z41" s="1">
        <f>CEILING(Demon!$B9 / IF(Demon!$D9&lt; 10.8, $AB$5, $AB$5 / (Demon!$D9 / 10.8)),1)</f>
        <v>14</v>
      </c>
      <c r="AA41" s="1">
        <f>CEILING(Elf!$B9 / IF(Elf!$D9 &lt; 10.8, $AB$5, $AB$5 / (Elf!$D9 / 10.8)),1)</f>
        <v>13</v>
      </c>
      <c r="AB41" s="1">
        <f>CEILING(Beastgirl!$B9 / IF(Beastgirl!$D9&lt; 10.8, $AB$5, $AB$5 / (Beastgirl!$D9 / 10.8)),1)</f>
        <v>27</v>
      </c>
      <c r="AC41" s="1">
        <f>CEILING(Warrior!$B9 / IF(Warrior!$D9&lt; 10.8, $AB$5, $AB$5 / (Warrior!$D9 / 10.8)),1)</f>
        <v>18</v>
      </c>
      <c r="AD41" s="4"/>
      <c r="AE41" s="4"/>
      <c r="AF41" s="4"/>
      <c r="AG41" s="4"/>
    </row>
    <row r="42" spans="1:33" s="1" customFormat="1" x14ac:dyDescent="0.3">
      <c r="C42" s="1">
        <v>8</v>
      </c>
      <c r="D42" s="1">
        <f>CEILING(Demon!$B10/ IF(Demon!$D10&lt; 10.8, $F$5, $F$5 / (Demon!$D10 / 10.8)),1)</f>
        <v>31</v>
      </c>
      <c r="E42" s="1">
        <f>CEILING(Elf!$B10 / IF(Elf!$D10 &lt; 10.8, $F$5,$F$5 / (Elf!$D10 / 10.8)),1)</f>
        <v>31</v>
      </c>
      <c r="F42" s="1">
        <f>CEILING(Beastgirl!$B10 / IF(Beastgirl!$D10&lt; 10.8, $F$5, $F$5 / (Beastgirl!$D10 / 10.8)),1)</f>
        <v>63</v>
      </c>
      <c r="G42" s="1">
        <f>CEILING(Warrior!$B10 / IF(Warrior!$D10&lt; 10.8, $F$5, $F$5 / (Warrior!$D10 / 10.8)),1)</f>
        <v>42</v>
      </c>
      <c r="I42" s="4"/>
      <c r="J42" s="4"/>
      <c r="K42" s="4"/>
      <c r="L42" s="4"/>
      <c r="M42" s="4"/>
      <c r="N42" s="1">
        <v>8</v>
      </c>
      <c r="O42" s="1">
        <f>CEILING(Demon!$B10 / IF(Demon!$D10&lt; 10.8, $Q$5, $Q$5 / (Demon!$D10/ 10.8)),1)</f>
        <v>21</v>
      </c>
      <c r="P42" s="1">
        <f>CEILING(Elf!$B10/ IF(Elf!$D10 &lt; 10.8, $Q$5, $Q$5 / (Elf!$D10 / 10.8)),1)</f>
        <v>21</v>
      </c>
      <c r="Q42" s="1">
        <f>CEILING(Beastgirl!$B10 / IF(Beastgirl!$D10&lt; 10.8, $Q$5, $Q$5 / (Beastgirl!$D10 / 10.8)),1)</f>
        <v>42</v>
      </c>
      <c r="R42" s="1">
        <f>CEILING(Warrior!$B10/ IF(Warrior!$D10&lt; 10.8, $Q$5, $Q$5 / (Warrior!$D10 / 10.8)),1)</f>
        <v>28</v>
      </c>
      <c r="S42" s="4"/>
      <c r="T42" s="4"/>
      <c r="U42" s="4"/>
      <c r="W42" s="4"/>
      <c r="X42" s="4"/>
      <c r="Y42" s="1">
        <v>8</v>
      </c>
      <c r="Z42" s="1">
        <f>CEILING(Demon!$B10 / IF(Demon!$D10&lt; 10.8, $AB$5, $AB$5 / (Demon!$D10 / 10.8)),1)</f>
        <v>16</v>
      </c>
      <c r="AA42" s="1">
        <f>CEILING(Elf!$B10 / IF(Elf!$D10 &lt; 10.8, $AB$5, $AB$5 / (Elf!$D10 / 10.8)),1)</f>
        <v>16</v>
      </c>
      <c r="AB42" s="1">
        <f>CEILING(Beastgirl!$B10 / IF(Beastgirl!$D10&lt; 10.8, $AB$5, $AB$5 / (Beastgirl!$D10 / 10.8)),1)</f>
        <v>32</v>
      </c>
      <c r="AC42" s="1">
        <f>CEILING(Warrior!$B10 / IF(Warrior!$D10&lt; 10.8, $AB$5, $AB$5 / (Warrior!$D10 / 10.8)),1)</f>
        <v>21</v>
      </c>
      <c r="AD42" s="4"/>
      <c r="AE42" s="4"/>
      <c r="AF42" s="4"/>
      <c r="AG42" s="4"/>
    </row>
    <row r="43" spans="1:33" s="1" customFormat="1" x14ac:dyDescent="0.3">
      <c r="C43" s="1">
        <v>9</v>
      </c>
      <c r="D43" s="1">
        <f>CEILING(Demon!$B11/ IF(Demon!$D11&lt; 10.8, $F$5, $F$5 / (Demon!$D11 / 10.8)),1)</f>
        <v>37</v>
      </c>
      <c r="E43" s="1">
        <f>CEILING(Elf!$B11 / IF(Elf!$D11 &lt; 10.8, $F$5,$F$5 / (Elf!$D11 / 10.8)),1)</f>
        <v>36</v>
      </c>
      <c r="F43" s="1">
        <f>CEILING(Beastgirl!$B11 / IF(Beastgirl!$D11&lt; 10.8, $F$5, $F$5 / (Beastgirl!$D11 / 10.8)),1)</f>
        <v>73</v>
      </c>
      <c r="G43" s="1">
        <f>CEILING(Warrior!$B11 / IF(Warrior!$D11&lt; 10.8, $F$5, $F$5 / (Warrior!$D11 / 10.8)),1)</f>
        <v>49</v>
      </c>
      <c r="I43" s="4"/>
      <c r="J43" s="4"/>
      <c r="K43" s="4"/>
      <c r="L43" s="4"/>
      <c r="M43" s="4"/>
      <c r="N43" s="1">
        <v>9</v>
      </c>
      <c r="O43" s="1">
        <f>CEILING(Demon!$B11 / IF(Demon!$D11&lt; 10.8, $Q$5, $Q$5 / (Demon!$D11/ 10.8)),1)</f>
        <v>25</v>
      </c>
      <c r="P43" s="1">
        <f>CEILING(Elf!$B11/ IF(Elf!$D11 &lt; 10.8, $Q$5, $Q$5 / (Elf!$D11 / 10.8)),1)</f>
        <v>24</v>
      </c>
      <c r="Q43" s="1">
        <f>CEILING(Beastgirl!$B11 / IF(Beastgirl!$D11&lt; 10.8, $Q$5, $Q$5 / (Beastgirl!$D11 / 10.8)),1)</f>
        <v>49</v>
      </c>
      <c r="R43" s="1">
        <f>CEILING(Warrior!$B11/ IF(Warrior!$D11&lt; 10.8, $Q$5, $Q$5 / (Warrior!$D11 / 10.8)),1)</f>
        <v>33</v>
      </c>
      <c r="S43" s="4"/>
      <c r="T43" s="4"/>
      <c r="U43" s="4"/>
      <c r="W43" s="4"/>
      <c r="X43" s="4"/>
      <c r="Y43" s="1">
        <v>9</v>
      </c>
      <c r="Z43" s="1">
        <f>CEILING(Demon!$B11 / IF(Demon!$D11&lt; 10.8, $AB$5, $AB$5 / (Demon!$D11 / 10.8)),1)</f>
        <v>19</v>
      </c>
      <c r="AA43" s="1">
        <f>CEILING(Elf!$B11 / IF(Elf!$D11 &lt; 10.8, $AB$5, $AB$5 / (Elf!$D11 / 10.8)),1)</f>
        <v>18</v>
      </c>
      <c r="AB43" s="1">
        <f>CEILING(Beastgirl!$B11 / IF(Beastgirl!$D11&lt; 10.8, $AB$5, $AB$5 / (Beastgirl!$D11 / 10.8)),1)</f>
        <v>37</v>
      </c>
      <c r="AC43" s="1">
        <f>CEILING(Warrior!$B11 / IF(Warrior!$D11&lt; 10.8, $AB$5, $AB$5 / (Warrior!$D11 / 10.8)),1)</f>
        <v>25</v>
      </c>
      <c r="AD43" s="4"/>
      <c r="AE43" s="4"/>
      <c r="AF43" s="4"/>
      <c r="AG43" s="4"/>
    </row>
    <row r="44" spans="1:33" s="1" customFormat="1" x14ac:dyDescent="0.3">
      <c r="C44" s="1">
        <v>10</v>
      </c>
      <c r="D44" s="1">
        <f>CEILING(Demon!$B12/ IF(Demon!$D12&lt; 10.8, $F$5, $F$5 / (Demon!$D12 / 10.8)),1)</f>
        <v>42</v>
      </c>
      <c r="E44" s="1">
        <f>CEILING(Elf!$B12 / IF(Elf!$D12 &lt; 10.8, $F$5,$F$5 / (Elf!$D12 / 10.8)),1)</f>
        <v>42</v>
      </c>
      <c r="F44" s="1">
        <f>CEILING(Beastgirl!$B12 / IF(Beastgirl!$D12&lt; 10.8, $F$5, $F$5 / (Beastgirl!$D12 / 10.8)),1)</f>
        <v>84</v>
      </c>
      <c r="G44" s="1">
        <f>CEILING(Warrior!$B12 / IF(Warrior!$D12&lt; 10.8, $F$5, $F$5 / (Warrior!$D12 / 10.8)),1)</f>
        <v>56</v>
      </c>
      <c r="I44" s="4"/>
      <c r="J44" s="4"/>
      <c r="K44" s="4"/>
      <c r="L44" s="4"/>
      <c r="M44" s="4"/>
      <c r="N44" s="1">
        <v>10</v>
      </c>
      <c r="O44" s="1">
        <f>CEILING(Demon!$B12 / IF(Demon!$D12&lt; 10.8, $Q$5, $Q$5 / (Demon!$D12/ 10.8)),1)</f>
        <v>28</v>
      </c>
      <c r="P44" s="1">
        <f>CEILING(Elf!$B12/ IF(Elf!$D12 &lt; 10.8, $Q$5, $Q$5 / (Elf!$D12 / 10.8)),1)</f>
        <v>28</v>
      </c>
      <c r="Q44" s="1">
        <f>CEILING(Beastgirl!$B12 / IF(Beastgirl!$D12&lt; 10.8, $Q$5, $Q$5 / (Beastgirl!$D12 / 10.8)),1)</f>
        <v>56</v>
      </c>
      <c r="R44" s="1">
        <f>CEILING(Warrior!$B12/ IF(Warrior!$D12&lt; 10.8, $Q$5, $Q$5 / (Warrior!$D12 / 10.8)),1)</f>
        <v>38</v>
      </c>
      <c r="S44" s="4"/>
      <c r="T44" s="4"/>
      <c r="U44" s="4"/>
      <c r="W44" s="4"/>
      <c r="X44" s="4"/>
      <c r="Y44" s="1">
        <v>10</v>
      </c>
      <c r="Z44" s="1">
        <f>CEILING(Demon!$B12 / IF(Demon!$D12&lt; 10.8, $AB$5, $AB$5 / (Demon!$D12 / 10.8)),1)</f>
        <v>21</v>
      </c>
      <c r="AA44" s="1">
        <f>CEILING(Elf!$B12 / IF(Elf!$D12 &lt; 10.8, $AB$5, $AB$5 / (Elf!$D12 / 10.8)),1)</f>
        <v>21</v>
      </c>
      <c r="AB44" s="1">
        <f>CEILING(Beastgirl!$B12 / IF(Beastgirl!$D12&lt; 10.8, $AB$5, $AB$5 / (Beastgirl!$D12 / 10.8)),1)</f>
        <v>42</v>
      </c>
      <c r="AC44" s="1">
        <f>CEILING(Warrior!$B12 / IF(Warrior!$D12&lt; 10.8, $AB$5, $AB$5 / (Warrior!$D12 / 10.8)),1)</f>
        <v>28</v>
      </c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AA58" s="4"/>
      <c r="AB58" s="4"/>
      <c r="AC58" s="4"/>
      <c r="AD58" s="4"/>
      <c r="AE58" s="4"/>
    </row>
    <row r="63" spans="1:31" ht="21" customHeight="1" x14ac:dyDescent="0.3"/>
  </sheetData>
  <mergeCells count="12">
    <mergeCell ref="W1:AF1"/>
    <mergeCell ref="Y20:AC20"/>
    <mergeCell ref="N7:R7"/>
    <mergeCell ref="Y33:AC33"/>
    <mergeCell ref="C7:G7"/>
    <mergeCell ref="Y7:AC7"/>
    <mergeCell ref="C20:G20"/>
    <mergeCell ref="C33:G33"/>
    <mergeCell ref="A1:K1"/>
    <mergeCell ref="L1:V1"/>
    <mergeCell ref="N20:R20"/>
    <mergeCell ref="N33:R33"/>
  </mergeCell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1292-7821-4AE0-BE36-16344D91787A}">
  <dimension ref="A1:AG6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8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16</v>
      </c>
      <c r="C3" s="1"/>
      <c r="D3" s="1">
        <v>4</v>
      </c>
      <c r="E3" s="1">
        <v>4</v>
      </c>
      <c r="F3" s="1">
        <v>1</v>
      </c>
      <c r="G3" s="1">
        <v>2</v>
      </c>
      <c r="H3" s="1">
        <v>2</v>
      </c>
      <c r="I3" s="1">
        <v>3</v>
      </c>
      <c r="J3" s="1">
        <v>5</v>
      </c>
      <c r="K3" s="1"/>
      <c r="L3" s="4">
        <v>1</v>
      </c>
      <c r="M3" s="1">
        <f>Table584[[#This Row],[HP]] * 1.5</f>
        <v>24</v>
      </c>
      <c r="N3" s="1"/>
      <c r="O3" s="1">
        <f>Table584[[#This Row],[DEF]] * 1.5</f>
        <v>6</v>
      </c>
      <c r="P3" s="1">
        <f>Table584[[#This Row],[AGI]] * 1.5</f>
        <v>6</v>
      </c>
      <c r="Q3" s="1">
        <f>Table584[[#This Row],[STR]] * 1.5</f>
        <v>1.5</v>
      </c>
      <c r="R3" s="1">
        <f>Table584[[#This Row],[INT]] * 1.5</f>
        <v>3</v>
      </c>
      <c r="S3" s="1">
        <f xml:space="preserve"> Table584[[#This Row],[DEX]] * 1.5</f>
        <v>3</v>
      </c>
      <c r="T3" s="1">
        <f>Table584[[#This Row],[XP Given]] * 1.25</f>
        <v>3.75</v>
      </c>
      <c r="U3" s="1"/>
      <c r="V3" s="1"/>
      <c r="W3" s="4">
        <v>1</v>
      </c>
      <c r="X3" s="1">
        <f>Table584[[#This Row],[HP]] * 2</f>
        <v>32</v>
      </c>
      <c r="Y3" s="1"/>
      <c r="Z3" s="1">
        <f>Table584[[#This Row],[DEF]] * 2</f>
        <v>8</v>
      </c>
      <c r="AA3" s="1">
        <f>Table584[[#This Row],[AGI]] * 2</f>
        <v>8</v>
      </c>
      <c r="AB3" s="1">
        <f>Table584[[#This Row],[STR]] * 2</f>
        <v>2</v>
      </c>
      <c r="AC3" s="1">
        <f>Table584[[#This Row],[INT]] * 2</f>
        <v>4</v>
      </c>
      <c r="AD3" s="1">
        <f xml:space="preserve"> Table584[[#This Row],[DEX]] * 2</f>
        <v>4</v>
      </c>
      <c r="AE3" s="1">
        <f>Table584[[#This Row],[XP Given]] * 1.5</f>
        <v>4.5</v>
      </c>
      <c r="AF3" s="1"/>
    </row>
    <row r="4" spans="1:32" x14ac:dyDescent="0.3">
      <c r="A4" s="4">
        <v>4</v>
      </c>
      <c r="B4" s="1">
        <f>$B$3 + ((Table584[[#This Row],[LV]] / 10) + $B$3 / 8) * Table584[[#This Row],[LV]]</f>
        <v>25.6</v>
      </c>
      <c r="C4" s="1"/>
      <c r="D4" s="1">
        <f>$D$3 + ($D$3 / 4) * Table584[[#This Row],[LV]]</f>
        <v>8</v>
      </c>
      <c r="E4" s="1">
        <f>$E$3 + ($E$3 / 4) * Table584[[#This Row],[LV]]</f>
        <v>8</v>
      </c>
      <c r="F4" s="1">
        <f>$F$3 + ($F$3 / 4) * Table584[[#This Row],[LV]]</f>
        <v>2</v>
      </c>
      <c r="G4" s="1">
        <f>$G$3 + ($G$3 / 4) * Table584[[#This Row],[LV]]</f>
        <v>4</v>
      </c>
      <c r="H4" s="1">
        <f>$H$3 + ($H$3 / 4) * Table584[[#This Row],[LV]]</f>
        <v>4</v>
      </c>
      <c r="I4" s="1">
        <f>$I$3 + $I$3 * Table584[[#This Row],[LV]] *25 / 100</f>
        <v>6</v>
      </c>
      <c r="J4" s="1">
        <f>$J$3 + $J$3 * Table584[[#This Row],[LV]] * 25 / 100</f>
        <v>10</v>
      </c>
      <c r="K4" s="1"/>
      <c r="L4" s="4">
        <v>4</v>
      </c>
      <c r="M4" s="1">
        <f>$M$3 + ((Table5985[[#This Row],[LV]] / 10) + $M$3 / 8) * Table5985[[#This Row],[LV]]</f>
        <v>37.6</v>
      </c>
      <c r="N4" s="1"/>
      <c r="O4" s="1">
        <f>$O$3 + ($O$3 / 4) * Table5985[[#This Row],[LV]]</f>
        <v>12</v>
      </c>
      <c r="P4" s="1">
        <f>$P$3 + ($P$3 / 4) * Table5985[[#This Row],[LV]]</f>
        <v>12</v>
      </c>
      <c r="Q4" s="1">
        <f>$Q$3 + ($Q$3 / 4) * Table5985[[#This Row],[LV]]</f>
        <v>3</v>
      </c>
      <c r="R4" s="1">
        <f>$R$3 + ($R$3 / 4) * Table5985[[#This Row],[LV]]</f>
        <v>6</v>
      </c>
      <c r="S4" s="1">
        <f>$S$3 + ($S$3 / 4) * Table5985[[#This Row],[LV]]</f>
        <v>6</v>
      </c>
      <c r="T4" s="1">
        <f>Table584[[#This Row],[XP Given]] * 1.25</f>
        <v>7.5</v>
      </c>
      <c r="U4" s="1">
        <f>Table584[[#This Row],[Gold Given]] * 1.25</f>
        <v>12.5</v>
      </c>
      <c r="V4" s="1"/>
      <c r="W4" s="4">
        <v>4</v>
      </c>
      <c r="X4" s="1">
        <f>$X$3 + ((Table591086[[#This Row],[LV]] / 10) + $X$3 / 8) * Table591086[[#This Row],[LV]]</f>
        <v>49.6</v>
      </c>
      <c r="Y4" s="1"/>
      <c r="Z4" s="1">
        <f>$Z$3 + ($Z$3 / 4) * Table591086[[#This Row],[LV]]</f>
        <v>16</v>
      </c>
      <c r="AA4" s="1">
        <f>$AA$3 + ($AA$3 / 4) * Table591086[[#This Row],[LV]]</f>
        <v>16</v>
      </c>
      <c r="AB4" s="1">
        <f>$AB$3 + ($AB$3 / 4) * Table591086[[#This Row],[LV]]</f>
        <v>4</v>
      </c>
      <c r="AC4" s="1">
        <f>$AC$3 + ($AC$3 / 4) * Table591086[[#This Row],[LV]]</f>
        <v>8</v>
      </c>
      <c r="AD4" s="1">
        <f>$AD$3 + ($AD$3 / 4) * Table591086[[#This Row],[LV]]</f>
        <v>8</v>
      </c>
      <c r="AE4" s="1">
        <f>Table584[[#This Row],[XP Given]] * 1.5</f>
        <v>9</v>
      </c>
      <c r="AF4" s="1">
        <f>Table584[[#This Row],[Gold Given]]*1.5</f>
        <v>15</v>
      </c>
    </row>
    <row r="5" spans="1:32" x14ac:dyDescent="0.3">
      <c r="A5" s="4">
        <v>5</v>
      </c>
      <c r="B5" s="1">
        <f>$B$3 + ((Table584[[#This Row],[LV]] / 10) + $B$3 / 8) * Table584[[#This Row],[LV]]</f>
        <v>28.5</v>
      </c>
      <c r="C5" s="1"/>
      <c r="D5" s="1">
        <f>$D$3 + ($D$3 / 4) * Table584[[#This Row],[LV]]</f>
        <v>9</v>
      </c>
      <c r="E5" s="1">
        <f>$E$3 + ($E$3 / 4) * Table584[[#This Row],[LV]]</f>
        <v>9</v>
      </c>
      <c r="F5" s="1">
        <f>$F$3 + ($F$3 / 4) * Table584[[#This Row],[LV]]</f>
        <v>2.25</v>
      </c>
      <c r="G5" s="1">
        <f>$G$3 + ($G$3 / 4) * Table584[[#This Row],[LV]]</f>
        <v>4.5</v>
      </c>
      <c r="H5" s="1">
        <f>$H$3 + ($H$3 / 4) * Table584[[#This Row],[LV]]</f>
        <v>4.5</v>
      </c>
      <c r="I5" s="1">
        <f>$I$3 + $I$3 * Table584[[#This Row],[LV]] *25 / 100</f>
        <v>6.75</v>
      </c>
      <c r="J5" s="1">
        <f>$J$3 + $J$3 * Table584[[#This Row],[LV]] * 25 / 100</f>
        <v>11.25</v>
      </c>
      <c r="K5" s="1"/>
      <c r="L5" s="4">
        <v>5</v>
      </c>
      <c r="M5" s="1">
        <f>$M$3 + ((Table5985[[#This Row],[LV]] / 10) + $M$3 / 8) * Table5985[[#This Row],[LV]]</f>
        <v>41.5</v>
      </c>
      <c r="N5" s="1"/>
      <c r="O5" s="1">
        <f>$O$3 + ($O$3 / 4) * Table5985[[#This Row],[LV]]</f>
        <v>13.5</v>
      </c>
      <c r="P5" s="1">
        <f>$P$3 + ($P$3 / 4) * Table5985[[#This Row],[LV]]</f>
        <v>13.5</v>
      </c>
      <c r="Q5" s="1">
        <f>$Q$3 + ($Q$3 / 4) * Table5985[[#This Row],[LV]]</f>
        <v>3.375</v>
      </c>
      <c r="R5" s="1">
        <f>$R$3 + ($R$3 / 4) * Table5985[[#This Row],[LV]]</f>
        <v>6.75</v>
      </c>
      <c r="S5" s="1">
        <f>$S$3 + ($S$3 / 4) * Table5985[[#This Row],[LV]]</f>
        <v>6.75</v>
      </c>
      <c r="T5" s="1">
        <f>Table584[[#This Row],[XP Given]] * 1.25</f>
        <v>8.4375</v>
      </c>
      <c r="U5" s="1">
        <f>Table584[[#This Row],[Gold Given]] * 1.25</f>
        <v>14.0625</v>
      </c>
      <c r="V5" s="1"/>
      <c r="W5" s="4">
        <v>5</v>
      </c>
      <c r="X5" s="1">
        <f>$X$3 + ((Table591086[[#This Row],[LV]] / 10) + $X$3 / 8) * Table591086[[#This Row],[LV]]</f>
        <v>54.5</v>
      </c>
      <c r="Y5" s="1"/>
      <c r="Z5" s="1">
        <f>$Z$3 + ($Z$3 / 4) * Table591086[[#This Row],[LV]]</f>
        <v>18</v>
      </c>
      <c r="AA5" s="1">
        <f>$AA$3 + ($AA$3 / 4) * Table591086[[#This Row],[LV]]</f>
        <v>18</v>
      </c>
      <c r="AB5" s="1">
        <f>$AB$3 + ($AB$3 / 4) * Table591086[[#This Row],[LV]]</f>
        <v>4.5</v>
      </c>
      <c r="AC5" s="1">
        <f>$AC$3 + ($AC$3 / 4) * Table591086[[#This Row],[LV]]</f>
        <v>9</v>
      </c>
      <c r="AD5" s="1">
        <f>$AD$3 + ($AD$3 / 4) * Table591086[[#This Row],[LV]]</f>
        <v>9</v>
      </c>
      <c r="AE5" s="1">
        <f>Table584[[#This Row],[XP Given]] * 1.5</f>
        <v>10.125</v>
      </c>
      <c r="AF5" s="1">
        <f>Table584[[#This Row],[Gold Given]]*1.5</f>
        <v>16.875</v>
      </c>
    </row>
    <row r="7" spans="1:32" ht="25.8" x14ac:dyDescent="0.3">
      <c r="C7" s="53" t="s">
        <v>37</v>
      </c>
      <c r="D7" s="53"/>
      <c r="E7" s="53"/>
      <c r="F7" s="53"/>
      <c r="G7" s="53"/>
      <c r="H7" s="7"/>
      <c r="N7" s="53" t="s">
        <v>37</v>
      </c>
      <c r="O7" s="53"/>
      <c r="P7" s="53"/>
      <c r="Q7" s="53"/>
      <c r="R7" s="53"/>
      <c r="S7" s="7"/>
      <c r="T7" s="7"/>
      <c r="U7" s="7"/>
      <c r="V7" s="7"/>
      <c r="Y7" s="53" t="s">
        <v>37</v>
      </c>
      <c r="Z7" s="53"/>
      <c r="AA7" s="53"/>
      <c r="AB7" s="53"/>
      <c r="AC7" s="53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5</v>
      </c>
      <c r="E9" s="1">
        <f>CEILING(Elf!$B3 / IF(Elf!$D3 &lt; 10.8, $F$4, $F$4 / (Elf!$D3 / 10.8)),1)</f>
        <v>4</v>
      </c>
      <c r="F9" s="1">
        <f>CEILING(Beastgirl!$B3/ IF(Beastgirl!$D3&lt; 10.8,$F$4, $F$4 / (Beastgirl!$D3 / 10.8)),1)</f>
        <v>7</v>
      </c>
      <c r="G9" s="1">
        <f>CEILING(Warrior!$B3/ IF(Warrior!$D3&lt; 10.8, $F$4, $F$4 / (Warrior!$D3 / 10.8)),1)</f>
        <v>6</v>
      </c>
      <c r="N9" s="1">
        <v>1</v>
      </c>
      <c r="O9" s="1">
        <f>CEILING(Demon!$B3 / IF(Demon!$D3&lt; 10.8, $Q$4, $Q$4 / (Demon!$D3 / 10.8)),1)</f>
        <v>4</v>
      </c>
      <c r="P9" s="1">
        <f>CEILING(Elf!$B3 / IF(Elf!$D3 &lt; 10.8, $Q$4, $Q$4 / (Elf!$D3 / 10.8)),1)</f>
        <v>3</v>
      </c>
      <c r="Q9" s="1">
        <f>CEILING(Beastgirl!$B3 / IF(Beastgirl!$D3&lt; 10.8, $Q$4, $Q$4 / (Beastgirl!$D3 / 10.8)),1)</f>
        <v>5</v>
      </c>
      <c r="R9" s="1">
        <f>CEILING(Warrior!$B3 / IF(Warrior!$D3&lt; 10.8, $Q$4, $Q$4 / (Warrior!$D3 / 10.8)),1)</f>
        <v>4</v>
      </c>
      <c r="Y9" s="1">
        <v>1</v>
      </c>
      <c r="Z9" s="1">
        <f>CEILING(Demon!$B3 / IF(Demon!$D3&lt; 10.8, $AB$4, $AB$4 / (Demon!$D3 / 10.8)),1)</f>
        <v>3</v>
      </c>
      <c r="AA9" s="1">
        <f>CEILING(Elf!$B3 / IF(Elf!$D3 &lt; 10.8, $AB$4, $AB$4 / (Elf!$D3 / 10.8)),1)</f>
        <v>2</v>
      </c>
      <c r="AB9" s="1">
        <f>CEILING(Beastgirl!$B3 / IF(Beastgirl!$D3&lt; 10.8, $AB$4, $AB$4 / (Beastgirl!$D3 / 10.8)),1)</f>
        <v>4</v>
      </c>
      <c r="AC9" s="1">
        <f>CEILING(Warrior!$B3 / IF(Warrior!$D3&lt; 10.8, $AB$4, $AB$4 / (Warrior!$D3 / 10.8)),1)</f>
        <v>3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7</v>
      </c>
      <c r="E10" s="1">
        <f>CEILING(Elf!$B4 / IF(Elf!$D4 &lt; 10.8, $F$4, $F$4 / (Elf!$D4 / 10.8)),1)</f>
        <v>6</v>
      </c>
      <c r="F10" s="1">
        <f>CEILING(Beastgirl!$B4/ IF(Beastgirl!$D4&lt; 10.8,$F$4, $F$4 / (Beastgirl!$D4 / 10.8)),1)</f>
        <v>10</v>
      </c>
      <c r="G10" s="1">
        <f>CEILING(Warrior!$B4/ IF(Warrior!$D4&lt; 10.8, $F$4, $F$4 / (Warrior!$D4 / 10.8)),1)</f>
        <v>8</v>
      </c>
      <c r="N10" s="1">
        <v>2</v>
      </c>
      <c r="O10" s="1">
        <f>CEILING(Demon!$B4 / IF(Demon!$D4&lt; 10.8, $Q$4, $Q$4 / (Demon!$D4 / 10.8)),1)</f>
        <v>5</v>
      </c>
      <c r="P10" s="1">
        <f>CEILING(Elf!$B4 / IF(Elf!$D4 &lt; 10.8, $Q$4, $Q$4 / (Elf!$D4 / 10.8)),1)</f>
        <v>4</v>
      </c>
      <c r="Q10" s="1">
        <f>CEILING(Beastgirl!$B4 / IF(Beastgirl!$D4&lt; 10.8, $Q$4, $Q$4 / (Beastgirl!$D4 / 10.8)),1)</f>
        <v>7</v>
      </c>
      <c r="R10" s="1">
        <f>CEILING(Warrior!$B4 / IF(Warrior!$D4&lt; 10.8, $Q$4, $Q$4 / (Warrior!$D4 / 10.8)),1)</f>
        <v>6</v>
      </c>
      <c r="Y10" s="1">
        <v>2</v>
      </c>
      <c r="Z10" s="1">
        <f>CEILING(Demon!$B4 / IF(Demon!$D4&lt; 10.8, $AB$4, $AB$4 / (Demon!$D4 / 10.8)),1)</f>
        <v>4</v>
      </c>
      <c r="AA10" s="1">
        <f>CEILING(Elf!$B4 / IF(Elf!$D4 &lt; 10.8, $AB$4, $AB$4 / (Elf!$D4 / 10.8)),1)</f>
        <v>3</v>
      </c>
      <c r="AB10" s="1">
        <f>CEILING(Beastgirl!$B4 / IF(Beastgirl!$D4&lt; 10.8, $AB$4, $AB$4 / (Beastgirl!$D4 / 10.8)),1)</f>
        <v>5</v>
      </c>
      <c r="AC10" s="1">
        <f>CEILING(Warrior!$B4 / IF(Warrior!$D4&lt; 10.8, $AB$4, $AB$4 / (Warrior!$D4 / 10.8)),1)</f>
        <v>4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8</v>
      </c>
      <c r="E11" s="1">
        <f>CEILING(Elf!$B5 / IF(Elf!$D5 &lt; 10.8, $F$4, $F$4 / (Elf!$D5 / 10.8)),1)</f>
        <v>6</v>
      </c>
      <c r="F11" s="1">
        <f>CEILING(Beastgirl!$B5/ IF(Beastgirl!$D5&lt; 10.8,$F$4, $F$4 / (Beastgirl!$D5 / 10.8)),1)</f>
        <v>14</v>
      </c>
      <c r="G11" s="1">
        <f>CEILING(Warrior!$B5/ IF(Warrior!$D5&lt; 10.8, $F$4, $F$4 / (Warrior!$D5 / 10.8)),1)</f>
        <v>9</v>
      </c>
      <c r="N11" s="1">
        <v>3</v>
      </c>
      <c r="O11" s="1">
        <f>CEILING(Demon!$B5 / IF(Demon!$D5&lt; 10.8, $Q$4, $Q$4 / (Demon!$D5 / 10.8)),1)</f>
        <v>5</v>
      </c>
      <c r="P11" s="1">
        <f>CEILING(Elf!$B5 / IF(Elf!$D5 &lt; 10.8, $Q$4, $Q$4 / (Elf!$D5 / 10.8)),1)</f>
        <v>4</v>
      </c>
      <c r="Q11" s="1">
        <f>CEILING(Beastgirl!$B5 / IF(Beastgirl!$D5&lt; 10.8, $Q$4, $Q$4 / (Beastgirl!$D5 / 10.8)),1)</f>
        <v>9</v>
      </c>
      <c r="R11" s="1">
        <f>CEILING(Warrior!$B5 / IF(Warrior!$D5&lt; 10.8, $Q$4, $Q$4 / (Warrior!$D5 / 10.8)),1)</f>
        <v>6</v>
      </c>
      <c r="Y11" s="1">
        <v>3</v>
      </c>
      <c r="Z11" s="1">
        <f>CEILING(Demon!$B5 / IF(Demon!$D5&lt; 10.8, $AB$4, $AB$4 / (Demon!$D5 / 10.8)),1)</f>
        <v>4</v>
      </c>
      <c r="AA11" s="1">
        <f>CEILING(Elf!$B5 / IF(Elf!$D5 &lt; 10.8, $AB$4, $AB$4 / (Elf!$D5 / 10.8)),1)</f>
        <v>3</v>
      </c>
      <c r="AB11" s="1">
        <f>CEILING(Beastgirl!$B5 / IF(Beastgirl!$D5&lt; 10.8, $AB$4, $AB$4 / (Beastgirl!$D5 / 10.8)),1)</f>
        <v>7</v>
      </c>
      <c r="AC11" s="1">
        <f>CEILING(Warrior!$B5 / IF(Warrior!$D5&lt; 10.8, $AB$4, $AB$4 / (Warrior!$D5 / 10.8)),1)</f>
        <v>5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9</v>
      </c>
      <c r="E12" s="1">
        <f>CEILING(Elf!$B6 / IF(Elf!$D6 &lt; 10.8, $F$4, $F$4 / (Elf!$D6 / 10.8)),1)</f>
        <v>8</v>
      </c>
      <c r="F12" s="1">
        <f>CEILING(Beastgirl!$B6/ IF(Beastgirl!$D6&lt; 10.8,$F$4, $F$4 / (Beastgirl!$D6 / 10.8)),1)</f>
        <v>17</v>
      </c>
      <c r="G12" s="1">
        <f>CEILING(Warrior!$B6/ IF(Warrior!$D6&lt; 10.8, $F$4, $F$4 / (Warrior!$D6 / 10.8)),1)</f>
        <v>11</v>
      </c>
      <c r="N12" s="1">
        <v>4</v>
      </c>
      <c r="O12" s="1">
        <f>CEILING(Demon!$B6 / IF(Demon!$D6&lt; 10.8, $Q$4, $Q$4 / (Demon!$D6 / 10.8)),1)</f>
        <v>6</v>
      </c>
      <c r="P12" s="1">
        <f>CEILING(Elf!$B6 / IF(Elf!$D6 &lt; 10.8, $Q$4, $Q$4 / (Elf!$D6 / 10.8)),1)</f>
        <v>6</v>
      </c>
      <c r="Q12" s="1">
        <f>CEILING(Beastgirl!$B6 / IF(Beastgirl!$D6&lt; 10.8, $Q$4, $Q$4 / (Beastgirl!$D6 / 10.8)),1)</f>
        <v>12</v>
      </c>
      <c r="R12" s="1">
        <f>CEILING(Warrior!$B6 / IF(Warrior!$D6&lt; 10.8, $Q$4, $Q$4 / (Warrior!$D6 / 10.8)),1)</f>
        <v>8</v>
      </c>
      <c r="Y12" s="1">
        <v>4</v>
      </c>
      <c r="Z12" s="1">
        <f>CEILING(Demon!$B6 / IF(Demon!$D6&lt; 10.8, $AB$4, $AB$4 / (Demon!$D6 / 10.8)),1)</f>
        <v>5</v>
      </c>
      <c r="AA12" s="1">
        <f>CEILING(Elf!$B6 / IF(Elf!$D6 &lt; 10.8, $AB$4, $AB$4 / (Elf!$D6 / 10.8)),1)</f>
        <v>4</v>
      </c>
      <c r="AB12" s="1">
        <f>CEILING(Beastgirl!$B6 / IF(Beastgirl!$D6&lt; 10.8, $AB$4, $AB$4 / (Beastgirl!$D6 / 10.8)),1)</f>
        <v>9</v>
      </c>
      <c r="AC12" s="1">
        <f>CEILING(Warrior!$B6 / IF(Warrior!$D6&lt; 10.8, $AB$4, $AB$4 / (Warrior!$D6 / 10.8)),1)</f>
        <v>6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17</v>
      </c>
      <c r="E13" s="1">
        <f>CEILING(Elf!$B7 / IF(Elf!$D7 &lt; 10.8, $F$4, $F$4 / (Elf!$D7 / 10.8)),1)</f>
        <v>16</v>
      </c>
      <c r="F13" s="1">
        <f>CEILING(Beastgirl!$B7/ IF(Beastgirl!$D7&lt; 10.8,$F$4, $F$4 / (Beastgirl!$D7 / 10.8)),1)</f>
        <v>34</v>
      </c>
      <c r="G13" s="1">
        <f>CEILING(Warrior!$B7/ IF(Warrior!$D7&lt; 10.8, $F$4, $F$4 / (Warrior!$D7 / 10.8)),1)</f>
        <v>23</v>
      </c>
      <c r="N13" s="1">
        <v>5</v>
      </c>
      <c r="O13" s="1">
        <f>CEILING(Demon!$B7 / IF(Demon!$D7&lt; 10.8, $Q$4, $Q$4 / (Demon!$D7 / 10.8)),1)</f>
        <v>11</v>
      </c>
      <c r="P13" s="1">
        <f>CEILING(Elf!$B7 / IF(Elf!$D7 &lt; 10.8, $Q$4, $Q$4 / (Elf!$D7 / 10.8)),1)</f>
        <v>11</v>
      </c>
      <c r="Q13" s="1">
        <f>CEILING(Beastgirl!$B7 / IF(Beastgirl!$D7&lt; 10.8, $Q$4, $Q$4 / (Beastgirl!$D7 / 10.8)),1)</f>
        <v>23</v>
      </c>
      <c r="R13" s="1">
        <f>CEILING(Warrior!$B7 / IF(Warrior!$D7&lt; 10.8, $Q$4, $Q$4 / (Warrior!$D7 / 10.8)),1)</f>
        <v>15</v>
      </c>
      <c r="Y13" s="1">
        <v>5</v>
      </c>
      <c r="Z13" s="1">
        <f>CEILING(Demon!$B7 / IF(Demon!$D7&lt; 10.8, $AB$4, $AB$4 / (Demon!$D7 / 10.8)),1)</f>
        <v>9</v>
      </c>
      <c r="AA13" s="1">
        <f>CEILING(Elf!$B7 / IF(Elf!$D7 &lt; 10.8, $AB$4, $AB$4 / (Elf!$D7 / 10.8)),1)</f>
        <v>8</v>
      </c>
      <c r="AB13" s="1">
        <f>CEILING(Beastgirl!$B7 / IF(Beastgirl!$D7&lt; 10.8, $AB$4, $AB$4 / (Beastgirl!$D7 / 10.8)),1)</f>
        <v>17</v>
      </c>
      <c r="AC13" s="1">
        <f>CEILING(Warrior!$B7 / IF(Warrior!$D7&lt; 10.8, $AB$4, $AB$4 / (Warrior!$D7 / 10.8)),1)</f>
        <v>12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20</v>
      </c>
      <c r="E14" s="1">
        <f>CEILING(Elf!$B8 / IF(Elf!$D8 &lt; 10.8, $F$4, $F$4 / (Elf!$D8 / 10.8)),1)</f>
        <v>19</v>
      </c>
      <c r="F14" s="1">
        <f>CEILING(Beastgirl!$B8/ IF(Beastgirl!$D8&lt; 10.8,$F$4, $F$4 / (Beastgirl!$D8 / 10.8)),1)</f>
        <v>41</v>
      </c>
      <c r="G14" s="1">
        <f>CEILING(Warrior!$B8/ IF(Warrior!$D8&lt; 10.8, $F$4, $F$4 / (Warrior!$D8 / 10.8)),1)</f>
        <v>27</v>
      </c>
      <c r="N14" s="1">
        <v>6</v>
      </c>
      <c r="O14" s="1">
        <f>CEILING(Demon!$B8 / IF(Demon!$D8&lt; 10.8, $Q$4, $Q$4 / (Demon!$D8 / 10.8)),1)</f>
        <v>13</v>
      </c>
      <c r="P14" s="1">
        <f>CEILING(Elf!$B8 / IF(Elf!$D8 &lt; 10.8, $Q$4, $Q$4 / (Elf!$D8 / 10.8)),1)</f>
        <v>13</v>
      </c>
      <c r="Q14" s="1">
        <f>CEILING(Beastgirl!$B8 / IF(Beastgirl!$D8&lt; 10.8, $Q$4, $Q$4 / (Beastgirl!$D8 / 10.8)),1)</f>
        <v>27</v>
      </c>
      <c r="R14" s="1">
        <f>CEILING(Warrior!$B8 / IF(Warrior!$D8&lt; 10.8, $Q$4, $Q$4 / (Warrior!$D8 / 10.8)),1)</f>
        <v>18</v>
      </c>
      <c r="Y14" s="1">
        <v>6</v>
      </c>
      <c r="Z14" s="1">
        <f>CEILING(Demon!$B8 / IF(Demon!$D8&lt; 10.8, $AB$4, $AB$4 / (Demon!$D8 / 10.8)),1)</f>
        <v>10</v>
      </c>
      <c r="AA14" s="1">
        <f>CEILING(Elf!$B8 / IF(Elf!$D8 &lt; 10.8, $AB$4, $AB$4 / (Elf!$D8 / 10.8)),1)</f>
        <v>10</v>
      </c>
      <c r="AB14" s="1">
        <f>CEILING(Beastgirl!$B8 / IF(Beastgirl!$D8&lt; 10.8, $AB$4, $AB$4 / (Beastgirl!$D8 / 10.8)),1)</f>
        <v>21</v>
      </c>
      <c r="AC14" s="1">
        <f>CEILING(Warrior!$B8 / IF(Warrior!$D8&lt; 10.8, $AB$4, $AB$4 / (Warrior!$D8 / 10.8)),1)</f>
        <v>14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23</v>
      </c>
      <c r="E15" s="1">
        <f>CEILING(Elf!$B9 / IF(Elf!$D9 &lt; 10.8, $F$4, $F$4 / (Elf!$D9 / 10.8)),1)</f>
        <v>23</v>
      </c>
      <c r="F15" s="1">
        <f>CEILING(Beastgirl!$B9/ IF(Beastgirl!$D9&lt; 10.8,$F$4, $F$4 / (Beastgirl!$D9 / 10.8)),1)</f>
        <v>48</v>
      </c>
      <c r="G15" s="1">
        <f>CEILING(Warrior!$B9/ IF(Warrior!$D9&lt; 10.8, $F$4, $F$4 / (Warrior!$D9 / 10.8)),1)</f>
        <v>32</v>
      </c>
      <c r="N15" s="1">
        <v>7</v>
      </c>
      <c r="O15" s="1">
        <f>CEILING(Demon!$B9 / IF(Demon!$D9&lt; 10.8, $Q$4, $Q$4 / (Demon!$D9 / 10.8)),1)</f>
        <v>16</v>
      </c>
      <c r="P15" s="1">
        <f>CEILING(Elf!$B9 / IF(Elf!$D9 &lt; 10.8, $Q$4, $Q$4 / (Elf!$D9 / 10.8)),1)</f>
        <v>15</v>
      </c>
      <c r="Q15" s="1">
        <f>CEILING(Beastgirl!$B9 / IF(Beastgirl!$D9&lt; 10.8, $Q$4, $Q$4 / (Beastgirl!$D9 / 10.8)),1)</f>
        <v>32</v>
      </c>
      <c r="R15" s="1">
        <f>CEILING(Warrior!$B9 / IF(Warrior!$D9&lt; 10.8, $Q$4, $Q$4 / (Warrior!$D9 / 10.8)),1)</f>
        <v>21</v>
      </c>
      <c r="Y15" s="1">
        <v>7</v>
      </c>
      <c r="Z15" s="1">
        <f>CEILING(Demon!$B9 / IF(Demon!$D9&lt; 10.8, $AB$4, $AB$4 / (Demon!$D9 / 10.8)),1)</f>
        <v>12</v>
      </c>
      <c r="AA15" s="1">
        <f>CEILING(Elf!$B9 / IF(Elf!$D9 &lt; 10.8, $AB$4, $AB$4 / (Elf!$D9 / 10.8)),1)</f>
        <v>12</v>
      </c>
      <c r="AB15" s="1">
        <f>CEILING(Beastgirl!$B9 / IF(Beastgirl!$D9&lt; 10.8, $AB$4, $AB$4 / (Beastgirl!$D9 / 10.8)),1)</f>
        <v>24</v>
      </c>
      <c r="AC15" s="1">
        <f>CEILING(Warrior!$B9 / IF(Warrior!$D9&lt; 10.8, $AB$4, $AB$4 / (Warrior!$D9 / 10.8)),1)</f>
        <v>16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27</v>
      </c>
      <c r="E16" s="1">
        <f>CEILING(Elf!$B10 / IF(Elf!$D10 &lt; 10.8, $F$4, $F$4 / (Elf!$D10 / 10.8)),1)</f>
        <v>27</v>
      </c>
      <c r="F16" s="1">
        <f>CEILING(Beastgirl!$B10/ IF(Beastgirl!$D10&lt; 10.8,$F$4, $F$4 / (Beastgirl!$D10 / 10.8)),1)</f>
        <v>55</v>
      </c>
      <c r="G16" s="1">
        <f>CEILING(Warrior!$B10/ IF(Warrior!$D10&lt; 10.8, $F$4, $F$4 / (Warrior!$D10 / 10.8)),1)</f>
        <v>37</v>
      </c>
      <c r="N16" s="1">
        <v>8</v>
      </c>
      <c r="O16" s="1">
        <f>CEILING(Demon!$B10 / IF(Demon!$D10&lt; 10.8, $Q$4, $Q$4 / (Demon!$D10 / 10.8)),1)</f>
        <v>18</v>
      </c>
      <c r="P16" s="1">
        <f>CEILING(Elf!$B10 / IF(Elf!$D10 &lt; 10.8, $Q$4, $Q$4 / (Elf!$D10 / 10.8)),1)</f>
        <v>18</v>
      </c>
      <c r="Q16" s="1">
        <f>CEILING(Beastgirl!$B10 / IF(Beastgirl!$D10&lt; 10.8, $Q$4, $Q$4 / (Beastgirl!$D10 / 10.8)),1)</f>
        <v>37</v>
      </c>
      <c r="R16" s="1">
        <f>CEILING(Warrior!$B10 / IF(Warrior!$D10&lt; 10.8, $Q$4, $Q$4 / (Warrior!$D10 / 10.8)),1)</f>
        <v>25</v>
      </c>
      <c r="Y16" s="1">
        <v>8</v>
      </c>
      <c r="Z16" s="1">
        <f>CEILING(Demon!$B10 / IF(Demon!$D10&lt; 10.8, $AB$4, $AB$4 / (Demon!$D10 / 10.8)),1)</f>
        <v>14</v>
      </c>
      <c r="AA16" s="1">
        <f>CEILING(Elf!$B10 / IF(Elf!$D10 &lt; 10.8, $AB$4, $AB$4 / (Elf!$D10 / 10.8)),1)</f>
        <v>14</v>
      </c>
      <c r="AB16" s="1">
        <f>CEILING(Beastgirl!$B10 / IF(Beastgirl!$D10&lt; 10.8, $AB$4, $AB$4 / (Beastgirl!$D10 / 10.8)),1)</f>
        <v>28</v>
      </c>
      <c r="AC16" s="1">
        <f>CEILING(Warrior!$B10 / IF(Warrior!$D10&lt; 10.8, $AB$4, $AB$4 / (Warrior!$D10 / 10.8)),1)</f>
        <v>19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32</v>
      </c>
      <c r="E17" s="1">
        <f>CEILING(Elf!$B11 / IF(Elf!$D11 &lt; 10.8, $F$4, $F$4 / (Elf!$D11 / 10.8)),1)</f>
        <v>32</v>
      </c>
      <c r="F17" s="1">
        <f>CEILING(Beastgirl!$B11/ IF(Beastgirl!$D11&lt; 10.8,$F$4, $F$4 / (Beastgirl!$D11 / 10.8)),1)</f>
        <v>64</v>
      </c>
      <c r="G17" s="1">
        <f>CEILING(Warrior!$B11/ IF(Warrior!$D11&lt; 10.8, $F$4, $F$4 / (Warrior!$D11 / 10.8)),1)</f>
        <v>43</v>
      </c>
      <c r="N17" s="1">
        <v>9</v>
      </c>
      <c r="O17" s="1">
        <f>CEILING(Demon!$B11 / IF(Demon!$D11&lt; 10.8, $Q$4, $Q$4 / (Demon!$D11 / 10.8)),1)</f>
        <v>22</v>
      </c>
      <c r="P17" s="1">
        <f>CEILING(Elf!$B11 / IF(Elf!$D11 &lt; 10.8, $Q$4, $Q$4 / (Elf!$D11 / 10.8)),1)</f>
        <v>21</v>
      </c>
      <c r="Q17" s="1">
        <f>CEILING(Beastgirl!$B11 / IF(Beastgirl!$D11&lt; 10.8, $Q$4, $Q$4 / (Beastgirl!$D11 / 10.8)),1)</f>
        <v>43</v>
      </c>
      <c r="R17" s="1">
        <f>CEILING(Warrior!$B11 / IF(Warrior!$D11&lt; 10.8, $Q$4, $Q$4 / (Warrior!$D11 / 10.8)),1)</f>
        <v>29</v>
      </c>
      <c r="Y17" s="1">
        <v>9</v>
      </c>
      <c r="Z17" s="1">
        <f>CEILING(Demon!$B11 / IF(Demon!$D11&lt; 10.8, $AB$4, $AB$4 / (Demon!$D11 / 10.8)),1)</f>
        <v>16</v>
      </c>
      <c r="AA17" s="1">
        <f>CEILING(Elf!$B11 / IF(Elf!$D11 &lt; 10.8, $AB$4, $AB$4 / (Elf!$D11 / 10.8)),1)</f>
        <v>16</v>
      </c>
      <c r="AB17" s="1">
        <f>CEILING(Beastgirl!$B11 / IF(Beastgirl!$D11&lt; 10.8, $AB$4, $AB$4 / (Beastgirl!$D11 / 10.8)),1)</f>
        <v>32</v>
      </c>
      <c r="AC17" s="1">
        <f>CEILING(Warrior!$B11 / IF(Warrior!$D11&lt; 10.8, $AB$4, $AB$4 / (Warrior!$D11 / 10.8)),1)</f>
        <v>22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37</v>
      </c>
      <c r="E18" s="1">
        <f>CEILING(Elf!$B12 / IF(Elf!$D12 &lt; 10.8, $F$4, $F$4 / (Elf!$D12 / 10.8)),1)</f>
        <v>37</v>
      </c>
      <c r="F18" s="1">
        <f>CEILING(Beastgirl!$B12/ IF(Beastgirl!$D12&lt; 10.8,$F$4, $F$4 / (Beastgirl!$D12 / 10.8)),1)</f>
        <v>74</v>
      </c>
      <c r="G18" s="1">
        <f>CEILING(Warrior!$B12/ IF(Warrior!$D12&lt; 10.8, $F$4, $F$4 / (Warrior!$D12 / 10.8)),1)</f>
        <v>49</v>
      </c>
      <c r="N18" s="1">
        <v>10</v>
      </c>
      <c r="O18" s="1">
        <f>CEILING(Demon!$B12 / IF(Demon!$D12&lt; 10.8, $Q$4, $Q$4 / (Demon!$D12 / 10.8)),1)</f>
        <v>25</v>
      </c>
      <c r="P18" s="1">
        <f>CEILING(Elf!$B12 / IF(Elf!$D12 &lt; 10.8, $Q$4, $Q$4 / (Elf!$D12 / 10.8)),1)</f>
        <v>25</v>
      </c>
      <c r="Q18" s="1">
        <f>CEILING(Beastgirl!$B12 / IF(Beastgirl!$D12&lt; 10.8, $Q$4, $Q$4 / (Beastgirl!$D12 / 10.8)),1)</f>
        <v>49</v>
      </c>
      <c r="R18" s="1">
        <f>CEILING(Warrior!$B12 / IF(Warrior!$D12&lt; 10.8, $Q$4, $Q$4 / (Warrior!$D12 / 10.8)),1)</f>
        <v>33</v>
      </c>
      <c r="Y18" s="1">
        <v>10</v>
      </c>
      <c r="Z18" s="1">
        <f>CEILING(Demon!$B12 / IF(Demon!$D12&lt; 10.8, $AB$4, $AB$4 / (Demon!$D12 / 10.8)),1)</f>
        <v>19</v>
      </c>
      <c r="AA18" s="1">
        <f>CEILING(Elf!$B12 / IF(Elf!$D12 &lt; 10.8, $AB$4, $AB$4 / (Elf!$D12 / 10.8)),1)</f>
        <v>19</v>
      </c>
      <c r="AB18" s="1">
        <f>CEILING(Beastgirl!$B12 / IF(Beastgirl!$D12&lt; 10.8, $AB$4, $AB$4 / (Beastgirl!$D12 / 10.8)),1)</f>
        <v>37</v>
      </c>
      <c r="AC18" s="1">
        <f>CEILING(Warrior!$B12 / IF(Warrior!$D12&lt; 10.8, $AB$4, $AB$4 / (Warrior!$D12 / 10.8)),1)</f>
        <v>25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3" t="s">
        <v>38</v>
      </c>
      <c r="D20" s="53"/>
      <c r="E20" s="53"/>
      <c r="F20" s="53"/>
      <c r="G20" s="53"/>
      <c r="I20" s="4"/>
      <c r="J20" s="4"/>
      <c r="K20" s="4"/>
      <c r="L20" s="4"/>
      <c r="M20" s="4"/>
      <c r="N20" s="53" t="s">
        <v>38</v>
      </c>
      <c r="O20" s="53"/>
      <c r="P20" s="53"/>
      <c r="Q20" s="53"/>
      <c r="R20" s="53"/>
      <c r="S20" s="4"/>
      <c r="T20" s="4"/>
      <c r="U20" s="4"/>
      <c r="W20" s="4"/>
      <c r="X20" s="4"/>
      <c r="Y20" s="53" t="s">
        <v>38</v>
      </c>
      <c r="Z20" s="53"/>
      <c r="AA20" s="53"/>
      <c r="AB20" s="53"/>
      <c r="AC20" s="53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5</v>
      </c>
      <c r="E22" s="1">
        <f>CEILING(Elf!$B3 / IF(Elf!$D3&lt; 10.8, $F$5,$F$5 / (Elf!$D3 / 10.8)),1)</f>
        <v>4</v>
      </c>
      <c r="F22" s="1">
        <f>CEILING(Beastgirl!$B3 / IF(Beastgirl!$D3&lt; 10.8, $F$5, $F$5 / (Beastgirl!$D3 / 10.8)),1)</f>
        <v>7</v>
      </c>
      <c r="G22" s="1">
        <f>CEILING(Warrior!$B3 / IF(Warrior!$D3&lt; 10.8, $F$5, $F$5 / (Warrior!$D3 / 10.8)),1)</f>
        <v>6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3</v>
      </c>
      <c r="P22" s="1">
        <f>CEILING(Elf!$B3 / IF(Elf!$D3 &lt; 10.8, $Q$5, $Q$5 / (Elf!$D3 / 10.8)),1)</f>
        <v>3</v>
      </c>
      <c r="Q22" s="1">
        <f>CEILING(Beastgirl!$B3 / IF(Beastgirl!$D3&lt; 10.8, $Q$5, $Q$5 / (Beastgirl!$D3/ 10.8)),1)</f>
        <v>5</v>
      </c>
      <c r="R22" s="1">
        <f>CEILING(Warrior!$B3 / IF(Warrior!$D3&lt; 10.8, $Q$5, $Q$5 / (Warrior!$D3/ 10.8)),1)</f>
        <v>4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3</v>
      </c>
      <c r="AA22" s="1">
        <f>CEILING(Elf!$B3/ IF(Elf!$D3&lt; 10.8, $AB$5, $AB$5 / (Elf!$D3/ 10.8)),1)</f>
        <v>2</v>
      </c>
      <c r="AB22" s="1">
        <f>CEILING(Beastgirl!$B3 / IF(Beastgirl!$D3&lt; 10.8, $AB$5, $AB$5 / (Beastgirl!$D3 / 10.8)),1)</f>
        <v>4</v>
      </c>
      <c r="AC22" s="1">
        <f>CEILING(Warrior!$B3 / IF(Warrior!$D3&lt; 10.8, $AB$5, $AB$5 / (Warrior!$D3 / 10.8)),1)</f>
        <v>3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6</v>
      </c>
      <c r="E23" s="1">
        <f>CEILING(Elf!$B4 / IF(Elf!$D4&lt; 10.8, $F$5,$F$5 / (Elf!$D4 / 10.8)),1)</f>
        <v>5</v>
      </c>
      <c r="F23" s="1">
        <f>CEILING(Beastgirl!$B4 / IF(Beastgirl!$D4&lt; 10.8, $F$5, $F$5 / (Beastgirl!$D4 / 10.8)),1)</f>
        <v>9</v>
      </c>
      <c r="G23" s="1">
        <f>CEILING(Warrior!$B4 / IF(Warrior!$D4&lt; 10.8, $F$5, $F$5 / (Warrior!$D4 / 10.8)),1)</f>
        <v>7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4</v>
      </c>
      <c r="P23" s="1">
        <f>CEILING(Elf!$B4 / IF(Elf!$D4 &lt; 10.8, $Q$5, $Q$5 / (Elf!$D4 / 10.8)),1)</f>
        <v>4</v>
      </c>
      <c r="Q23" s="1">
        <f>CEILING(Beastgirl!$B4 / IF(Beastgirl!$D4&lt; 10.8, $Q$5, $Q$5 / (Beastgirl!$D4/ 10.8)),1)</f>
        <v>6</v>
      </c>
      <c r="R23" s="1">
        <f>CEILING(Warrior!$B4 / IF(Warrior!$D4&lt; 10.8, $Q$5, $Q$5 / (Warrior!$D4/ 10.8)),1)</f>
        <v>5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3</v>
      </c>
      <c r="AA23" s="1">
        <f>CEILING(Elf!$B4/ IF(Elf!$D4&lt; 10.8, $AB$5, $AB$5 / (Elf!$D4/ 10.8)),1)</f>
        <v>3</v>
      </c>
      <c r="AB23" s="1">
        <f>CEILING(Beastgirl!$B4 / IF(Beastgirl!$D4&lt; 10.8, $AB$5, $AB$5 / (Beastgirl!$D4 / 10.8)),1)</f>
        <v>5</v>
      </c>
      <c r="AC23" s="1">
        <f>CEILING(Warrior!$B4 / IF(Warrior!$D4&lt; 10.8, $AB$5, $AB$5 / (Warrior!$D4 / 10.8)),1)</f>
        <v>4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7</v>
      </c>
      <c r="E24" s="1">
        <f>CEILING(Elf!$B5 / IF(Elf!$D5&lt; 10.8, $F$5,$F$5 / (Elf!$D5 / 10.8)),1)</f>
        <v>6</v>
      </c>
      <c r="F24" s="1">
        <f>CEILING(Beastgirl!$B5 / IF(Beastgirl!$D5&lt; 10.8, $F$5, $F$5 / (Beastgirl!$D5 / 10.8)),1)</f>
        <v>12</v>
      </c>
      <c r="G24" s="1">
        <f>CEILING(Warrior!$B5 / IF(Warrior!$D5&lt; 10.8, $F$5, $F$5 / (Warrior!$D5 / 10.8)),1)</f>
        <v>8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5</v>
      </c>
      <c r="P24" s="1">
        <f>CEILING(Elf!$B5 / IF(Elf!$D5 &lt; 10.8, $Q$5, $Q$5 / (Elf!$D5 / 10.8)),1)</f>
        <v>4</v>
      </c>
      <c r="Q24" s="1">
        <f>CEILING(Beastgirl!$B5 / IF(Beastgirl!$D5&lt; 10.8, $Q$5, $Q$5 / (Beastgirl!$D5/ 10.8)),1)</f>
        <v>8</v>
      </c>
      <c r="R24" s="1">
        <f>CEILING(Warrior!$B5 / IF(Warrior!$D5&lt; 10.8, $Q$5, $Q$5 / (Warrior!$D5/ 10.8)),1)</f>
        <v>6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4</v>
      </c>
      <c r="AA24" s="1">
        <f>CEILING(Elf!$B5/ IF(Elf!$D5&lt; 10.8, $AB$5, $AB$5 / (Elf!$D5/ 10.8)),1)</f>
        <v>3</v>
      </c>
      <c r="AB24" s="1">
        <f>CEILING(Beastgirl!$B5 / IF(Beastgirl!$D5&lt; 10.8, $AB$5, $AB$5 / (Beastgirl!$D5 / 10.8)),1)</f>
        <v>6</v>
      </c>
      <c r="AC24" s="1">
        <f>CEILING(Warrior!$B5 / IF(Warrior!$D5&lt; 10.8, $AB$5, $AB$5 / (Warrior!$D5 / 10.8)),1)</f>
        <v>4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8</v>
      </c>
      <c r="E25" s="1">
        <f>CEILING(Elf!$B6 / IF(Elf!$D6&lt; 10.8, $F$5,$F$5 / (Elf!$D6 / 10.8)),1)</f>
        <v>7</v>
      </c>
      <c r="F25" s="1">
        <f>CEILING(Beastgirl!$B6 / IF(Beastgirl!$D6&lt; 10.8, $F$5, $F$5 / (Beastgirl!$D6 / 10.8)),1)</f>
        <v>15</v>
      </c>
      <c r="G25" s="1">
        <f>CEILING(Warrior!$B6 / IF(Warrior!$D6&lt; 10.8, $F$5, $F$5 / (Warrior!$D6 / 10.8)),1)</f>
        <v>10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5</v>
      </c>
      <c r="P25" s="1">
        <f>CEILING(Elf!$B6 / IF(Elf!$D6 &lt; 10.8, $Q$5, $Q$5 / (Elf!$D6 / 10.8)),1)</f>
        <v>5</v>
      </c>
      <c r="Q25" s="1">
        <f>CEILING(Beastgirl!$B6 / IF(Beastgirl!$D6&lt; 10.8, $Q$5, $Q$5 / (Beastgirl!$D6/ 10.8)),1)</f>
        <v>10</v>
      </c>
      <c r="R25" s="1">
        <f>CEILING(Warrior!$B6 / IF(Warrior!$D6&lt; 10.8, $Q$5, $Q$5 / (Warrior!$D6/ 10.8)),1)</f>
        <v>7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4</v>
      </c>
      <c r="AA25" s="1">
        <f>CEILING(Elf!$B6/ IF(Elf!$D6&lt; 10.8, $AB$5, $AB$5 / (Elf!$D6/ 10.8)),1)</f>
        <v>4</v>
      </c>
      <c r="AB25" s="1">
        <f>CEILING(Beastgirl!$B6 / IF(Beastgirl!$D6&lt; 10.8, $AB$5, $AB$5 / (Beastgirl!$D6 / 10.8)),1)</f>
        <v>8</v>
      </c>
      <c r="AC25" s="1">
        <f>CEILING(Warrior!$B6 / IF(Warrior!$D6&lt; 10.8, $AB$5, $AB$5 / (Warrior!$D6 / 10.8)),1)</f>
        <v>5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15</v>
      </c>
      <c r="E26" s="1">
        <f>CEILING(Elf!$B7 / IF(Elf!$D7&lt; 10.8, $F$5,$F$5 / (Elf!$D7 / 10.8)),1)</f>
        <v>14</v>
      </c>
      <c r="F26" s="1">
        <f>CEILING(Beastgirl!$B7 / IF(Beastgirl!$D7&lt; 10.8, $F$5, $F$5 / (Beastgirl!$D7 / 10.8)),1)</f>
        <v>31</v>
      </c>
      <c r="G26" s="1">
        <f>CEILING(Warrior!$B7 / IF(Warrior!$D7&lt; 10.8, $F$5, $F$5 / (Warrior!$D7 / 10.8)),1)</f>
        <v>20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10</v>
      </c>
      <c r="P26" s="1">
        <f>CEILING(Elf!$B7 / IF(Elf!$D7 &lt; 10.8, $Q$5, $Q$5 / (Elf!$D7 / 10.8)),1)</f>
        <v>10</v>
      </c>
      <c r="Q26" s="1">
        <f>CEILING(Beastgirl!$B7 / IF(Beastgirl!$D7&lt; 10.8, $Q$5, $Q$5 / (Beastgirl!$D7/ 10.8)),1)</f>
        <v>21</v>
      </c>
      <c r="R26" s="1">
        <f>CEILING(Warrior!$B7 / IF(Warrior!$D7&lt; 10.8, $Q$5, $Q$5 / (Warrior!$D7/ 10.8)),1)</f>
        <v>14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8</v>
      </c>
      <c r="AA26" s="1">
        <f>CEILING(Elf!$B7/ IF(Elf!$D7&lt; 10.8, $AB$5, $AB$5 / (Elf!$D7/ 10.8)),1)</f>
        <v>7</v>
      </c>
      <c r="AB26" s="1">
        <f>CEILING(Beastgirl!$B7 / IF(Beastgirl!$D7&lt; 10.8, $AB$5, $AB$5 / (Beastgirl!$D7 / 10.8)),1)</f>
        <v>16</v>
      </c>
      <c r="AC26" s="1">
        <f>CEILING(Warrior!$B7 / IF(Warrior!$D7&lt; 10.8, $AB$5, $AB$5 / (Warrior!$D7 / 10.8)),1)</f>
        <v>10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18</v>
      </c>
      <c r="E27" s="1">
        <f>CEILING(Elf!$B8 / IF(Elf!$D8&lt; 10.8, $F$5,$F$5 / (Elf!$D8 / 10.8)),1)</f>
        <v>17</v>
      </c>
      <c r="F27" s="1">
        <f>CEILING(Beastgirl!$B8 / IF(Beastgirl!$D8&lt; 10.8, $F$5, $F$5 / (Beastgirl!$D8 / 10.8)),1)</f>
        <v>36</v>
      </c>
      <c r="G27" s="1">
        <f>CEILING(Warrior!$B8 / IF(Warrior!$D8&lt; 10.8, $F$5, $F$5 / (Warrior!$D8 / 10.8)),1)</f>
        <v>24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12</v>
      </c>
      <c r="P27" s="1">
        <f>CEILING(Elf!$B8 / IF(Elf!$D8 &lt; 10.8, $Q$5, $Q$5 / (Elf!$D8 / 10.8)),1)</f>
        <v>12</v>
      </c>
      <c r="Q27" s="1">
        <f>CEILING(Beastgirl!$B8 / IF(Beastgirl!$D8&lt; 10.8, $Q$5, $Q$5 / (Beastgirl!$D8/ 10.8)),1)</f>
        <v>24</v>
      </c>
      <c r="R27" s="1">
        <f>CEILING(Warrior!$B8 / IF(Warrior!$D8&lt; 10.8, $Q$5, $Q$5 / (Warrior!$D8/ 10.8)),1)</f>
        <v>16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9</v>
      </c>
      <c r="AA27" s="1">
        <f>CEILING(Elf!$B8/ IF(Elf!$D8&lt; 10.8, $AB$5, $AB$5 / (Elf!$D8/ 10.8)),1)</f>
        <v>9</v>
      </c>
      <c r="AB27" s="1">
        <f>CEILING(Beastgirl!$B8 / IF(Beastgirl!$D8&lt; 10.8, $AB$5, $AB$5 / (Beastgirl!$D8 / 10.8)),1)</f>
        <v>18</v>
      </c>
      <c r="AC27" s="1">
        <f>CEILING(Warrior!$B8 / IF(Warrior!$D8&lt; 10.8, $AB$5, $AB$5 / (Warrior!$D8 / 10.8)),1)</f>
        <v>12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21</v>
      </c>
      <c r="E28" s="1">
        <f>CEILING(Elf!$B9 / IF(Elf!$D9&lt; 10.8, $F$5,$F$5 / (Elf!$D9 / 10.8)),1)</f>
        <v>20</v>
      </c>
      <c r="F28" s="1">
        <f>CEILING(Beastgirl!$B9 / IF(Beastgirl!$D9&lt; 10.8, $F$5, $F$5 / (Beastgirl!$D9 / 10.8)),1)</f>
        <v>42</v>
      </c>
      <c r="G28" s="1">
        <f>CEILING(Warrior!$B9 / IF(Warrior!$D9&lt; 10.8, $F$5, $F$5 / (Warrior!$D9 / 10.8)),1)</f>
        <v>28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14</v>
      </c>
      <c r="P28" s="1">
        <f>CEILING(Elf!$B9 / IF(Elf!$D9 &lt; 10.8, $Q$5, $Q$5 / (Elf!$D9 / 10.8)),1)</f>
        <v>14</v>
      </c>
      <c r="Q28" s="1">
        <f>CEILING(Beastgirl!$B9 / IF(Beastgirl!$D9&lt; 10.8, $Q$5, $Q$5 / (Beastgirl!$D9/ 10.8)),1)</f>
        <v>28</v>
      </c>
      <c r="R28" s="1">
        <f>CEILING(Warrior!$B9 / IF(Warrior!$D9&lt; 10.8, $Q$5, $Q$5 / (Warrior!$D9/ 10.8)),1)</f>
        <v>19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11</v>
      </c>
      <c r="AA28" s="1">
        <f>CEILING(Elf!$B9/ IF(Elf!$D9&lt; 10.8, $AB$5, $AB$5 / (Elf!$D9/ 10.8)),1)</f>
        <v>10</v>
      </c>
      <c r="AB28" s="1">
        <f>CEILING(Beastgirl!$B9 / IF(Beastgirl!$D9&lt; 10.8, $AB$5, $AB$5 / (Beastgirl!$D9 / 10.8)),1)</f>
        <v>21</v>
      </c>
      <c r="AC28" s="1">
        <f>CEILING(Warrior!$B9 / IF(Warrior!$D9&lt; 10.8, $AB$5, $AB$5 / (Warrior!$D9 / 10.8)),1)</f>
        <v>14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24</v>
      </c>
      <c r="E29" s="1">
        <f>CEILING(Elf!$B10 / IF(Elf!$D10&lt; 10.8, $F$5,$F$5 / (Elf!$D10 / 10.8)),1)</f>
        <v>24</v>
      </c>
      <c r="F29" s="1">
        <f>CEILING(Beastgirl!$B10 / IF(Beastgirl!$D10&lt; 10.8, $F$5, $F$5 / (Beastgirl!$D10 / 10.8)),1)</f>
        <v>49</v>
      </c>
      <c r="G29" s="1">
        <f>CEILING(Warrior!$B10 / IF(Warrior!$D10&lt; 10.8, $F$5, $F$5 / (Warrior!$D10 / 10.8)),1)</f>
        <v>33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16</v>
      </c>
      <c r="P29" s="1">
        <f>CEILING(Elf!$B10 / IF(Elf!$D10 &lt; 10.8, $Q$5, $Q$5 / (Elf!$D10 / 10.8)),1)</f>
        <v>16</v>
      </c>
      <c r="Q29" s="1">
        <f>CEILING(Beastgirl!$B10 / IF(Beastgirl!$D10&lt; 10.8, $Q$5, $Q$5 / (Beastgirl!$D10/ 10.8)),1)</f>
        <v>33</v>
      </c>
      <c r="R29" s="1">
        <f>CEILING(Warrior!$B10 / IF(Warrior!$D10&lt; 10.8, $Q$5, $Q$5 / (Warrior!$D10/ 10.8)),1)</f>
        <v>22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12</v>
      </c>
      <c r="AA29" s="1">
        <f>CEILING(Elf!$B10/ IF(Elf!$D10&lt; 10.8, $AB$5, $AB$5 / (Elf!$D10/ 10.8)),1)</f>
        <v>12</v>
      </c>
      <c r="AB29" s="1">
        <f>CEILING(Beastgirl!$B10 / IF(Beastgirl!$D10&lt; 10.8, $AB$5, $AB$5 / (Beastgirl!$D10 / 10.8)),1)</f>
        <v>25</v>
      </c>
      <c r="AC29" s="1">
        <f>CEILING(Warrior!$B10 / IF(Warrior!$D10&lt; 10.8, $AB$5, $AB$5 / (Warrior!$D10 / 10.8)),1)</f>
        <v>17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29</v>
      </c>
      <c r="E30" s="1">
        <f>CEILING(Elf!$B11 / IF(Elf!$D11&lt; 10.8, $F$5,$F$5 / (Elf!$D11 / 10.8)),1)</f>
        <v>28</v>
      </c>
      <c r="F30" s="1">
        <f>CEILING(Beastgirl!$B11 / IF(Beastgirl!$D11&lt; 10.8, $F$5, $F$5 / (Beastgirl!$D11 / 10.8)),1)</f>
        <v>57</v>
      </c>
      <c r="G30" s="1">
        <f>CEILING(Warrior!$B11 / IF(Warrior!$D11&lt; 10.8, $F$5, $F$5 / (Warrior!$D11 / 10.8)),1)</f>
        <v>38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19</v>
      </c>
      <c r="P30" s="1">
        <f>CEILING(Elf!$B11 / IF(Elf!$D11 &lt; 10.8, $Q$5, $Q$5 / (Elf!$D11 / 10.8)),1)</f>
        <v>19</v>
      </c>
      <c r="Q30" s="1">
        <f>CEILING(Beastgirl!$B11 / IF(Beastgirl!$D11&lt; 10.8, $Q$5, $Q$5 / (Beastgirl!$D11/ 10.8)),1)</f>
        <v>38</v>
      </c>
      <c r="R30" s="1">
        <f>CEILING(Warrior!$B11 / IF(Warrior!$D11&lt; 10.8, $Q$5, $Q$5 / (Warrior!$D11/ 10.8)),1)</f>
        <v>26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15</v>
      </c>
      <c r="AA30" s="1">
        <f>CEILING(Elf!$B11/ IF(Elf!$D11&lt; 10.8, $AB$5, $AB$5 / (Elf!$D11/ 10.8)),1)</f>
        <v>14</v>
      </c>
      <c r="AB30" s="1">
        <f>CEILING(Beastgirl!$B11 / IF(Beastgirl!$D11&lt; 10.8, $AB$5, $AB$5 / (Beastgirl!$D11 / 10.8)),1)</f>
        <v>29</v>
      </c>
      <c r="AC30" s="1">
        <f>CEILING(Warrior!$B11 / IF(Warrior!$D11&lt; 10.8, $AB$5, $AB$5 / (Warrior!$D11 / 10.8)),1)</f>
        <v>19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33</v>
      </c>
      <c r="E31" s="1">
        <f>CEILING(Elf!$B12 / IF(Elf!$D12&lt; 10.8, $F$5,$F$5 / (Elf!$D12 / 10.8)),1)</f>
        <v>33</v>
      </c>
      <c r="F31" s="1">
        <f>CEILING(Beastgirl!$B12 / IF(Beastgirl!$D12&lt; 10.8, $F$5, $F$5 / (Beastgirl!$D12 / 10.8)),1)</f>
        <v>66</v>
      </c>
      <c r="G31" s="1">
        <f>CEILING(Warrior!$B12 / IF(Warrior!$D12&lt; 10.8, $F$5, $F$5 / (Warrior!$D12 / 10.8)),1)</f>
        <v>44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22</v>
      </c>
      <c r="P31" s="1">
        <f>CEILING(Elf!$B12 / IF(Elf!$D12 &lt; 10.8, $Q$5, $Q$5 / (Elf!$D12 / 10.8)),1)</f>
        <v>22</v>
      </c>
      <c r="Q31" s="1">
        <f>CEILING(Beastgirl!$B12 / IF(Beastgirl!$D12&lt; 10.8, $Q$5, $Q$5 / (Beastgirl!$D12/ 10.8)),1)</f>
        <v>44</v>
      </c>
      <c r="R31" s="1">
        <f>CEILING(Warrior!$B12 / IF(Warrior!$D12&lt; 10.8, $Q$5, $Q$5 / (Warrior!$D12/ 10.8)),1)</f>
        <v>29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17</v>
      </c>
      <c r="AA31" s="1">
        <f>CEILING(Elf!$B12/ IF(Elf!$D12&lt; 10.8, $AB$5, $AB$5 / (Elf!$D12/ 10.8)),1)</f>
        <v>17</v>
      </c>
      <c r="AB31" s="1">
        <f>CEILING(Beastgirl!$B12 / IF(Beastgirl!$D12&lt; 10.8, $AB$5, $AB$5 / (Beastgirl!$D12 / 10.8)),1)</f>
        <v>33</v>
      </c>
      <c r="AC31" s="1">
        <f>CEILING(Warrior!$B12 / IF(Warrior!$D12&lt; 10.8, $AB$5, $AB$5 / (Warrior!$D12 / 10.8)),1)</f>
        <v>22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ht="24" thickBot="1" x14ac:dyDescent="0.35">
      <c r="A55" s="4"/>
      <c r="B55" s="4"/>
      <c r="C55" s="4"/>
      <c r="D55" s="4"/>
      <c r="E55" s="4"/>
      <c r="F55" s="4"/>
      <c r="G55" s="37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ht="15" thickTop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9">
    <mergeCell ref="A1:K1"/>
    <mergeCell ref="L1:V1"/>
    <mergeCell ref="W1:AF1"/>
    <mergeCell ref="C20:G20"/>
    <mergeCell ref="N20:R20"/>
    <mergeCell ref="Y20:AC20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F9C6-0E54-4646-AD83-427E0A288CE7}">
  <dimension ref="A1:AG64"/>
  <sheetViews>
    <sheetView zoomScale="50" zoomScaleNormal="50" workbookViewId="0">
      <selection activeCell="I26" sqref="I26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3320312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18</v>
      </c>
      <c r="C3" s="1"/>
      <c r="D3" s="1">
        <v>6</v>
      </c>
      <c r="E3" s="1">
        <v>8</v>
      </c>
      <c r="F3" s="1">
        <v>2</v>
      </c>
      <c r="G3" s="1">
        <v>4</v>
      </c>
      <c r="H3" s="1">
        <v>4</v>
      </c>
      <c r="I3" s="1">
        <v>4</v>
      </c>
      <c r="J3" s="1">
        <v>8</v>
      </c>
      <c r="K3" s="1"/>
      <c r="L3" s="4">
        <v>1</v>
      </c>
      <c r="M3" s="1">
        <f>Table596[[#This Row],[HP]] * 1.5</f>
        <v>27</v>
      </c>
      <c r="N3" s="1"/>
      <c r="O3" s="1">
        <f>Table596[[#This Row],[DEF]] * 1.5</f>
        <v>9</v>
      </c>
      <c r="P3" s="1">
        <f>Table596[[#This Row],[AGI]] * 1.5</f>
        <v>12</v>
      </c>
      <c r="Q3" s="1">
        <f>Table596[[#This Row],[STR]] * 1.5</f>
        <v>3</v>
      </c>
      <c r="R3" s="1">
        <f>Table596[[#This Row],[INT]] * 1.5</f>
        <v>6</v>
      </c>
      <c r="S3" s="1">
        <f xml:space="preserve"> Table596[[#This Row],[DEX]] * 1.5</f>
        <v>6</v>
      </c>
      <c r="T3" s="1">
        <f>Table596[[#This Row],[XP Given]]*1.25</f>
        <v>5</v>
      </c>
      <c r="U3" s="1"/>
      <c r="V3" s="1"/>
      <c r="W3" s="4">
        <v>1</v>
      </c>
      <c r="X3" s="1">
        <f>Table596[[#This Row],[HP]] * 2</f>
        <v>36</v>
      </c>
      <c r="Y3" s="1"/>
      <c r="Z3" s="1">
        <f>Table596[[#This Row],[DEF]] * 2</f>
        <v>12</v>
      </c>
      <c r="AA3" s="1">
        <f>Table596[[#This Row],[AGI]] * 2</f>
        <v>16</v>
      </c>
      <c r="AB3" s="1">
        <f>Table596[[#This Row],[STR]] * 2</f>
        <v>4</v>
      </c>
      <c r="AC3" s="1">
        <f>Table596[[#This Row],[INT]] * 2</f>
        <v>8</v>
      </c>
      <c r="AD3" s="1">
        <f xml:space="preserve"> Table596[[#This Row],[DEX]] * 2</f>
        <v>8</v>
      </c>
      <c r="AE3" s="1">
        <f>Table596[[#This Row],[XP Given]]*1.5</f>
        <v>6</v>
      </c>
      <c r="AF3" s="1"/>
    </row>
    <row r="4" spans="1:32" x14ac:dyDescent="0.3">
      <c r="A4" s="4">
        <v>6</v>
      </c>
      <c r="B4" s="1">
        <f>$B$3 + ((Table596[[#This Row],[LV]] / 10) + $B$3 / 8) * Table596[[#This Row],[LV]]</f>
        <v>35.1</v>
      </c>
      <c r="C4" s="1"/>
      <c r="D4" s="1">
        <f>$D$3 + ($D$3 / 4) * Table596[[#This Row],[LV]]</f>
        <v>15</v>
      </c>
      <c r="E4" s="1">
        <f>$E$3 + ($E$3 / 4) * Table596[[#This Row],[LV]]</f>
        <v>20</v>
      </c>
      <c r="F4" s="1">
        <f>$F$3 + ($F$3 / 4) * Table596[[#This Row],[LV]]</f>
        <v>5</v>
      </c>
      <c r="G4" s="1">
        <f>$G$3 + ($G$3 / 4) * Table596[[#This Row],[LV]]</f>
        <v>10</v>
      </c>
      <c r="H4" s="1">
        <f>$H$3 + ($H$3 / 4) * Table596[[#This Row],[LV]]</f>
        <v>10</v>
      </c>
      <c r="I4" s="1">
        <f>$I$3 + $I$3 * Table596[[#This Row],[LV]] *25 / 100</f>
        <v>10</v>
      </c>
      <c r="J4" s="1">
        <f>$J$3 + $J$3 * Table596[[#This Row],[LV]] * 25 / 100</f>
        <v>20</v>
      </c>
      <c r="K4" s="1"/>
      <c r="L4" s="4">
        <v>6</v>
      </c>
      <c r="M4" s="1">
        <f>$M$3 + ((Table5997[[#This Row],[LV]] / 10) + $M$3 / 8) * Table5997[[#This Row],[LV]]</f>
        <v>50.85</v>
      </c>
      <c r="N4" s="1"/>
      <c r="O4" s="1">
        <f>$O$3 + ($O$3 / 4) * Table5997[[#This Row],[LV]]</f>
        <v>22.5</v>
      </c>
      <c r="P4" s="1">
        <f>$P$3 + ($P$3 / 4) * Table5997[[#This Row],[LV]]</f>
        <v>30</v>
      </c>
      <c r="Q4" s="1">
        <f>$Q$3 + ($Q$3 / 4) * Table5997[[#This Row],[LV]]</f>
        <v>7.5</v>
      </c>
      <c r="R4" s="1">
        <f>$R$3 + ($R$3 / 4) * Table5997[[#This Row],[LV]]</f>
        <v>15</v>
      </c>
      <c r="S4" s="1">
        <f>$S$3 + ($S$3 / 4) * Table5997[[#This Row],[LV]]</f>
        <v>15</v>
      </c>
      <c r="T4" s="1">
        <f>Table596[[#This Row],[XP Given]]*1.25</f>
        <v>12.5</v>
      </c>
      <c r="U4" s="1">
        <f>Table596[[#This Row],[Gold Given]]*1.25</f>
        <v>25</v>
      </c>
      <c r="V4" s="1"/>
      <c r="W4" s="4">
        <v>6</v>
      </c>
      <c r="X4" s="1">
        <f>$X$3 + ((Table591098[[#This Row],[LV]] / 10) + $X$3 / 8) * Table591098[[#This Row],[LV]]</f>
        <v>66.599999999999994</v>
      </c>
      <c r="Y4" s="1"/>
      <c r="Z4" s="1">
        <f>$Z$3 + ($Z$3 / 4) * Table591098[[#This Row],[LV]]</f>
        <v>30</v>
      </c>
      <c r="AA4" s="1">
        <f>$AA$3 + ($AA$3 / 4) * Table591098[[#This Row],[LV]]</f>
        <v>40</v>
      </c>
      <c r="AB4" s="1">
        <f>$AB$3 + ($AB$3 / 4) * Table591098[[#This Row],[LV]]</f>
        <v>10</v>
      </c>
      <c r="AC4" s="1">
        <f>$AC$3 + ($AC$3 / 4) * Table591098[[#This Row],[LV]]</f>
        <v>20</v>
      </c>
      <c r="AD4" s="1">
        <f>$AD$3 + ($AD$3 / 4) * Table591098[[#This Row],[LV]]</f>
        <v>20</v>
      </c>
      <c r="AE4" s="1">
        <f>Table596[[#This Row],[XP Given]]*1.5</f>
        <v>15</v>
      </c>
      <c r="AF4" s="1">
        <f>Table596[[#This Row],[Gold Given]]*1.5</f>
        <v>30</v>
      </c>
    </row>
    <row r="5" spans="1:32" x14ac:dyDescent="0.3">
      <c r="A5" s="4">
        <v>7</v>
      </c>
      <c r="B5" s="1">
        <f>$B$3 + ((Table596[[#This Row],[LV]] / 10) + $B$3 / 8) * Table596[[#This Row],[LV]]</f>
        <v>38.650000000000006</v>
      </c>
      <c r="C5" s="1"/>
      <c r="D5" s="1">
        <f>$D$3 + ($D$3 / 4) * Table596[[#This Row],[LV]]</f>
        <v>16.5</v>
      </c>
      <c r="E5" s="1">
        <f>$E$3 + ($E$3 / 4) * Table596[[#This Row],[LV]]</f>
        <v>22</v>
      </c>
      <c r="F5" s="1">
        <f>$F$3 + ($F$3 / 4) * Table596[[#This Row],[LV]]</f>
        <v>5.5</v>
      </c>
      <c r="G5" s="1">
        <f>$G$3 + ($G$3 / 4) * Table596[[#This Row],[LV]]</f>
        <v>11</v>
      </c>
      <c r="H5" s="1">
        <f>$H$3 + ($H$3 / 4) * Table596[[#This Row],[LV]]</f>
        <v>11</v>
      </c>
      <c r="I5" s="1">
        <f>$I$3 + $I$3 * Table596[[#This Row],[LV]] *25 / 100</f>
        <v>11</v>
      </c>
      <c r="J5" s="1">
        <f>$J$3 + $J$3 * Table596[[#This Row],[LV]] * 25 / 100</f>
        <v>22</v>
      </c>
      <c r="K5" s="1"/>
      <c r="L5" s="4">
        <v>7</v>
      </c>
      <c r="M5" s="1">
        <f>$M$3 + ((Table5997[[#This Row],[LV]] / 10) + $M$3 / 8) * Table5997[[#This Row],[LV]]</f>
        <v>55.525000000000006</v>
      </c>
      <c r="N5" s="1"/>
      <c r="O5" s="1">
        <f>$O$3 + ($O$3 / 4) * Table5997[[#This Row],[LV]]</f>
        <v>24.75</v>
      </c>
      <c r="P5" s="1">
        <f>$P$3 + ($P$3 / 4) * Table5997[[#This Row],[LV]]</f>
        <v>33</v>
      </c>
      <c r="Q5" s="1">
        <f>$Q$3 + ($Q$3 / 4) * Table5997[[#This Row],[LV]]</f>
        <v>8.25</v>
      </c>
      <c r="R5" s="1">
        <f>$R$3 + ($R$3 / 4) * Table5997[[#This Row],[LV]]</f>
        <v>16.5</v>
      </c>
      <c r="S5" s="1">
        <f>$S$3 + ($S$3 / 4) * Table5997[[#This Row],[LV]]</f>
        <v>16.5</v>
      </c>
      <c r="T5" s="1">
        <f>Table596[[#This Row],[XP Given]]*1.25</f>
        <v>13.75</v>
      </c>
      <c r="U5" s="1">
        <f>Table596[[#This Row],[Gold Given]]*1.25</f>
        <v>27.5</v>
      </c>
      <c r="V5" s="1"/>
      <c r="W5" s="4">
        <v>7</v>
      </c>
      <c r="X5" s="1">
        <f>$X$3 + ((Table591098[[#This Row],[LV]] / 10) + $X$3 / 8) * Table591098[[#This Row],[LV]]</f>
        <v>72.400000000000006</v>
      </c>
      <c r="Y5" s="1"/>
      <c r="Z5" s="1">
        <f>$Z$3 + ($Z$3 / 4) * Table591098[[#This Row],[LV]]</f>
        <v>33</v>
      </c>
      <c r="AA5" s="1">
        <f>$AA$3 + ($AA$3 / 4) * Table591098[[#This Row],[LV]]</f>
        <v>44</v>
      </c>
      <c r="AB5" s="1">
        <f>$AB$3 + ($AB$3 / 4) * Table591098[[#This Row],[LV]]</f>
        <v>11</v>
      </c>
      <c r="AC5" s="1">
        <f>$AC$3 + ($AC$3 / 4) * Table591098[[#This Row],[LV]]</f>
        <v>22</v>
      </c>
      <c r="AD5" s="1">
        <f>$AD$3 + ($AD$3 / 4) * Table591098[[#This Row],[LV]]</f>
        <v>22</v>
      </c>
      <c r="AE5" s="1">
        <f>Table596[[#This Row],[XP Given]]*1.5</f>
        <v>16.5</v>
      </c>
      <c r="AF5" s="1">
        <f>Table596[[#This Row],[Gold Given]]*1.5</f>
        <v>33</v>
      </c>
    </row>
    <row r="6" spans="1:32" x14ac:dyDescent="0.3">
      <c r="A6" s="4">
        <v>8</v>
      </c>
      <c r="B6" s="1">
        <f>$B$3 + ((Table596[[#This Row],[LV]] / 10) + $B$3 / 8) * Table596[[#This Row],[LV]]</f>
        <v>42.4</v>
      </c>
      <c r="C6" s="1"/>
      <c r="D6" s="1">
        <f>$D$3 + ($D$3 / 4) * Table596[[#This Row],[LV]]</f>
        <v>18</v>
      </c>
      <c r="E6" s="1">
        <f>$E$3 + ($E$3 / 4) * Table596[[#This Row],[LV]]</f>
        <v>24</v>
      </c>
      <c r="F6" s="1">
        <f>$F$3 + ($F$3 / 4) * Table596[[#This Row],[LV]]</f>
        <v>6</v>
      </c>
      <c r="G6" s="1">
        <f>$G$3 + ($G$3 / 4) * Table596[[#This Row],[LV]]</f>
        <v>12</v>
      </c>
      <c r="H6" s="1">
        <f>$H$3 + ($H$3 / 4) * Table596[[#This Row],[LV]]</f>
        <v>12</v>
      </c>
      <c r="I6" s="1">
        <f>$I$3 + $I$3 * Table596[[#This Row],[LV]] *25 / 100</f>
        <v>12</v>
      </c>
      <c r="J6" s="1">
        <f>$J$3 + $J$3 * Table596[[#This Row],[LV]] * 25 / 100</f>
        <v>24</v>
      </c>
      <c r="K6" s="1"/>
      <c r="L6" s="4">
        <v>8</v>
      </c>
      <c r="M6" s="1">
        <f>$M$3 + ((Table5997[[#This Row],[LV]] / 10) + $M$3 / 8) * Table5997[[#This Row],[LV]]</f>
        <v>60.4</v>
      </c>
      <c r="N6" s="1"/>
      <c r="O6" s="1">
        <f>$O$3 + ($O$3 / 4) * Table5997[[#This Row],[LV]]</f>
        <v>27</v>
      </c>
      <c r="P6" s="1">
        <f>$P$3 + ($P$3 / 4) * Table5997[[#This Row],[LV]]</f>
        <v>36</v>
      </c>
      <c r="Q6" s="1">
        <f>$Q$3 + ($Q$3 / 4) * Table5997[[#This Row],[LV]]</f>
        <v>9</v>
      </c>
      <c r="R6" s="1">
        <f>$R$3 + ($R$3 / 4) * Table5997[[#This Row],[LV]]</f>
        <v>18</v>
      </c>
      <c r="S6" s="1">
        <f>$S$3 + ($S$3 / 4) * Table5997[[#This Row],[LV]]</f>
        <v>18</v>
      </c>
      <c r="T6" s="1">
        <f>Table596[[#This Row],[XP Given]]*1.25</f>
        <v>15</v>
      </c>
      <c r="U6" s="1">
        <f>Table596[[#This Row],[Gold Given]]*1.25</f>
        <v>30</v>
      </c>
      <c r="V6" s="1"/>
      <c r="W6" s="4">
        <v>8</v>
      </c>
      <c r="X6" s="1">
        <f>$X$3 + ((Table591098[[#This Row],[LV]] / 10) + $X$3 / 8) * Table591098[[#This Row],[LV]]</f>
        <v>78.400000000000006</v>
      </c>
      <c r="Y6" s="1"/>
      <c r="Z6" s="1">
        <f>$Z$3 + ($Z$3 / 4) * Table591098[[#This Row],[LV]]</f>
        <v>36</v>
      </c>
      <c r="AA6" s="1">
        <f>$AA$3 + ($AA$3 / 4) * Table591098[[#This Row],[LV]]</f>
        <v>48</v>
      </c>
      <c r="AB6" s="1">
        <f>$AB$3 + ($AB$3 / 4) * Table591098[[#This Row],[LV]]</f>
        <v>12</v>
      </c>
      <c r="AC6" s="1">
        <f>$AC$3 + ($AC$3 / 4) * Table591098[[#This Row],[LV]]</f>
        <v>24</v>
      </c>
      <c r="AD6" s="1">
        <f>$AD$3 + ($AD$3 / 4) * Table591098[[#This Row],[LV]]</f>
        <v>24</v>
      </c>
      <c r="AE6" s="1">
        <f>Table596[[#This Row],[XP Given]]*1.5</f>
        <v>18</v>
      </c>
      <c r="AF6" s="1">
        <f>Table596[[#This Row],[Gold Given]]*1.5</f>
        <v>36</v>
      </c>
    </row>
    <row r="8" spans="1:32" ht="25.8" x14ac:dyDescent="0.3">
      <c r="C8" s="53" t="s">
        <v>39</v>
      </c>
      <c r="D8" s="53"/>
      <c r="E8" s="53"/>
      <c r="F8" s="53"/>
      <c r="G8" s="53"/>
      <c r="H8" s="7"/>
      <c r="N8" s="53" t="s">
        <v>39</v>
      </c>
      <c r="O8" s="53"/>
      <c r="P8" s="53"/>
      <c r="Q8" s="53"/>
      <c r="R8" s="53"/>
      <c r="S8" s="7"/>
      <c r="T8" s="7"/>
      <c r="U8" s="7"/>
      <c r="V8" s="7"/>
      <c r="Y8" s="53" t="s">
        <v>39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1</v>
      </c>
      <c r="D10" s="1">
        <f>CEILING(Demon!$B3 / IF(Demon!$D3&lt; 10.8, $F$4, $F$4 / (Demon!$D3 / 10.8)),1)</f>
        <v>2</v>
      </c>
      <c r="E10" s="1">
        <f>CEILING(Elf!$B3 / IF(Elf!$D3 &lt; 10.8, $F$4, $F$4 / (Elf!$D3/ 10.8)),1)</f>
        <v>2</v>
      </c>
      <c r="F10" s="1">
        <f>CEILING(Beastgirl!$B3/ IF(Beastgirl!$D3&lt; 10.8,$F$4, $F$4 / (Beastgirl!$D3 / 10.8)),1)</f>
        <v>3</v>
      </c>
      <c r="G10" s="1">
        <f>CEILING(Warrior!$B3/ IF(Warrior!$D3&lt; 10.8, $F$4, $F$4 / (Warrior!$D3 / 10.8)),1)</f>
        <v>3</v>
      </c>
      <c r="N10" s="1">
        <v>1</v>
      </c>
      <c r="O10" s="1">
        <f>CEILING(Demon!$B3 / IF(Demon!$D3&lt; 10.8, $Q$4, $Q$4 / (Demon!$D3 / 10.8)),1)</f>
        <v>2</v>
      </c>
      <c r="P10" s="1">
        <f>CEILING(Elf!$B3 / IF(Elf!$D3 &lt; 10.8, $Q$4, $Q$4 / (Elf!$D3 / 10.8)),1)</f>
        <v>2</v>
      </c>
      <c r="Q10" s="1">
        <f>CEILING(Beastgirl!$B3 / IF(Beastgirl!$D3&lt; 10.8, $Q$4, $Q$4 / (Beastgirl!$D3 / 10.8)),1)</f>
        <v>2</v>
      </c>
      <c r="R10" s="1">
        <f>CEILING(Warrior!$B3 / IF(Warrior!$D3&lt; 10.8, $Q$4, $Q$4 / (Warrior!$D3 / 10.8)),1)</f>
        <v>2</v>
      </c>
      <c r="Y10" s="1">
        <v>1</v>
      </c>
      <c r="Z10" s="1">
        <f>CEILING(Demon!$B3 / IF(Demon!$D3&lt; 10.8, $AB$4, $AB$4 / (Demon!$D3 / 10.8)),1)</f>
        <v>1</v>
      </c>
      <c r="AA10" s="1">
        <f>CEILING(Elf!$B3 / IF(Elf!$D3&lt; 10.8, $AB$4, $AB$4 / (Elf!$D3 / 10.8)),1)</f>
        <v>1</v>
      </c>
      <c r="AB10" s="1">
        <f>CEILING(Beastgirl!$B3 / IF(Beastgirl!$D3&lt; 10.8, $AB$4, $AB$4 / (Beastgirl!$D3 / 10.8)),1)</f>
        <v>2</v>
      </c>
      <c r="AC10" s="1">
        <f>CEILING(Warrior!$B3 / IF(Warrior!$D3&lt; 10.8, $AB$4, $AB$4 / (Warrior!$D3 / 10.8)),1)</f>
        <v>2</v>
      </c>
    </row>
    <row r="11" spans="1:32" s="1" customFormat="1" x14ac:dyDescent="0.3">
      <c r="C11" s="1">
        <v>2</v>
      </c>
      <c r="D11" s="1">
        <f>CEILING(Demon!$B4 / IF(Demon!$D4&lt; 10.8, $F$4, $F$4 / (Demon!$D4 / 10.8)),1)</f>
        <v>3</v>
      </c>
      <c r="E11" s="1">
        <f>CEILING(Elf!$B4 / IF(Elf!$D4 &lt; 10.8, $F$4, $F$4 / (Elf!$D4/ 10.8)),1)</f>
        <v>3</v>
      </c>
      <c r="F11" s="1">
        <f>CEILING(Beastgirl!$B4/ IF(Beastgirl!$D4&lt; 10.8,$F$4, $F$4 / (Beastgirl!$D4 / 10.8)),1)</f>
        <v>4</v>
      </c>
      <c r="G11" s="1">
        <f>CEILING(Warrior!$B4/ IF(Warrior!$D4&lt; 10.8, $F$4, $F$4 / (Warrior!$D4 / 10.8)),1)</f>
        <v>4</v>
      </c>
      <c r="N11" s="1">
        <v>2</v>
      </c>
      <c r="O11" s="1">
        <f>CEILING(Demon!$B4 / IF(Demon!$D4&lt; 10.8, $Q$4, $Q$4 / (Demon!$D4 / 10.8)),1)</f>
        <v>2</v>
      </c>
      <c r="P11" s="1">
        <f>CEILING(Elf!$B4 / IF(Elf!$D4 &lt; 10.8, $Q$4, $Q$4 / (Elf!$D4 / 10.8)),1)</f>
        <v>2</v>
      </c>
      <c r="Q11" s="1">
        <f>CEILING(Beastgirl!$B4 / IF(Beastgirl!$D4&lt; 10.8, $Q$4, $Q$4 / (Beastgirl!$D4 / 10.8)),1)</f>
        <v>3</v>
      </c>
      <c r="R11" s="1">
        <f>CEILING(Warrior!$B4 / IF(Warrior!$D4&lt; 10.8, $Q$4, $Q$4 / (Warrior!$D4 / 10.8)),1)</f>
        <v>3</v>
      </c>
      <c r="Y11" s="1">
        <v>2</v>
      </c>
      <c r="Z11" s="1">
        <f>CEILING(Demon!$B4 / IF(Demon!$D4&lt; 10.8, $AB$4, $AB$4 / (Demon!$D4 / 10.8)),1)</f>
        <v>2</v>
      </c>
      <c r="AA11" s="1">
        <f>CEILING(Elf!$B4 / IF(Elf!$D4&lt; 10.8, $AB$4, $AB$4 / (Elf!$D4 / 10.8)),1)</f>
        <v>2</v>
      </c>
      <c r="AB11" s="1">
        <f>CEILING(Beastgirl!$B4 / IF(Beastgirl!$D4&lt; 10.8, $AB$4, $AB$4 / (Beastgirl!$D4 / 10.8)),1)</f>
        <v>2</v>
      </c>
      <c r="AC11" s="1">
        <f>CEILING(Warrior!$B4 / IF(Warrior!$D4&lt; 10.8, $AB$4, $AB$4 / (Warrior!$D4 / 10.8)),1)</f>
        <v>2</v>
      </c>
    </row>
    <row r="12" spans="1:32" s="1" customFormat="1" x14ac:dyDescent="0.3">
      <c r="C12" s="1">
        <v>3</v>
      </c>
      <c r="D12" s="1">
        <f>CEILING(Demon!$B5 / IF(Demon!$D5&lt; 10.8, $F$4, $F$4 / (Demon!$D5 / 10.8)),1)</f>
        <v>3</v>
      </c>
      <c r="E12" s="1">
        <f>CEILING(Elf!$B5 / IF(Elf!$D5 &lt; 10.8, $F$4, $F$4 / (Elf!$D5/ 10.8)),1)</f>
        <v>3</v>
      </c>
      <c r="F12" s="1">
        <f>CEILING(Beastgirl!$B5/ IF(Beastgirl!$D5&lt; 10.8,$F$4, $F$4 / (Beastgirl!$D5 / 10.8)),1)</f>
        <v>6</v>
      </c>
      <c r="G12" s="1">
        <f>CEILING(Warrior!$B5/ IF(Warrior!$D5&lt; 10.8, $F$4, $F$4 / (Warrior!$D5 / 10.8)),1)</f>
        <v>4</v>
      </c>
      <c r="N12" s="1">
        <v>3</v>
      </c>
      <c r="O12" s="1">
        <f>CEILING(Demon!$B5 / IF(Demon!$D5&lt; 10.8, $Q$4, $Q$4 / (Demon!$D5 / 10.8)),1)</f>
        <v>2</v>
      </c>
      <c r="P12" s="1">
        <f>CEILING(Elf!$B5 / IF(Elf!$D5 &lt; 10.8, $Q$4, $Q$4 / (Elf!$D5 / 10.8)),1)</f>
        <v>2</v>
      </c>
      <c r="Q12" s="1">
        <f>CEILING(Beastgirl!$B5 / IF(Beastgirl!$D5&lt; 10.8, $Q$4, $Q$4 / (Beastgirl!$D5 / 10.8)),1)</f>
        <v>4</v>
      </c>
      <c r="R12" s="1">
        <f>CEILING(Warrior!$B5 / IF(Warrior!$D5&lt; 10.8, $Q$4, $Q$4 / (Warrior!$D5 / 10.8)),1)</f>
        <v>3</v>
      </c>
      <c r="Y12" s="1">
        <v>3</v>
      </c>
      <c r="Z12" s="1">
        <f>CEILING(Demon!$B5 / IF(Demon!$D5&lt; 10.8, $AB$4, $AB$4 / (Demon!$D5 / 10.8)),1)</f>
        <v>2</v>
      </c>
      <c r="AA12" s="1">
        <f>CEILING(Elf!$B5 / IF(Elf!$D5&lt; 10.8, $AB$4, $AB$4 / (Elf!$D5 / 10.8)),1)</f>
        <v>2</v>
      </c>
      <c r="AB12" s="1">
        <f>CEILING(Beastgirl!$B5 / IF(Beastgirl!$D5&lt; 10.8, $AB$4, $AB$4 / (Beastgirl!$D5 / 10.8)),1)</f>
        <v>3</v>
      </c>
      <c r="AC12" s="1">
        <f>CEILING(Warrior!$B5 / IF(Warrior!$D5&lt; 10.8, $AB$4, $AB$4 / (Warrior!$D5 / 10.8)),1)</f>
        <v>2</v>
      </c>
    </row>
    <row r="13" spans="1:32" s="1" customFormat="1" x14ac:dyDescent="0.3">
      <c r="C13" s="1">
        <v>4</v>
      </c>
      <c r="D13" s="1">
        <f>CEILING(Demon!$B6 / IF(Demon!$D6&lt; 10.8, $F$4, $F$4 / (Demon!$D6 / 10.8)),1)</f>
        <v>4</v>
      </c>
      <c r="E13" s="1">
        <f>CEILING(Elf!$B6 / IF(Elf!$D6 &lt; 10.8, $F$4, $F$4 / (Elf!$D6/ 10.8)),1)</f>
        <v>4</v>
      </c>
      <c r="F13" s="1">
        <f>CEILING(Beastgirl!$B6/ IF(Beastgirl!$D6&lt; 10.8,$F$4, $F$4 / (Beastgirl!$D6 / 10.8)),1)</f>
        <v>7</v>
      </c>
      <c r="G13" s="1">
        <f>CEILING(Warrior!$B6/ IF(Warrior!$D6&lt; 10.8, $F$4, $F$4 / (Warrior!$D6 / 10.8)),1)</f>
        <v>5</v>
      </c>
      <c r="N13" s="1">
        <v>4</v>
      </c>
      <c r="O13" s="1">
        <f>CEILING(Demon!$B6 / IF(Demon!$D6&lt; 10.8, $Q$4, $Q$4 / (Demon!$D6 / 10.8)),1)</f>
        <v>3</v>
      </c>
      <c r="P13" s="1">
        <f>CEILING(Elf!$B6 / IF(Elf!$D6 &lt; 10.8, $Q$4, $Q$4 / (Elf!$D6 / 10.8)),1)</f>
        <v>3</v>
      </c>
      <c r="Q13" s="1">
        <f>CEILING(Beastgirl!$B6 / IF(Beastgirl!$D6&lt; 10.8, $Q$4, $Q$4 / (Beastgirl!$D6 / 10.8)),1)</f>
        <v>5</v>
      </c>
      <c r="R13" s="1">
        <f>CEILING(Warrior!$B6 / IF(Warrior!$D6&lt; 10.8, $Q$4, $Q$4 / (Warrior!$D6 / 10.8)),1)</f>
        <v>3</v>
      </c>
      <c r="Y13" s="1">
        <v>4</v>
      </c>
      <c r="Z13" s="1">
        <f>CEILING(Demon!$B6 / IF(Demon!$D6&lt; 10.8, $AB$4, $AB$4 / (Demon!$D6 / 10.8)),1)</f>
        <v>2</v>
      </c>
      <c r="AA13" s="1">
        <f>CEILING(Elf!$B6 / IF(Elf!$D6&lt; 10.8, $AB$4, $AB$4 / (Elf!$D6 / 10.8)),1)</f>
        <v>2</v>
      </c>
      <c r="AB13" s="1">
        <f>CEILING(Beastgirl!$B6 / IF(Beastgirl!$D6&lt; 10.8, $AB$4, $AB$4 / (Beastgirl!$D6 / 10.8)),1)</f>
        <v>4</v>
      </c>
      <c r="AC13" s="1">
        <f>CEILING(Warrior!$B6 / IF(Warrior!$D6&lt; 10.8, $AB$4, $AB$4 / (Warrior!$D6 / 10.8)),1)</f>
        <v>3</v>
      </c>
    </row>
    <row r="14" spans="1:32" s="1" customFormat="1" x14ac:dyDescent="0.3">
      <c r="C14" s="1">
        <v>5</v>
      </c>
      <c r="D14" s="1">
        <f>CEILING(Demon!$B7 / IF(Demon!$D7&lt; 10.8, $F$4, $F$4 / (Demon!$D7 / 10.8)),1)</f>
        <v>7</v>
      </c>
      <c r="E14" s="1">
        <f>CEILING(Elf!$B7 / IF(Elf!$D7 &lt; 10.8, $F$4, $F$4 / (Elf!$D7/ 10.8)),1)</f>
        <v>7</v>
      </c>
      <c r="F14" s="1">
        <f>CEILING(Beastgirl!$B7/ IF(Beastgirl!$D7&lt; 10.8,$F$4, $F$4 / (Beastgirl!$D7 / 10.8)),1)</f>
        <v>14</v>
      </c>
      <c r="G14" s="1">
        <f>CEILING(Warrior!$B7/ IF(Warrior!$D7&lt; 10.8, $F$4, $F$4 / (Warrior!$D7 / 10.8)),1)</f>
        <v>9</v>
      </c>
      <c r="N14" s="1">
        <v>5</v>
      </c>
      <c r="O14" s="1">
        <f>CEILING(Demon!$B7 / IF(Demon!$D7&lt; 10.8, $Q$4, $Q$4 / (Demon!$D7 / 10.8)),1)</f>
        <v>5</v>
      </c>
      <c r="P14" s="1">
        <f>CEILING(Elf!$B7 / IF(Elf!$D7 &lt; 10.8, $Q$4, $Q$4 / (Elf!$D7 / 10.8)),1)</f>
        <v>5</v>
      </c>
      <c r="Q14" s="1">
        <f>CEILING(Beastgirl!$B7 / IF(Beastgirl!$D7&lt; 10.8, $Q$4, $Q$4 / (Beastgirl!$D7 / 10.8)),1)</f>
        <v>10</v>
      </c>
      <c r="R14" s="1">
        <f>CEILING(Warrior!$B7 / IF(Warrior!$D7&lt; 10.8, $Q$4, $Q$4 / (Warrior!$D7 / 10.8)),1)</f>
        <v>6</v>
      </c>
      <c r="Y14" s="1">
        <v>5</v>
      </c>
      <c r="Z14" s="1">
        <f>CEILING(Demon!$B7 / IF(Demon!$D7&lt; 10.8, $AB$4, $AB$4 / (Demon!$D7 / 10.8)),1)</f>
        <v>4</v>
      </c>
      <c r="AA14" s="1">
        <f>CEILING(Elf!$B7 / IF(Elf!$D7&lt; 10.8, $AB$4, $AB$4 / (Elf!$D7 / 10.8)),1)</f>
        <v>4</v>
      </c>
      <c r="AB14" s="1">
        <f>CEILING(Beastgirl!$B7 / IF(Beastgirl!$D7&lt; 10.8, $AB$4, $AB$4 / (Beastgirl!$D7 / 10.8)),1)</f>
        <v>7</v>
      </c>
      <c r="AC14" s="1">
        <f>CEILING(Warrior!$B7 / IF(Warrior!$D7&lt; 10.8, $AB$4, $AB$4 / (Warrior!$D7 / 10.8)),1)</f>
        <v>5</v>
      </c>
    </row>
    <row r="15" spans="1:32" s="1" customFormat="1" x14ac:dyDescent="0.3">
      <c r="C15" s="1">
        <v>6</v>
      </c>
      <c r="D15" s="1">
        <f>CEILING(Demon!$B8 / IF(Demon!$D8&lt; 10.8, $F$4, $F$4 / (Demon!$D8 / 10.8)),1)</f>
        <v>8</v>
      </c>
      <c r="E15" s="1">
        <f>CEILING(Elf!$B8 / IF(Elf!$D8 &lt; 10.8, $F$4, $F$4 / (Elf!$D8/ 10.8)),1)</f>
        <v>8</v>
      </c>
      <c r="F15" s="1">
        <f>CEILING(Beastgirl!$B8/ IF(Beastgirl!$D8&lt; 10.8,$F$4, $F$4 / (Beastgirl!$D8 / 10.8)),1)</f>
        <v>17</v>
      </c>
      <c r="G15" s="1">
        <f>CEILING(Warrior!$B8/ IF(Warrior!$D8&lt; 10.8, $F$4, $F$4 / (Warrior!$D8 / 10.8)),1)</f>
        <v>11</v>
      </c>
      <c r="N15" s="1">
        <v>6</v>
      </c>
      <c r="O15" s="1">
        <f>CEILING(Demon!$B8 / IF(Demon!$D8&lt; 10.8, $Q$4, $Q$4 / (Demon!$D8 / 10.8)),1)</f>
        <v>6</v>
      </c>
      <c r="P15" s="1">
        <f>CEILING(Elf!$B8 / IF(Elf!$D8 &lt; 10.8, $Q$4, $Q$4 / (Elf!$D8 / 10.8)),1)</f>
        <v>6</v>
      </c>
      <c r="Q15" s="1">
        <f>CEILING(Beastgirl!$B8 / IF(Beastgirl!$D8&lt; 10.8, $Q$4, $Q$4 / (Beastgirl!$D8 / 10.8)),1)</f>
        <v>11</v>
      </c>
      <c r="R15" s="1">
        <f>CEILING(Warrior!$B8 / IF(Warrior!$D8&lt; 10.8, $Q$4, $Q$4 / (Warrior!$D8 / 10.8)),1)</f>
        <v>8</v>
      </c>
      <c r="Y15" s="1">
        <v>6</v>
      </c>
      <c r="Z15" s="1">
        <f>CEILING(Demon!$B8 / IF(Demon!$D8&lt; 10.8, $AB$4, $AB$4 / (Demon!$D8 / 10.8)),1)</f>
        <v>4</v>
      </c>
      <c r="AA15" s="1">
        <f>CEILING(Elf!$B8 / IF(Elf!$D8&lt; 10.8, $AB$4, $AB$4 / (Elf!$D8 / 10.8)),1)</f>
        <v>4</v>
      </c>
      <c r="AB15" s="1">
        <f>CEILING(Beastgirl!$B8 / IF(Beastgirl!$D8&lt; 10.8, $AB$4, $AB$4 / (Beastgirl!$D8 / 10.8)),1)</f>
        <v>9</v>
      </c>
      <c r="AC15" s="1">
        <f>CEILING(Warrior!$B8 / IF(Warrior!$D8&lt; 10.8, $AB$4, $AB$4 / (Warrior!$D8 / 10.8)),1)</f>
        <v>6</v>
      </c>
    </row>
    <row r="16" spans="1:32" s="1" customFormat="1" x14ac:dyDescent="0.3">
      <c r="C16" s="1">
        <v>7</v>
      </c>
      <c r="D16" s="1">
        <f>CEILING(Demon!$B9 / IF(Demon!$D9&lt; 10.8, $F$4, $F$4 / (Demon!$D9 / 10.8)),1)</f>
        <v>10</v>
      </c>
      <c r="E16" s="1">
        <f>CEILING(Elf!$B9 / IF(Elf!$D9 &lt; 10.8, $F$4, $F$4 / (Elf!$D9/ 10.8)),1)</f>
        <v>9</v>
      </c>
      <c r="F16" s="1">
        <f>CEILING(Beastgirl!$B9/ IF(Beastgirl!$D9&lt; 10.8,$F$4, $F$4 / (Beastgirl!$D9 / 10.8)),1)</f>
        <v>19</v>
      </c>
      <c r="G16" s="1">
        <f>CEILING(Warrior!$B9/ IF(Warrior!$D9&lt; 10.8, $F$4, $F$4 / (Warrior!$D9 / 10.8)),1)</f>
        <v>13</v>
      </c>
      <c r="N16" s="1">
        <v>7</v>
      </c>
      <c r="O16" s="1">
        <f>CEILING(Demon!$B9 / IF(Demon!$D9&lt; 10.8, $Q$4, $Q$4 / (Demon!$D9 / 10.8)),1)</f>
        <v>7</v>
      </c>
      <c r="P16" s="1">
        <f>CEILING(Elf!$B9 / IF(Elf!$D9 &lt; 10.8, $Q$4, $Q$4 / (Elf!$D9 / 10.8)),1)</f>
        <v>6</v>
      </c>
      <c r="Q16" s="1">
        <f>CEILING(Beastgirl!$B9 / IF(Beastgirl!$D9&lt; 10.8, $Q$4, $Q$4 / (Beastgirl!$D9 / 10.8)),1)</f>
        <v>13</v>
      </c>
      <c r="R16" s="1">
        <f>CEILING(Warrior!$B9 / IF(Warrior!$D9&lt; 10.8, $Q$4, $Q$4 / (Warrior!$D9 / 10.8)),1)</f>
        <v>9</v>
      </c>
      <c r="Y16" s="1">
        <v>7</v>
      </c>
      <c r="Z16" s="1">
        <f>CEILING(Demon!$B9 / IF(Demon!$D9&lt; 10.8, $AB$4, $AB$4 / (Demon!$D9 / 10.8)),1)</f>
        <v>5</v>
      </c>
      <c r="AA16" s="1">
        <f>CEILING(Elf!$B9 / IF(Elf!$D9&lt; 10.8, $AB$4, $AB$4 / (Elf!$D9 / 10.8)),1)</f>
        <v>5</v>
      </c>
      <c r="AB16" s="1">
        <f>CEILING(Beastgirl!$B9 / IF(Beastgirl!$D9&lt; 10.8, $AB$4, $AB$4 / (Beastgirl!$D9 / 10.8)),1)</f>
        <v>10</v>
      </c>
      <c r="AC16" s="1">
        <f>CEILING(Warrior!$B9 / IF(Warrior!$D9&lt; 10.8, $AB$4, $AB$4 / (Warrior!$D9 / 10.8)),1)</f>
        <v>7</v>
      </c>
    </row>
    <row r="17" spans="3:33" s="1" customFormat="1" x14ac:dyDescent="0.3">
      <c r="C17" s="1">
        <v>8</v>
      </c>
      <c r="D17" s="1">
        <f>CEILING(Demon!$B10 / IF(Demon!$D10&lt; 10.8, $F$4, $F$4 / (Demon!$D10 / 10.8)),1)</f>
        <v>11</v>
      </c>
      <c r="E17" s="1">
        <f>CEILING(Elf!$B10 / IF(Elf!$D10 &lt; 10.8, $F$4, $F$4 / (Elf!$D10/ 10.8)),1)</f>
        <v>11</v>
      </c>
      <c r="F17" s="1">
        <f>CEILING(Beastgirl!$B10/ IF(Beastgirl!$D10&lt; 10.8,$F$4, $F$4 / (Beastgirl!$D10 / 10.8)),1)</f>
        <v>22</v>
      </c>
      <c r="G17" s="1">
        <f>CEILING(Warrior!$B10/ IF(Warrior!$D10&lt; 10.8, $F$4, $F$4 / (Warrior!$D10 / 10.8)),1)</f>
        <v>15</v>
      </c>
      <c r="N17" s="1">
        <v>8</v>
      </c>
      <c r="O17" s="1">
        <f>CEILING(Demon!$B10 / IF(Demon!$D10&lt; 10.8, $Q$4, $Q$4 / (Demon!$D10 / 10.8)),1)</f>
        <v>8</v>
      </c>
      <c r="P17" s="1">
        <f>CEILING(Elf!$B10 / IF(Elf!$D10 &lt; 10.8, $Q$4, $Q$4 / (Elf!$D10 / 10.8)),1)</f>
        <v>8</v>
      </c>
      <c r="Q17" s="1">
        <f>CEILING(Beastgirl!$B10 / IF(Beastgirl!$D10&lt; 10.8, $Q$4, $Q$4 / (Beastgirl!$D10 / 10.8)),1)</f>
        <v>15</v>
      </c>
      <c r="R17" s="1">
        <f>CEILING(Warrior!$B10 / IF(Warrior!$D10&lt; 10.8, $Q$4, $Q$4 / (Warrior!$D10 / 10.8)),1)</f>
        <v>10</v>
      </c>
      <c r="Y17" s="1">
        <v>8</v>
      </c>
      <c r="Z17" s="1">
        <f>CEILING(Demon!$B10 / IF(Demon!$D10&lt; 10.8, $AB$4, $AB$4 / (Demon!$D10 / 10.8)),1)</f>
        <v>6</v>
      </c>
      <c r="AA17" s="1">
        <f>CEILING(Elf!$B10 / IF(Elf!$D10&lt; 10.8, $AB$4, $AB$4 / (Elf!$D10 / 10.8)),1)</f>
        <v>6</v>
      </c>
      <c r="AB17" s="1">
        <f>CEILING(Beastgirl!$B10 / IF(Beastgirl!$D10&lt; 10.8, $AB$4, $AB$4 / (Beastgirl!$D10 / 10.8)),1)</f>
        <v>11</v>
      </c>
      <c r="AC17" s="1">
        <f>CEILING(Warrior!$B10 / IF(Warrior!$D10&lt; 10.8, $AB$4, $AB$4 / (Warrior!$D10 / 10.8)),1)</f>
        <v>8</v>
      </c>
    </row>
    <row r="18" spans="3:33" s="1" customFormat="1" x14ac:dyDescent="0.3">
      <c r="C18" s="1">
        <v>9</v>
      </c>
      <c r="D18" s="1">
        <f>CEILING(Demon!$B11 / IF(Demon!$D11&lt; 10.8, $F$4, $F$4 / (Demon!$D11 / 10.8)),1)</f>
        <v>13</v>
      </c>
      <c r="E18" s="1">
        <f>CEILING(Elf!$B11 / IF(Elf!$D11 &lt; 10.8, $F$4, $F$4 / (Elf!$D11/ 10.8)),1)</f>
        <v>13</v>
      </c>
      <c r="F18" s="1">
        <f>CEILING(Beastgirl!$B11/ IF(Beastgirl!$D11&lt; 10.8,$F$4, $F$4 / (Beastgirl!$D11 / 10.8)),1)</f>
        <v>26</v>
      </c>
      <c r="G18" s="1">
        <f>CEILING(Warrior!$B11/ IF(Warrior!$D11&lt; 10.8, $F$4, $F$4 / (Warrior!$D11 / 10.8)),1)</f>
        <v>17</v>
      </c>
      <c r="N18" s="1">
        <v>9</v>
      </c>
      <c r="O18" s="1">
        <f>CEILING(Demon!$B11 / IF(Demon!$D11&lt; 10.8, $Q$4, $Q$4 / (Demon!$D11 / 10.8)),1)</f>
        <v>9</v>
      </c>
      <c r="P18" s="1">
        <f>CEILING(Elf!$B11 / IF(Elf!$D11 &lt; 10.8, $Q$4, $Q$4 / (Elf!$D11 / 10.8)),1)</f>
        <v>9</v>
      </c>
      <c r="Q18" s="1">
        <f>CEILING(Beastgirl!$B11 / IF(Beastgirl!$D11&lt; 10.8, $Q$4, $Q$4 / (Beastgirl!$D11 / 10.8)),1)</f>
        <v>17</v>
      </c>
      <c r="R18" s="1">
        <f>CEILING(Warrior!$B11 / IF(Warrior!$D11&lt; 10.8, $Q$4, $Q$4 / (Warrior!$D11 / 10.8)),1)</f>
        <v>12</v>
      </c>
      <c r="Y18" s="1">
        <v>9</v>
      </c>
      <c r="Z18" s="1">
        <f>CEILING(Demon!$B11 / IF(Demon!$D11&lt; 10.8, $AB$4, $AB$4 / (Demon!$D11 / 10.8)),1)</f>
        <v>7</v>
      </c>
      <c r="AA18" s="1">
        <f>CEILING(Elf!$B11 / IF(Elf!$D11&lt; 10.8, $AB$4, $AB$4 / (Elf!$D11 / 10.8)),1)</f>
        <v>7</v>
      </c>
      <c r="AB18" s="1">
        <f>CEILING(Beastgirl!$B11 / IF(Beastgirl!$D11&lt; 10.8, $AB$4, $AB$4 / (Beastgirl!$D11 / 10.8)),1)</f>
        <v>13</v>
      </c>
      <c r="AC18" s="1">
        <f>CEILING(Warrior!$B11 / IF(Warrior!$D11&lt; 10.8, $AB$4, $AB$4 / (Warrior!$D11 / 10.8)),1)</f>
        <v>9</v>
      </c>
    </row>
    <row r="19" spans="3:33" s="1" customFormat="1" x14ac:dyDescent="0.3">
      <c r="C19" s="1">
        <v>10</v>
      </c>
      <c r="D19" s="1">
        <f>CEILING(Demon!$B12 / IF(Demon!$D12&lt; 10.8, $F$4, $F$4 / (Demon!$D12 / 10.8)),1)</f>
        <v>15</v>
      </c>
      <c r="E19" s="1">
        <f>CEILING(Elf!$B12 / IF(Elf!$D12 &lt; 10.8, $F$4, $F$4 / (Elf!$D12/ 10.8)),1)</f>
        <v>15</v>
      </c>
      <c r="F19" s="1">
        <f>CEILING(Beastgirl!$B12/ IF(Beastgirl!$D12&lt; 10.8,$F$4, $F$4 / (Beastgirl!$D12 / 10.8)),1)</f>
        <v>30</v>
      </c>
      <c r="G19" s="1">
        <f>CEILING(Warrior!$B12/ IF(Warrior!$D12&lt; 10.8, $F$4, $F$4 / (Warrior!$D12 / 10.8)),1)</f>
        <v>20</v>
      </c>
      <c r="N19" s="1">
        <v>10</v>
      </c>
      <c r="O19" s="1">
        <f>CEILING(Demon!$B12 / IF(Demon!$D12&lt; 10.8, $Q$4, $Q$4 / (Demon!$D12 / 10.8)),1)</f>
        <v>10</v>
      </c>
      <c r="P19" s="1">
        <f>CEILING(Elf!$B12 / IF(Elf!$D12 &lt; 10.8, $Q$4, $Q$4 / (Elf!$D12 / 10.8)),1)</f>
        <v>10</v>
      </c>
      <c r="Q19" s="1">
        <f>CEILING(Beastgirl!$B12 / IF(Beastgirl!$D12&lt; 10.8, $Q$4, $Q$4 / (Beastgirl!$D12 / 10.8)),1)</f>
        <v>20</v>
      </c>
      <c r="R19" s="1">
        <f>CEILING(Warrior!$B12 / IF(Warrior!$D12&lt; 10.8, $Q$4, $Q$4 / (Warrior!$D12 / 10.8)),1)</f>
        <v>14</v>
      </c>
      <c r="Y19" s="1">
        <v>10</v>
      </c>
      <c r="Z19" s="1">
        <f>CEILING(Demon!$B12 / IF(Demon!$D12&lt; 10.8, $AB$4, $AB$4 / (Demon!$D12 / 10.8)),1)</f>
        <v>8</v>
      </c>
      <c r="AA19" s="1">
        <f>CEILING(Elf!$B12 / IF(Elf!$D12&lt; 10.8, $AB$4, $AB$4 / (Elf!$D12 / 10.8)),1)</f>
        <v>8</v>
      </c>
      <c r="AB19" s="1">
        <f>CEILING(Beastgirl!$B12 / IF(Beastgirl!$D12&lt; 10.8, $AB$4, $AB$4 / (Beastgirl!$D12 / 10.8)),1)</f>
        <v>15</v>
      </c>
      <c r="AC19" s="1">
        <f>CEILING(Warrior!$B12 / IF(Warrior!$D12&lt; 10.8, $AB$4, $AB$4 / (Warrior!$D12 / 10.8)),1)</f>
        <v>10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40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40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40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1</v>
      </c>
      <c r="D23" s="1">
        <f>CEILING(Demon!$B3/ IF(Demon!$D3&lt; 10.8, $F$5, $F$5 / (Demon!$D3 / 10.8)),1)</f>
        <v>2</v>
      </c>
      <c r="E23" s="1">
        <f>CEILING(Elf!$B3 / IF(Elf!$D3 &lt; 10.8, $F$5,$F$5 / (Elf!$D3 / 10.8)),1)</f>
        <v>2</v>
      </c>
      <c r="F23" s="1">
        <f>CEILING(Beastgirl!$B3 / IF(Beastgirl!$D3&lt; 10.8, $F$5, $F$5 / (Beastgirl!$D3 / 10.8)),1)</f>
        <v>3</v>
      </c>
      <c r="G23" s="1">
        <f>CEILING(Warrior!$B3 / IF(Warrior!$D3&lt; 10.8, $F$5, $F$5 / (Warrior!$D3 / 10.8)),1)</f>
        <v>3</v>
      </c>
      <c r="I23" s="4"/>
      <c r="J23" s="4"/>
      <c r="K23" s="4"/>
      <c r="L23" s="4"/>
      <c r="M23" s="4"/>
      <c r="N23" s="1">
        <v>1</v>
      </c>
      <c r="O23" s="1">
        <f>CEILING(Demon!$B3 / IF(Demon!$D3&lt; 10.8, $Q$5, $Q$5 / (Demon!$D3/ 10.8)),1)</f>
        <v>2</v>
      </c>
      <c r="P23" s="1">
        <f>CEILING(Elf!$B3/ IF(Elf!$D3 &lt; 10.8, $Q$5, $Q$5 / (Elf!$D3 / 10.8)),1)</f>
        <v>1</v>
      </c>
      <c r="Q23" s="1">
        <f>CEILING(Beastgirl!$B3 / IF(Beastgirl!$D3&lt; 10.8, $Q$5, $Q$5 / (Beastgirl!$D3 / 10.8)),1)</f>
        <v>2</v>
      </c>
      <c r="R23" s="1">
        <f>CEILING(Warrior!$B3 / IF(Warrior!$D3&lt; 10.8, $Q$5, $Q$5 / (Warrior!$D3 / 10.8)),1)</f>
        <v>2</v>
      </c>
      <c r="S23" s="4"/>
      <c r="T23" s="4"/>
      <c r="U23" s="4"/>
      <c r="W23" s="4"/>
      <c r="X23" s="4"/>
      <c r="Y23" s="1">
        <v>1</v>
      </c>
      <c r="Z23" s="1">
        <f>CEILING(Demon!$B3 / IF(Demon!$D3&lt; 10.8, $AB$5, $AB$5 / (Demon!$D3 / 10.8)),1)</f>
        <v>1</v>
      </c>
      <c r="AA23" s="1">
        <f>CEILING(Elf!$B3 / IF(Elf!$D3 &lt; 10.8, $AB$5, $AB$5 / (Elf!$D3 / 10.8)),1)</f>
        <v>1</v>
      </c>
      <c r="AB23" s="1">
        <f>CEILING(Beastgirl!$B3 / IF(Beastgirl!$D3&lt; 10.8, $AB$5, $AB$5 / (Beastgirl!$D3 / 10.8)),1)</f>
        <v>2</v>
      </c>
      <c r="AC23" s="1">
        <f>CEILING(Warrior!$B3 / IF(Warrior!$D3&lt; 10.8, $AB$5, $AB$5 / (Warrior!$D3 / 10.8)),1)</f>
        <v>2</v>
      </c>
      <c r="AD23" s="4"/>
      <c r="AE23" s="4"/>
      <c r="AF23" s="4"/>
      <c r="AG23" s="4"/>
    </row>
    <row r="24" spans="3:33" s="1" customFormat="1" x14ac:dyDescent="0.3">
      <c r="C24" s="1">
        <v>2</v>
      </c>
      <c r="D24" s="1">
        <f>CEILING(Demon!$B4/ IF(Demon!$D4&lt; 10.8, $F$5, $F$5 / (Demon!$D4 / 10.8)),1)</f>
        <v>3</v>
      </c>
      <c r="E24" s="1">
        <f>CEILING(Elf!$B4 / IF(Elf!$D4 &lt; 10.8, $F$5,$F$5 / (Elf!$D4 / 10.8)),1)</f>
        <v>2</v>
      </c>
      <c r="F24" s="1">
        <f>CEILING(Beastgirl!$B4 / IF(Beastgirl!$D4&lt; 10.8, $F$5, $F$5 / (Beastgirl!$D4 / 10.8)),1)</f>
        <v>4</v>
      </c>
      <c r="G24" s="1">
        <f>CEILING(Warrior!$B4 / IF(Warrior!$D4&lt; 10.8, $F$5, $F$5 / (Warrior!$D4 / 10.8)),1)</f>
        <v>3</v>
      </c>
      <c r="I24" s="4"/>
      <c r="J24" s="4"/>
      <c r="K24" s="4"/>
      <c r="L24" s="4"/>
      <c r="M24" s="4"/>
      <c r="N24" s="1">
        <v>2</v>
      </c>
      <c r="O24" s="1">
        <f>CEILING(Demon!$B4 / IF(Demon!$D4&lt; 10.8, $Q$5, $Q$5 / (Demon!$D4/ 10.8)),1)</f>
        <v>2</v>
      </c>
      <c r="P24" s="1">
        <f>CEILING(Elf!$B4/ IF(Elf!$D4 &lt; 10.8, $Q$5, $Q$5 / (Elf!$D4 / 10.8)),1)</f>
        <v>2</v>
      </c>
      <c r="Q24" s="1">
        <f>CEILING(Beastgirl!$B4 / IF(Beastgirl!$D4&lt; 10.8, $Q$5, $Q$5 / (Beastgirl!$D4 / 10.8)),1)</f>
        <v>3</v>
      </c>
      <c r="R24" s="1">
        <f>CEILING(Warrior!$B4 / IF(Warrior!$D4&lt; 10.8, $Q$5, $Q$5 / (Warrior!$D4 / 10.8)),1)</f>
        <v>2</v>
      </c>
      <c r="S24" s="4"/>
      <c r="T24" s="4"/>
      <c r="U24" s="4"/>
      <c r="W24" s="4"/>
      <c r="X24" s="4"/>
      <c r="Y24" s="1">
        <v>2</v>
      </c>
      <c r="Z24" s="1">
        <f>CEILING(Demon!$B4 / IF(Demon!$D4&lt; 10.8, $AB$5, $AB$5 / (Demon!$D4 / 10.8)),1)</f>
        <v>2</v>
      </c>
      <c r="AA24" s="1">
        <f>CEILING(Elf!$B4 / IF(Elf!$D4 &lt; 10.8, $AB$5, $AB$5 / (Elf!$D4 / 10.8)),1)</f>
        <v>1</v>
      </c>
      <c r="AB24" s="1">
        <f>CEILING(Beastgirl!$B4 / IF(Beastgirl!$D4&lt; 10.8, $AB$5, $AB$5 / (Beastgirl!$D4 / 10.8)),1)</f>
        <v>2</v>
      </c>
      <c r="AC24" s="1">
        <f>CEILING(Warrior!$B4 / IF(Warrior!$D4&lt; 10.8, $AB$5, $AB$5 / (Warrior!$D4 / 10.8)),1)</f>
        <v>2</v>
      </c>
      <c r="AD24" s="4"/>
      <c r="AE24" s="4"/>
      <c r="AF24" s="4"/>
      <c r="AG24" s="4"/>
    </row>
    <row r="25" spans="3:33" s="1" customFormat="1" x14ac:dyDescent="0.3">
      <c r="C25" s="1">
        <v>3</v>
      </c>
      <c r="D25" s="1">
        <f>CEILING(Demon!$B5/ IF(Demon!$D5&lt; 10.8, $F$5, $F$5 / (Demon!$D5 / 10.8)),1)</f>
        <v>3</v>
      </c>
      <c r="E25" s="1">
        <f>CEILING(Elf!$B5 / IF(Elf!$D5 &lt; 10.8, $F$5,$F$5 / (Elf!$D5 / 10.8)),1)</f>
        <v>3</v>
      </c>
      <c r="F25" s="1">
        <f>CEILING(Beastgirl!$B5 / IF(Beastgirl!$D5&lt; 10.8, $F$5, $F$5 / (Beastgirl!$D5 / 10.8)),1)</f>
        <v>5</v>
      </c>
      <c r="G25" s="1">
        <f>CEILING(Warrior!$B5 / IF(Warrior!$D5&lt; 10.8, $F$5, $F$5 / (Warrior!$D5 / 10.8)),1)</f>
        <v>4</v>
      </c>
      <c r="I25" s="4"/>
      <c r="J25" s="4"/>
      <c r="K25" s="4"/>
      <c r="L25" s="4"/>
      <c r="M25" s="4"/>
      <c r="N25" s="1">
        <v>3</v>
      </c>
      <c r="O25" s="1">
        <f>CEILING(Demon!$B5 / IF(Demon!$D5&lt; 10.8, $Q$5, $Q$5 / (Demon!$D5/ 10.8)),1)</f>
        <v>2</v>
      </c>
      <c r="P25" s="1">
        <f>CEILING(Elf!$B5/ IF(Elf!$D5 &lt; 10.8, $Q$5, $Q$5 / (Elf!$D5 / 10.8)),1)</f>
        <v>2</v>
      </c>
      <c r="Q25" s="1">
        <f>CEILING(Beastgirl!$B5 / IF(Beastgirl!$D5&lt; 10.8, $Q$5, $Q$5 / (Beastgirl!$D5 / 10.8)),1)</f>
        <v>4</v>
      </c>
      <c r="R25" s="1">
        <f>CEILING(Warrior!$B5 / IF(Warrior!$D5&lt; 10.8, $Q$5, $Q$5 / (Warrior!$D5 / 10.8)),1)</f>
        <v>3</v>
      </c>
      <c r="S25" s="4"/>
      <c r="T25" s="4"/>
      <c r="U25" s="4"/>
      <c r="W25" s="4"/>
      <c r="X25" s="4"/>
      <c r="Y25" s="1">
        <v>3</v>
      </c>
      <c r="Z25" s="1">
        <f>CEILING(Demon!$B5 / IF(Demon!$D5&lt; 10.8, $AB$5, $AB$5 / (Demon!$D5 / 10.8)),1)</f>
        <v>2</v>
      </c>
      <c r="AA25" s="1">
        <f>CEILING(Elf!$B5 / IF(Elf!$D5 &lt; 10.8, $AB$5, $AB$5 / (Elf!$D5 / 10.8)),1)</f>
        <v>2</v>
      </c>
      <c r="AB25" s="1">
        <f>CEILING(Beastgirl!$B5 / IF(Beastgirl!$D5&lt; 10.8, $AB$5, $AB$5 / (Beastgirl!$D5 / 10.8)),1)</f>
        <v>3</v>
      </c>
      <c r="AC25" s="1">
        <f>CEILING(Warrior!$B5 / IF(Warrior!$D5&lt; 10.8, $AB$5, $AB$5 / (Warrior!$D5 / 10.8)),1)</f>
        <v>2</v>
      </c>
      <c r="AD25" s="4"/>
      <c r="AE25" s="4"/>
      <c r="AF25" s="4"/>
      <c r="AG25" s="4"/>
    </row>
    <row r="26" spans="3:33" s="1" customFormat="1" x14ac:dyDescent="0.3">
      <c r="C26" s="1">
        <v>4</v>
      </c>
      <c r="D26" s="1">
        <f>CEILING(Demon!$B6/ IF(Demon!$D6&lt; 10.8, $F$5, $F$5 / (Demon!$D6 / 10.8)),1)</f>
        <v>4</v>
      </c>
      <c r="E26" s="1">
        <f>CEILING(Elf!$B6 / IF(Elf!$D6 &lt; 10.8, $F$5,$F$5 / (Elf!$D6 / 10.8)),1)</f>
        <v>3</v>
      </c>
      <c r="F26" s="1">
        <f>CEILING(Beastgirl!$B6 / IF(Beastgirl!$D6&lt; 10.8, $F$5, $F$5 / (Beastgirl!$D6 / 10.8)),1)</f>
        <v>7</v>
      </c>
      <c r="G26" s="1">
        <f>CEILING(Warrior!$B6 / IF(Warrior!$D6&lt; 10.8, $F$5, $F$5 / (Warrior!$D6 / 10.8)),1)</f>
        <v>4</v>
      </c>
      <c r="I26" s="4"/>
      <c r="J26" s="4"/>
      <c r="K26" s="4"/>
      <c r="L26" s="4"/>
      <c r="M26" s="4"/>
      <c r="N26" s="1">
        <v>4</v>
      </c>
      <c r="O26" s="1">
        <f>CEILING(Demon!$B6 / IF(Demon!$D6&lt; 10.8, $Q$5, $Q$5 / (Demon!$D6/ 10.8)),1)</f>
        <v>3</v>
      </c>
      <c r="P26" s="1">
        <f>CEILING(Elf!$B6/ IF(Elf!$D6 &lt; 10.8, $Q$5, $Q$5 / (Elf!$D6 / 10.8)),1)</f>
        <v>2</v>
      </c>
      <c r="Q26" s="1">
        <f>CEILING(Beastgirl!$B6 / IF(Beastgirl!$D6&lt; 10.8, $Q$5, $Q$5 / (Beastgirl!$D6 / 10.8)),1)</f>
        <v>5</v>
      </c>
      <c r="R26" s="1">
        <f>CEILING(Warrior!$B6 / IF(Warrior!$D6&lt; 10.8, $Q$5, $Q$5 / (Warrior!$D6 / 10.8)),1)</f>
        <v>3</v>
      </c>
      <c r="S26" s="4"/>
      <c r="T26" s="4"/>
      <c r="U26" s="4"/>
      <c r="W26" s="4"/>
      <c r="X26" s="4"/>
      <c r="Y26" s="1">
        <v>4</v>
      </c>
      <c r="Z26" s="1">
        <f>CEILING(Demon!$B6 / IF(Demon!$D6&lt; 10.8, $AB$5, $AB$5 / (Demon!$D6 / 10.8)),1)</f>
        <v>2</v>
      </c>
      <c r="AA26" s="1">
        <f>CEILING(Elf!$B6 / IF(Elf!$D6 &lt; 10.8, $AB$5, $AB$5 / (Elf!$D6 / 10.8)),1)</f>
        <v>2</v>
      </c>
      <c r="AB26" s="1">
        <f>CEILING(Beastgirl!$B6 / IF(Beastgirl!$D6&lt; 10.8, $AB$5, $AB$5 / (Beastgirl!$D6 / 10.8)),1)</f>
        <v>4</v>
      </c>
      <c r="AC26" s="1">
        <f>CEILING(Warrior!$B6 / IF(Warrior!$D6&lt; 10.8, $AB$5, $AB$5 / (Warrior!$D6 / 10.8)),1)</f>
        <v>2</v>
      </c>
      <c r="AD26" s="4"/>
      <c r="AE26" s="4"/>
      <c r="AF26" s="4"/>
      <c r="AG26" s="4"/>
    </row>
    <row r="27" spans="3:33" s="1" customFormat="1" x14ac:dyDescent="0.3">
      <c r="C27" s="1">
        <v>5</v>
      </c>
      <c r="D27" s="1">
        <f>CEILING(Demon!$B7/ IF(Demon!$D7&lt; 10.8, $F$5, $F$5 / (Demon!$D7 / 10.8)),1)</f>
        <v>6</v>
      </c>
      <c r="E27" s="1">
        <f>CEILING(Elf!$B7 / IF(Elf!$D7 &lt; 10.8, $F$5,$F$5 / (Elf!$D7 / 10.8)),1)</f>
        <v>6</v>
      </c>
      <c r="F27" s="1">
        <f>CEILING(Beastgirl!$B7 / IF(Beastgirl!$D7&lt; 10.8, $F$5, $F$5 / (Beastgirl!$D7 / 10.8)),1)</f>
        <v>13</v>
      </c>
      <c r="G27" s="1">
        <f>CEILING(Warrior!$B7 / IF(Warrior!$D7&lt; 10.8, $F$5, $F$5 / (Warrior!$D7 / 10.8)),1)</f>
        <v>9</v>
      </c>
      <c r="I27" s="4"/>
      <c r="J27" s="4"/>
      <c r="K27" s="4"/>
      <c r="L27" s="4"/>
      <c r="M27" s="4"/>
      <c r="N27" s="1">
        <v>5</v>
      </c>
      <c r="O27" s="1">
        <f>CEILING(Demon!$B7 / IF(Demon!$D7&lt; 10.8, $Q$5, $Q$5 / (Demon!$D7/ 10.8)),1)</f>
        <v>4</v>
      </c>
      <c r="P27" s="1">
        <f>CEILING(Elf!$B7/ IF(Elf!$D7 &lt; 10.8, $Q$5, $Q$5 / (Elf!$D7 / 10.8)),1)</f>
        <v>4</v>
      </c>
      <c r="Q27" s="1">
        <f>CEILING(Beastgirl!$B7 / IF(Beastgirl!$D7&lt; 10.8, $Q$5, $Q$5 / (Beastgirl!$D7 / 10.8)),1)</f>
        <v>9</v>
      </c>
      <c r="R27" s="1">
        <f>CEILING(Warrior!$B7 / IF(Warrior!$D7&lt; 10.8, $Q$5, $Q$5 / (Warrior!$D7 / 10.8)),1)</f>
        <v>6</v>
      </c>
      <c r="S27" s="4"/>
      <c r="T27" s="4"/>
      <c r="U27" s="4"/>
      <c r="W27" s="4"/>
      <c r="X27" s="4"/>
      <c r="Y27" s="1">
        <v>5</v>
      </c>
      <c r="Z27" s="1">
        <f>CEILING(Demon!$B7 / IF(Demon!$D7&lt; 10.8, $AB$5, $AB$5 / (Demon!$D7 / 10.8)),1)</f>
        <v>3</v>
      </c>
      <c r="AA27" s="1">
        <f>CEILING(Elf!$B7 / IF(Elf!$D7 &lt; 10.8, $AB$5, $AB$5 / (Elf!$D7 / 10.8)),1)</f>
        <v>3</v>
      </c>
      <c r="AB27" s="1">
        <f>CEILING(Beastgirl!$B7 / IF(Beastgirl!$D7&lt; 10.8, $AB$5, $AB$5 / (Beastgirl!$D7 / 10.8)),1)</f>
        <v>7</v>
      </c>
      <c r="AC27" s="1">
        <f>CEILING(Warrior!$B7 / IF(Warrior!$D7&lt; 10.8, $AB$5, $AB$5 / (Warrior!$D7 / 10.8)),1)</f>
        <v>5</v>
      </c>
      <c r="AD27" s="4"/>
      <c r="AE27" s="4"/>
      <c r="AF27" s="4"/>
      <c r="AG27" s="4"/>
    </row>
    <row r="28" spans="3:33" s="1" customFormat="1" x14ac:dyDescent="0.3">
      <c r="C28" s="1">
        <v>6</v>
      </c>
      <c r="D28" s="1">
        <f>CEILING(Demon!$B8/ IF(Demon!$D8&lt; 10.8, $F$5, $F$5 / (Demon!$D8 / 10.8)),1)</f>
        <v>8</v>
      </c>
      <c r="E28" s="1">
        <f>CEILING(Elf!$B8 / IF(Elf!$D8 &lt; 10.8, $F$5,$F$5 / (Elf!$D8 / 10.8)),1)</f>
        <v>7</v>
      </c>
      <c r="F28" s="1">
        <f>CEILING(Beastgirl!$B8 / IF(Beastgirl!$D8&lt; 10.8, $F$5, $F$5 / (Beastgirl!$D8 / 10.8)),1)</f>
        <v>15</v>
      </c>
      <c r="G28" s="1">
        <f>CEILING(Warrior!$B8 / IF(Warrior!$D8&lt; 10.8, $F$5, $F$5 / (Warrior!$D8 / 10.8)),1)</f>
        <v>10</v>
      </c>
      <c r="I28" s="4"/>
      <c r="J28" s="4"/>
      <c r="K28" s="4"/>
      <c r="L28" s="4"/>
      <c r="M28" s="4"/>
      <c r="N28" s="1">
        <v>6</v>
      </c>
      <c r="O28" s="1">
        <f>CEILING(Demon!$B8 / IF(Demon!$D8&lt; 10.8, $Q$5, $Q$5 / (Demon!$D8/ 10.8)),1)</f>
        <v>5</v>
      </c>
      <c r="P28" s="1">
        <f>CEILING(Elf!$B8/ IF(Elf!$D8 &lt; 10.8, $Q$5, $Q$5 / (Elf!$D8 / 10.8)),1)</f>
        <v>5</v>
      </c>
      <c r="Q28" s="1">
        <f>CEILING(Beastgirl!$B8 / IF(Beastgirl!$D8&lt; 10.8, $Q$5, $Q$5 / (Beastgirl!$D8 / 10.8)),1)</f>
        <v>10</v>
      </c>
      <c r="R28" s="1">
        <f>CEILING(Warrior!$B8 / IF(Warrior!$D8&lt; 10.8, $Q$5, $Q$5 / (Warrior!$D8 / 10.8)),1)</f>
        <v>7</v>
      </c>
      <c r="S28" s="4"/>
      <c r="T28" s="4"/>
      <c r="U28" s="4"/>
      <c r="W28" s="4"/>
      <c r="X28" s="4"/>
      <c r="Y28" s="1">
        <v>6</v>
      </c>
      <c r="Z28" s="1">
        <f>CEILING(Demon!$B8 / IF(Demon!$D8&lt; 10.8, $AB$5, $AB$5 / (Demon!$D8 / 10.8)),1)</f>
        <v>4</v>
      </c>
      <c r="AA28" s="1">
        <f>CEILING(Elf!$B8 / IF(Elf!$D8 &lt; 10.8, $AB$5, $AB$5 / (Elf!$D8 / 10.8)),1)</f>
        <v>4</v>
      </c>
      <c r="AB28" s="1">
        <f>CEILING(Beastgirl!$B8 / IF(Beastgirl!$D8&lt; 10.8, $AB$5, $AB$5 / (Beastgirl!$D8 / 10.8)),1)</f>
        <v>8</v>
      </c>
      <c r="AC28" s="1">
        <f>CEILING(Warrior!$B8 / IF(Warrior!$D8&lt; 10.8, $AB$5, $AB$5 / (Warrior!$D8 / 10.8)),1)</f>
        <v>5</v>
      </c>
      <c r="AD28" s="4"/>
      <c r="AE28" s="4"/>
      <c r="AF28" s="4"/>
      <c r="AG28" s="4"/>
    </row>
    <row r="29" spans="3:33" s="1" customFormat="1" x14ac:dyDescent="0.3">
      <c r="C29" s="1">
        <v>7</v>
      </c>
      <c r="D29" s="1">
        <f>CEILING(Demon!$B9/ IF(Demon!$D9&lt; 10.8, $F$5, $F$5 / (Demon!$D9 / 10.8)),1)</f>
        <v>9</v>
      </c>
      <c r="E29" s="1">
        <f>CEILING(Elf!$B9 / IF(Elf!$D9 &lt; 10.8, $F$5,$F$5 / (Elf!$D9 / 10.8)),1)</f>
        <v>9</v>
      </c>
      <c r="F29" s="1">
        <f>CEILING(Beastgirl!$B9 / IF(Beastgirl!$D9&lt; 10.8, $F$5, $F$5 / (Beastgirl!$D9 / 10.8)),1)</f>
        <v>18</v>
      </c>
      <c r="G29" s="1">
        <f>CEILING(Warrior!$B9 / IF(Warrior!$D9&lt; 10.8, $F$5, $F$5 / (Warrior!$D9 / 10.8)),1)</f>
        <v>12</v>
      </c>
      <c r="I29" s="4"/>
      <c r="J29" s="4"/>
      <c r="K29" s="4"/>
      <c r="L29" s="4"/>
      <c r="M29" s="4"/>
      <c r="N29" s="1">
        <v>7</v>
      </c>
      <c r="O29" s="1">
        <f>CEILING(Demon!$B9 / IF(Demon!$D9&lt; 10.8, $Q$5, $Q$5 / (Demon!$D9/ 10.8)),1)</f>
        <v>6</v>
      </c>
      <c r="P29" s="1">
        <f>CEILING(Elf!$B9/ IF(Elf!$D9 &lt; 10.8, $Q$5, $Q$5 / (Elf!$D9 / 10.8)),1)</f>
        <v>6</v>
      </c>
      <c r="Q29" s="1">
        <f>CEILING(Beastgirl!$B9 / IF(Beastgirl!$D9&lt; 10.8, $Q$5, $Q$5 / (Beastgirl!$D9 / 10.8)),1)</f>
        <v>12</v>
      </c>
      <c r="R29" s="1">
        <f>CEILING(Warrior!$B9 / IF(Warrior!$D9&lt; 10.8, $Q$5, $Q$5 / (Warrior!$D9 / 10.8)),1)</f>
        <v>8</v>
      </c>
      <c r="S29" s="4"/>
      <c r="T29" s="4"/>
      <c r="U29" s="4"/>
      <c r="W29" s="4"/>
      <c r="X29" s="4"/>
      <c r="Y29" s="1">
        <v>7</v>
      </c>
      <c r="Z29" s="1">
        <f>CEILING(Demon!$B9 / IF(Demon!$D9&lt; 10.8, $AB$5, $AB$5 / (Demon!$D9 / 10.8)),1)</f>
        <v>5</v>
      </c>
      <c r="AA29" s="1">
        <f>CEILING(Elf!$B9 / IF(Elf!$D9 &lt; 10.8, $AB$5, $AB$5 / (Elf!$D9 / 10.8)),1)</f>
        <v>5</v>
      </c>
      <c r="AB29" s="1">
        <f>CEILING(Beastgirl!$B9 / IF(Beastgirl!$D9&lt; 10.8, $AB$5, $AB$5 / (Beastgirl!$D9 / 10.8)),1)</f>
        <v>9</v>
      </c>
      <c r="AC29" s="1">
        <f>CEILING(Warrior!$B9 / IF(Warrior!$D9&lt; 10.8, $AB$5, $AB$5 / (Warrior!$D9 / 10.8)),1)</f>
        <v>6</v>
      </c>
      <c r="AD29" s="4"/>
      <c r="AE29" s="4"/>
      <c r="AF29" s="4"/>
      <c r="AG29" s="4"/>
    </row>
    <row r="30" spans="3:33" s="1" customFormat="1" x14ac:dyDescent="0.3">
      <c r="C30" s="1">
        <v>8</v>
      </c>
      <c r="D30" s="1">
        <f>CEILING(Demon!$B10/ IF(Demon!$D10&lt; 10.8, $F$5, $F$5 / (Demon!$D10 / 10.8)),1)</f>
        <v>10</v>
      </c>
      <c r="E30" s="1">
        <f>CEILING(Elf!$B10 / IF(Elf!$D10 &lt; 10.8, $F$5,$F$5 / (Elf!$D10 / 10.8)),1)</f>
        <v>10</v>
      </c>
      <c r="F30" s="1">
        <f>CEILING(Beastgirl!$B10 / IF(Beastgirl!$D10&lt; 10.8, $F$5, $F$5 / (Beastgirl!$D10 / 10.8)),1)</f>
        <v>20</v>
      </c>
      <c r="G30" s="1">
        <f>CEILING(Warrior!$B10 / IF(Warrior!$D10&lt; 10.8, $F$5, $F$5 / (Warrior!$D10 / 10.8)),1)</f>
        <v>14</v>
      </c>
      <c r="I30" s="4"/>
      <c r="J30" s="4"/>
      <c r="K30" s="4"/>
      <c r="L30" s="4"/>
      <c r="M30" s="4"/>
      <c r="N30" s="1">
        <v>8</v>
      </c>
      <c r="O30" s="1">
        <f>CEILING(Demon!$B10 / IF(Demon!$D10&lt; 10.8, $Q$5, $Q$5 / (Demon!$D10/ 10.8)),1)</f>
        <v>7</v>
      </c>
      <c r="P30" s="1">
        <f>CEILING(Elf!$B10/ IF(Elf!$D10 &lt; 10.8, $Q$5, $Q$5 / (Elf!$D10 / 10.8)),1)</f>
        <v>7</v>
      </c>
      <c r="Q30" s="1">
        <f>CEILING(Beastgirl!$B10 / IF(Beastgirl!$D10&lt; 10.8, $Q$5, $Q$5 / (Beastgirl!$D10 / 10.8)),1)</f>
        <v>14</v>
      </c>
      <c r="R30" s="1">
        <f>CEILING(Warrior!$B10 / IF(Warrior!$D10&lt; 10.8, $Q$5, $Q$5 / (Warrior!$D10 / 10.8)),1)</f>
        <v>9</v>
      </c>
      <c r="S30" s="4"/>
      <c r="T30" s="4"/>
      <c r="U30" s="4"/>
      <c r="W30" s="4"/>
      <c r="X30" s="4"/>
      <c r="Y30" s="1">
        <v>8</v>
      </c>
      <c r="Z30" s="1">
        <f>CEILING(Demon!$B10 / IF(Demon!$D10&lt; 10.8, $AB$5, $AB$5 / (Demon!$D10 / 10.8)),1)</f>
        <v>5</v>
      </c>
      <c r="AA30" s="1">
        <f>CEILING(Elf!$B10 / IF(Elf!$D10 &lt; 10.8, $AB$5, $AB$5 / (Elf!$D10 / 10.8)),1)</f>
        <v>5</v>
      </c>
      <c r="AB30" s="1">
        <f>CEILING(Beastgirl!$B10 / IF(Beastgirl!$D10&lt; 10.8, $AB$5, $AB$5 / (Beastgirl!$D10 / 10.8)),1)</f>
        <v>10</v>
      </c>
      <c r="AC30" s="1">
        <f>CEILING(Warrior!$B10 / IF(Warrior!$D10&lt; 10.8, $AB$5, $AB$5 / (Warrior!$D10 / 10.8)),1)</f>
        <v>7</v>
      </c>
      <c r="AD30" s="4"/>
      <c r="AE30" s="4"/>
      <c r="AF30" s="4"/>
      <c r="AG30" s="4"/>
    </row>
    <row r="31" spans="3:33" s="1" customFormat="1" x14ac:dyDescent="0.3">
      <c r="C31" s="1">
        <v>9</v>
      </c>
      <c r="D31" s="1">
        <f>CEILING(Demon!$B11/ IF(Demon!$D11&lt; 10.8, $F$5, $F$5 / (Demon!$D11 / 10.8)),1)</f>
        <v>12</v>
      </c>
      <c r="E31" s="1">
        <f>CEILING(Elf!$B11 / IF(Elf!$D11 &lt; 10.8, $F$5,$F$5 / (Elf!$D11 / 10.8)),1)</f>
        <v>12</v>
      </c>
      <c r="F31" s="1">
        <f>CEILING(Beastgirl!$B11 / IF(Beastgirl!$D11&lt; 10.8, $F$5, $F$5 / (Beastgirl!$D11 / 10.8)),1)</f>
        <v>24</v>
      </c>
      <c r="G31" s="1">
        <f>CEILING(Warrior!$B11 / IF(Warrior!$D11&lt; 10.8, $F$5, $F$5 / (Warrior!$D11 / 10.8)),1)</f>
        <v>16</v>
      </c>
      <c r="I31" s="4"/>
      <c r="J31" s="4"/>
      <c r="K31" s="4"/>
      <c r="L31" s="4"/>
      <c r="M31" s="4"/>
      <c r="N31" s="1">
        <v>9</v>
      </c>
      <c r="O31" s="1">
        <f>CEILING(Demon!$B11 / IF(Demon!$D11&lt; 10.8, $Q$5, $Q$5 / (Demon!$D11/ 10.8)),1)</f>
        <v>8</v>
      </c>
      <c r="P31" s="1">
        <f>CEILING(Elf!$B11/ IF(Elf!$D11 &lt; 10.8, $Q$5, $Q$5 / (Elf!$D11 / 10.8)),1)</f>
        <v>8</v>
      </c>
      <c r="Q31" s="1">
        <f>CEILING(Beastgirl!$B11 / IF(Beastgirl!$D11&lt; 10.8, $Q$5, $Q$5 / (Beastgirl!$D11 / 10.8)),1)</f>
        <v>16</v>
      </c>
      <c r="R31" s="1">
        <f>CEILING(Warrior!$B11 / IF(Warrior!$D11&lt; 10.8, $Q$5, $Q$5 / (Warrior!$D11 / 10.8)),1)</f>
        <v>11</v>
      </c>
      <c r="S31" s="4"/>
      <c r="T31" s="4"/>
      <c r="U31" s="4"/>
      <c r="W31" s="4"/>
      <c r="X31" s="4"/>
      <c r="Y31" s="1">
        <v>9</v>
      </c>
      <c r="Z31" s="1">
        <f>CEILING(Demon!$B11 / IF(Demon!$D11&lt; 10.8, $AB$5, $AB$5 / (Demon!$D11 / 10.8)),1)</f>
        <v>6</v>
      </c>
      <c r="AA31" s="1">
        <f>CEILING(Elf!$B11 / IF(Elf!$D11 &lt; 10.8, $AB$5, $AB$5 / (Elf!$D11 / 10.8)),1)</f>
        <v>6</v>
      </c>
      <c r="AB31" s="1">
        <f>CEILING(Beastgirl!$B11 / IF(Beastgirl!$D11&lt; 10.8, $AB$5, $AB$5 / (Beastgirl!$D11 / 10.8)),1)</f>
        <v>12</v>
      </c>
      <c r="AC31" s="1">
        <f>CEILING(Warrior!$B11 / IF(Warrior!$D11&lt; 10.8, $AB$5, $AB$5 / (Warrior!$D11 / 10.8)),1)</f>
        <v>8</v>
      </c>
      <c r="AD31" s="4"/>
      <c r="AE31" s="4"/>
      <c r="AF31" s="4"/>
      <c r="AG31" s="4"/>
    </row>
    <row r="32" spans="3:33" s="1" customFormat="1" x14ac:dyDescent="0.3">
      <c r="C32" s="1">
        <v>10</v>
      </c>
      <c r="D32" s="1">
        <f>CEILING(Demon!$B12/ IF(Demon!$D12&lt; 10.8, $F$5, $F$5 / (Demon!$D12 / 10.8)),1)</f>
        <v>14</v>
      </c>
      <c r="E32" s="1">
        <f>CEILING(Elf!$B12 / IF(Elf!$D12 &lt; 10.8, $F$5,$F$5 / (Elf!$D12 / 10.8)),1)</f>
        <v>14</v>
      </c>
      <c r="F32" s="1">
        <f>CEILING(Beastgirl!$B12 / IF(Beastgirl!$D12&lt; 10.8, $F$5, $F$5 / (Beastgirl!$D12 / 10.8)),1)</f>
        <v>27</v>
      </c>
      <c r="G32" s="1">
        <f>CEILING(Warrior!$B12 / IF(Warrior!$D12&lt; 10.8, $F$5, $F$5 / (Warrior!$D12 / 10.8)),1)</f>
        <v>18</v>
      </c>
      <c r="I32" s="4"/>
      <c r="J32" s="4"/>
      <c r="K32" s="4"/>
      <c r="L32" s="4"/>
      <c r="M32" s="4"/>
      <c r="N32" s="1">
        <v>10</v>
      </c>
      <c r="O32" s="1">
        <f>CEILING(Demon!$B12 / IF(Demon!$D12&lt; 10.8, $Q$5, $Q$5 / (Demon!$D12/ 10.8)),1)</f>
        <v>9</v>
      </c>
      <c r="P32" s="1">
        <f>CEILING(Elf!$B12/ IF(Elf!$D12 &lt; 10.8, $Q$5, $Q$5 / (Elf!$D12 / 10.8)),1)</f>
        <v>9</v>
      </c>
      <c r="Q32" s="1">
        <f>CEILING(Beastgirl!$B12 / IF(Beastgirl!$D12&lt; 10.8, $Q$5, $Q$5 / (Beastgirl!$D12 / 10.8)),1)</f>
        <v>18</v>
      </c>
      <c r="R32" s="1">
        <f>CEILING(Warrior!$B12 / IF(Warrior!$D12&lt; 10.8, $Q$5, $Q$5 / (Warrior!$D12 / 10.8)),1)</f>
        <v>12</v>
      </c>
      <c r="S32" s="4"/>
      <c r="T32" s="4"/>
      <c r="U32" s="4"/>
      <c r="W32" s="4"/>
      <c r="X32" s="4"/>
      <c r="Y32" s="1">
        <v>10</v>
      </c>
      <c r="Z32" s="1">
        <f>CEILING(Demon!$B12 / IF(Demon!$D12&lt; 10.8, $AB$5, $AB$5 / (Demon!$D12 / 10.8)),1)</f>
        <v>7</v>
      </c>
      <c r="AA32" s="1">
        <f>CEILING(Elf!$B12 / IF(Elf!$D12 &lt; 10.8, $AB$5, $AB$5 / (Elf!$D12 / 10.8)),1)</f>
        <v>7</v>
      </c>
      <c r="AB32" s="1">
        <f>CEILING(Beastgirl!$B12 / IF(Beastgirl!$D12&lt; 10.8, $AB$5, $AB$5 / (Beastgirl!$D12 / 10.8)),1)</f>
        <v>14</v>
      </c>
      <c r="AC32" s="1">
        <f>CEILING(Warrior!$B12 / IF(Warrior!$D12&lt; 10.8, $AB$5, $AB$5 / (Warrior!$D12 / 10.8)),1)</f>
        <v>9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41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41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41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1</v>
      </c>
      <c r="D36" s="1">
        <f>CEILING(Demon!$B3/ IF(Demon!$D3&lt; 10.8, $F$6, $F$6 / (Demon!$D3 / 10.8)),1)</f>
        <v>2</v>
      </c>
      <c r="E36" s="1">
        <f>CEILING(Elf!$B3 / IF(Elf!$D3&lt; 10.8, $F$6,$F$6 / (Elf!$D3 / 10.8)),1)</f>
        <v>2</v>
      </c>
      <c r="F36" s="1">
        <f>CEILING(Beastgirl!$B3/ IF(Beastgirl!$D3&lt; 10.8, $F$6, $F$6 / (Beastgirl!$D3/ 10.8)),1)</f>
        <v>3</v>
      </c>
      <c r="G36" s="1">
        <f>CEILING(Warrior!$B3 / IF(Warrior!$D3&lt; 10.8, $F$6, $F$6 / (Warrior!$D3 / 10.8)),1)</f>
        <v>2</v>
      </c>
      <c r="I36" s="4"/>
      <c r="J36" s="4"/>
      <c r="K36" s="4"/>
      <c r="L36" s="4"/>
      <c r="M36" s="4"/>
      <c r="N36" s="1">
        <v>1</v>
      </c>
      <c r="O36" s="1">
        <f>CEILING(Demon!$B3 / IF(Demon!$D3&lt; 10.8, $Q$6, $Q$6 / (Demon!$D3/ 10.8)),1)</f>
        <v>2</v>
      </c>
      <c r="P36" s="1">
        <f>CEILING(Elf!$B3/ IF(Elf!$D3 &lt; 10.8, $Q$6, $Q$6 / (Elf!$D3 / 10.8)),1)</f>
        <v>1</v>
      </c>
      <c r="Q36" s="1">
        <f>CEILING(Beastgirl!$B3/ IF(Beastgirl!$D3&lt; 10.8, $Q$6, $Q$6 / (Beastgirl!$D3 / 10.8)),1)</f>
        <v>2</v>
      </c>
      <c r="R36" s="1">
        <f>CEILING(Warrior!$B3 / IF(Warrior!$D3&lt; 10.8, $Q$6, $Q$6 / (Warrior!$D3 / 10.8)),1)</f>
        <v>2</v>
      </c>
      <c r="S36" s="4"/>
      <c r="T36" s="4"/>
      <c r="U36" s="4"/>
      <c r="W36" s="4"/>
      <c r="X36" s="4"/>
      <c r="Y36" s="1">
        <v>1</v>
      </c>
      <c r="Z36" s="1">
        <f>CEILING(Demon!$B3 / IF(Demon!$D3&lt; 10.8, $AB$6, $AB$6 / (Demon!$D3 / 10.8)),1)</f>
        <v>1</v>
      </c>
      <c r="AA36" s="1">
        <f>CEILING(Elf!$B3 / IF(Elf!$D3 &lt; 10.8, $AB$6, $AB$6 / (Elf!$D3 / 10.8)),1)</f>
        <v>1</v>
      </c>
      <c r="AB36" s="1">
        <f>CEILING(Beastgirl!$B4 / IF(Beastgirl!$D4&lt; 10.8, $AB$6, $AB$6 / (Beastgirl!$D4 / 10.8)),1)</f>
        <v>2</v>
      </c>
      <c r="AC36" s="1">
        <f>CEILING(Warrior!$B4 / IF(Warrior!$D4&lt; 10.8, $AB$6, $AB$6 / (Warrior!$D4 / 10.8)),1)</f>
        <v>2</v>
      </c>
      <c r="AD36" s="4"/>
      <c r="AE36" s="4"/>
      <c r="AF36" s="4"/>
      <c r="AG36" s="4"/>
    </row>
    <row r="37" spans="1:33" s="1" customFormat="1" x14ac:dyDescent="0.3">
      <c r="C37" s="1">
        <v>2</v>
      </c>
      <c r="D37" s="1">
        <f>CEILING(Demon!$B4/ IF(Demon!$D4&lt; 10.8, $F$6, $F$6 / (Demon!$D4 / 10.8)),1)</f>
        <v>3</v>
      </c>
      <c r="E37" s="1">
        <f>CEILING(Elf!$B4 / IF(Elf!$D4&lt; 10.8, $F$6,$F$6 / (Elf!$D4 / 10.8)),1)</f>
        <v>2</v>
      </c>
      <c r="F37" s="1">
        <f>CEILING(Beastgirl!$B4/ IF(Beastgirl!$D4&lt; 10.8, $F$6, $F$6 / (Beastgirl!$D4/ 10.8)),1)</f>
        <v>4</v>
      </c>
      <c r="G37" s="1">
        <f>CEILING(Warrior!$B4 / IF(Warrior!$D4&lt; 10.8, $F$6, $F$6 / (Warrior!$D4 / 10.8)),1)</f>
        <v>3</v>
      </c>
      <c r="I37" s="4"/>
      <c r="J37" s="4"/>
      <c r="K37" s="4"/>
      <c r="L37" s="4"/>
      <c r="M37" s="4"/>
      <c r="N37" s="1">
        <v>2</v>
      </c>
      <c r="O37" s="1">
        <f>CEILING(Demon!$B4 / IF(Demon!$D4&lt; 10.8, $Q$6, $Q$6 / (Demon!$D4/ 10.8)),1)</f>
        <v>2</v>
      </c>
      <c r="P37" s="1">
        <f>CEILING(Elf!$B4/ IF(Elf!$D4 &lt; 10.8, $Q$6, $Q$6 / (Elf!$D4 / 10.8)),1)</f>
        <v>2</v>
      </c>
      <c r="Q37" s="1">
        <f>CEILING(Beastgirl!$B4/ IF(Beastgirl!$D4&lt; 10.8, $Q$6, $Q$6 / (Beastgirl!$D4 / 10.8)),1)</f>
        <v>3</v>
      </c>
      <c r="R37" s="1">
        <f>CEILING(Warrior!$B4 / IF(Warrior!$D4&lt; 10.8, $Q$6, $Q$6 / (Warrior!$D4 / 10.8)),1)</f>
        <v>2</v>
      </c>
      <c r="S37" s="4"/>
      <c r="T37" s="4"/>
      <c r="U37" s="4"/>
      <c r="W37" s="4"/>
      <c r="X37" s="4"/>
      <c r="Y37" s="1">
        <v>2</v>
      </c>
      <c r="Z37" s="1">
        <f>CEILING(Demon!$B4 / IF(Demon!$D4&lt; 10.8, $AB$6, $AB$6 / (Demon!$D4 / 10.8)),1)</f>
        <v>2</v>
      </c>
      <c r="AA37" s="1">
        <f>CEILING(Elf!$B4 / IF(Elf!$D4 &lt; 10.8, $AB$6, $AB$6 / (Elf!$D4 / 10.8)),1)</f>
        <v>1</v>
      </c>
      <c r="AB37" s="1">
        <f>CEILING(Beastgirl!$B5 / IF(Beastgirl!$D5&lt; 10.8, $AB$6, $AB$6 / (Beastgirl!$D5 / 10.8)),1)</f>
        <v>3</v>
      </c>
      <c r="AC37" s="1">
        <f>CEILING(Warrior!$B5 / IF(Warrior!$D5&lt; 10.8, $AB$6, $AB$6 / (Warrior!$D5 / 10.8)),1)</f>
        <v>2</v>
      </c>
      <c r="AD37" s="4"/>
      <c r="AE37" s="4"/>
      <c r="AF37" s="4"/>
      <c r="AG37" s="4"/>
    </row>
    <row r="38" spans="1:33" s="1" customFormat="1" x14ac:dyDescent="0.3">
      <c r="C38" s="1">
        <v>3</v>
      </c>
      <c r="D38" s="1">
        <f>CEILING(Demon!$B5/ IF(Demon!$D5&lt; 10.8, $F$6, $F$6 / (Demon!$D5 / 10.8)),1)</f>
        <v>3</v>
      </c>
      <c r="E38" s="1">
        <f>CEILING(Elf!$B5 / IF(Elf!$D5&lt; 10.8, $F$6,$F$6 / (Elf!$D5 / 10.8)),1)</f>
        <v>2</v>
      </c>
      <c r="F38" s="1">
        <f>CEILING(Beastgirl!$B5/ IF(Beastgirl!$D5&lt; 10.8, $F$6, $F$6 / (Beastgirl!$D5/ 10.8)),1)</f>
        <v>5</v>
      </c>
      <c r="G38" s="1">
        <f>CEILING(Warrior!$B5 / IF(Warrior!$D5&lt; 10.8, $F$6, $F$6 / (Warrior!$D5 / 10.8)),1)</f>
        <v>3</v>
      </c>
      <c r="I38" s="4"/>
      <c r="J38" s="4"/>
      <c r="K38" s="4"/>
      <c r="L38" s="4"/>
      <c r="M38" s="4"/>
      <c r="N38" s="1">
        <v>3</v>
      </c>
      <c r="O38" s="1">
        <f>CEILING(Demon!$B5 / IF(Demon!$D5&lt; 10.8, $Q$6, $Q$6 / (Demon!$D5/ 10.8)),1)</f>
        <v>2</v>
      </c>
      <c r="P38" s="1">
        <f>CEILING(Elf!$B5/ IF(Elf!$D5 &lt; 10.8, $Q$6, $Q$6 / (Elf!$D5 / 10.8)),1)</f>
        <v>2</v>
      </c>
      <c r="Q38" s="1">
        <f>CEILING(Beastgirl!$B5/ IF(Beastgirl!$D5&lt; 10.8, $Q$6, $Q$6 / (Beastgirl!$D5 / 10.8)),1)</f>
        <v>3</v>
      </c>
      <c r="R38" s="1">
        <f>CEILING(Warrior!$B5 / IF(Warrior!$D5&lt; 10.8, $Q$6, $Q$6 / (Warrior!$D5 / 10.8)),1)</f>
        <v>2</v>
      </c>
      <c r="S38" s="4"/>
      <c r="T38" s="4"/>
      <c r="U38" s="4"/>
      <c r="W38" s="4"/>
      <c r="X38" s="4"/>
      <c r="Y38" s="1">
        <v>3</v>
      </c>
      <c r="Z38" s="1">
        <f>CEILING(Demon!$B5 / IF(Demon!$D5&lt; 10.8, $AB$6, $AB$6 / (Demon!$D5 / 10.8)),1)</f>
        <v>2</v>
      </c>
      <c r="AA38" s="1">
        <f>CEILING(Elf!$B5 / IF(Elf!$D5 &lt; 10.8, $AB$6, $AB$6 / (Elf!$D5 / 10.8)),1)</f>
        <v>1</v>
      </c>
      <c r="AB38" s="1">
        <f>CEILING(Beastgirl!$B6 / IF(Beastgirl!$D6&lt; 10.8, $AB$6, $AB$6 / (Beastgirl!$D6 / 10.8)),1)</f>
        <v>3</v>
      </c>
      <c r="AC38" s="1">
        <f>CEILING(Warrior!$B6 / IF(Warrior!$D6&lt; 10.8, $AB$6, $AB$6 / (Warrior!$D6 / 10.8)),1)</f>
        <v>2</v>
      </c>
      <c r="AD38" s="4"/>
      <c r="AE38" s="4"/>
      <c r="AF38" s="4"/>
      <c r="AG38" s="4"/>
    </row>
    <row r="39" spans="1:33" s="1" customFormat="1" x14ac:dyDescent="0.3">
      <c r="C39" s="1">
        <v>4</v>
      </c>
      <c r="D39" s="1">
        <f>CEILING(Demon!$B6/ IF(Demon!$D6&lt; 10.8, $F$6, $F$6 / (Demon!$D6 / 10.8)),1)</f>
        <v>3</v>
      </c>
      <c r="E39" s="1">
        <f>CEILING(Elf!$B6 / IF(Elf!$D6&lt; 10.8, $F$6,$F$6 / (Elf!$D6 / 10.8)),1)</f>
        <v>3</v>
      </c>
      <c r="F39" s="1">
        <f>CEILING(Beastgirl!$B6/ IF(Beastgirl!$D6&lt; 10.8, $F$6, $F$6 / (Beastgirl!$D6/ 10.8)),1)</f>
        <v>6</v>
      </c>
      <c r="G39" s="1">
        <f>CEILING(Warrior!$B6 / IF(Warrior!$D6&lt; 10.8, $F$6, $F$6 / (Warrior!$D6 / 10.8)),1)</f>
        <v>4</v>
      </c>
      <c r="I39" s="4"/>
      <c r="J39" s="4"/>
      <c r="K39" s="4"/>
      <c r="L39" s="4"/>
      <c r="M39" s="4"/>
      <c r="N39" s="1">
        <v>4</v>
      </c>
      <c r="O39" s="1">
        <f>CEILING(Demon!$B6 / IF(Demon!$D6&lt; 10.8, $Q$6, $Q$6 / (Demon!$D6/ 10.8)),1)</f>
        <v>2</v>
      </c>
      <c r="P39" s="1">
        <f>CEILING(Elf!$B6/ IF(Elf!$D6 &lt; 10.8, $Q$6, $Q$6 / (Elf!$D6 / 10.8)),1)</f>
        <v>2</v>
      </c>
      <c r="Q39" s="1">
        <f>CEILING(Beastgirl!$B6/ IF(Beastgirl!$D6&lt; 10.8, $Q$6, $Q$6 / (Beastgirl!$D6 / 10.8)),1)</f>
        <v>4</v>
      </c>
      <c r="R39" s="1">
        <f>CEILING(Warrior!$B6 / IF(Warrior!$D6&lt; 10.8, $Q$6, $Q$6 / (Warrior!$D6 / 10.8)),1)</f>
        <v>3</v>
      </c>
      <c r="S39" s="4"/>
      <c r="T39" s="4"/>
      <c r="U39" s="4"/>
      <c r="W39" s="4"/>
      <c r="X39" s="4"/>
      <c r="Y39" s="1">
        <v>4</v>
      </c>
      <c r="Z39" s="1">
        <f>CEILING(Demon!$B6 / IF(Demon!$D6&lt; 10.8, $AB$6, $AB$6 / (Demon!$D6 / 10.8)),1)</f>
        <v>2</v>
      </c>
      <c r="AA39" s="1">
        <f>CEILING(Elf!$B6 / IF(Elf!$D6 &lt; 10.8, $AB$6, $AB$6 / (Elf!$D6 / 10.8)),1)</f>
        <v>2</v>
      </c>
      <c r="AB39" s="1">
        <f>CEILING(Beastgirl!$B7 / IF(Beastgirl!$D7&lt; 10.8, $AB$6, $AB$6 / (Beastgirl!$D7 / 10.8)),1)</f>
        <v>6</v>
      </c>
      <c r="AC39" s="1">
        <f>CEILING(Warrior!$B7 / IF(Warrior!$D7&lt; 10.8, $AB$6, $AB$6 / (Warrior!$D7 / 10.8)),1)</f>
        <v>4</v>
      </c>
      <c r="AD39" s="4"/>
      <c r="AE39" s="4"/>
      <c r="AF39" s="4"/>
      <c r="AG39" s="4"/>
    </row>
    <row r="40" spans="1:33" s="1" customFormat="1" x14ac:dyDescent="0.3">
      <c r="C40" s="1">
        <v>5</v>
      </c>
      <c r="D40" s="1">
        <f>CEILING(Demon!$B7/ IF(Demon!$D7&lt; 10.8, $F$6, $F$6 / (Demon!$D7 / 10.8)),1)</f>
        <v>6</v>
      </c>
      <c r="E40" s="1">
        <f>CEILING(Elf!$B7 / IF(Elf!$D7&lt; 10.8, $F$6,$F$6 / (Elf!$D7 / 10.8)),1)</f>
        <v>6</v>
      </c>
      <c r="F40" s="1">
        <f>CEILING(Beastgirl!$B7/ IF(Beastgirl!$D7&lt; 10.8, $F$6, $F$6 / (Beastgirl!$D7/ 10.8)),1)</f>
        <v>12</v>
      </c>
      <c r="G40" s="1">
        <f>CEILING(Warrior!$B7 / IF(Warrior!$D7&lt; 10.8, $F$6, $F$6 / (Warrior!$D7 / 10.8)),1)</f>
        <v>8</v>
      </c>
      <c r="I40" s="4"/>
      <c r="J40" s="4"/>
      <c r="K40" s="4"/>
      <c r="L40" s="4"/>
      <c r="M40" s="4"/>
      <c r="N40" s="1">
        <v>5</v>
      </c>
      <c r="O40" s="1">
        <f>CEILING(Demon!$B7 / IF(Demon!$D7&lt; 10.8, $Q$6, $Q$6 / (Demon!$D7/ 10.8)),1)</f>
        <v>4</v>
      </c>
      <c r="P40" s="1">
        <f>CEILING(Elf!$B7/ IF(Elf!$D7 &lt; 10.8, $Q$6, $Q$6 / (Elf!$D7 / 10.8)),1)</f>
        <v>4</v>
      </c>
      <c r="Q40" s="1">
        <f>CEILING(Beastgirl!$B7/ IF(Beastgirl!$D7&lt; 10.8, $Q$6, $Q$6 / (Beastgirl!$D7 / 10.8)),1)</f>
        <v>8</v>
      </c>
      <c r="R40" s="1">
        <f>CEILING(Warrior!$B7 / IF(Warrior!$D7&lt; 10.8, $Q$6, $Q$6 / (Warrior!$D7 / 10.8)),1)</f>
        <v>5</v>
      </c>
      <c r="S40" s="4"/>
      <c r="T40" s="4"/>
      <c r="U40" s="4"/>
      <c r="W40" s="4"/>
      <c r="X40" s="4"/>
      <c r="Y40" s="1">
        <v>5</v>
      </c>
      <c r="Z40" s="1">
        <f>CEILING(Demon!$B7 / IF(Demon!$D7&lt; 10.8, $AB$6, $AB$6 / (Demon!$D7 / 10.8)),1)</f>
        <v>3</v>
      </c>
      <c r="AA40" s="1">
        <f>CEILING(Elf!$B7 / IF(Elf!$D7 &lt; 10.8, $AB$6, $AB$6 / (Elf!$D7 / 10.8)),1)</f>
        <v>3</v>
      </c>
      <c r="AB40" s="1">
        <f>CEILING(Beastgirl!$B8 / IF(Beastgirl!$D8&lt; 10.8, $AB$6, $AB$6 / (Beastgirl!$D8 / 10.8)),1)</f>
        <v>7</v>
      </c>
      <c r="AC40" s="1">
        <f>CEILING(Warrior!$B8 / IF(Warrior!$D8&lt; 10.8, $AB$6, $AB$6 / (Warrior!$D8 / 10.8)),1)</f>
        <v>5</v>
      </c>
      <c r="AD40" s="4"/>
      <c r="AE40" s="4"/>
      <c r="AF40" s="4"/>
      <c r="AG40" s="4"/>
    </row>
    <row r="41" spans="1:33" s="1" customFormat="1" x14ac:dyDescent="0.3">
      <c r="C41" s="1">
        <v>6</v>
      </c>
      <c r="D41" s="1">
        <f>CEILING(Demon!$B8/ IF(Demon!$D8&lt; 10.8, $F$6, $F$6 / (Demon!$D8 / 10.8)),1)</f>
        <v>7</v>
      </c>
      <c r="E41" s="1">
        <f>CEILING(Elf!$B8 / IF(Elf!$D8&lt; 10.8, $F$6,$F$6 / (Elf!$D8 / 10.8)),1)</f>
        <v>7</v>
      </c>
      <c r="F41" s="1">
        <f>CEILING(Beastgirl!$B8/ IF(Beastgirl!$D8&lt; 10.8, $F$6, $F$6 / (Beastgirl!$D8/ 10.8)),1)</f>
        <v>14</v>
      </c>
      <c r="G41" s="1">
        <f>CEILING(Warrior!$B8 / IF(Warrior!$D8&lt; 10.8, $F$6, $F$6 / (Warrior!$D8 / 10.8)),1)</f>
        <v>9</v>
      </c>
      <c r="I41" s="4"/>
      <c r="J41" s="4"/>
      <c r="K41" s="4"/>
      <c r="L41" s="4"/>
      <c r="M41" s="4"/>
      <c r="N41" s="1">
        <v>6</v>
      </c>
      <c r="O41" s="1">
        <f>CEILING(Demon!$B8 / IF(Demon!$D8&lt; 10.8, $Q$6, $Q$6 / (Demon!$D8/ 10.8)),1)</f>
        <v>5</v>
      </c>
      <c r="P41" s="1">
        <f>CEILING(Elf!$B8/ IF(Elf!$D8 &lt; 10.8, $Q$6, $Q$6 / (Elf!$D8 / 10.8)),1)</f>
        <v>5</v>
      </c>
      <c r="Q41" s="1">
        <f>CEILING(Beastgirl!$B8/ IF(Beastgirl!$D8&lt; 10.8, $Q$6, $Q$6 / (Beastgirl!$D8 / 10.8)),1)</f>
        <v>9</v>
      </c>
      <c r="R41" s="1">
        <f>CEILING(Warrior!$B8 / IF(Warrior!$D8&lt; 10.8, $Q$6, $Q$6 / (Warrior!$D8 / 10.8)),1)</f>
        <v>6</v>
      </c>
      <c r="S41" s="4"/>
      <c r="T41" s="4"/>
      <c r="U41" s="4"/>
      <c r="W41" s="4"/>
      <c r="X41" s="4"/>
      <c r="Y41" s="1">
        <v>6</v>
      </c>
      <c r="Z41" s="1">
        <f>CEILING(Demon!$B8 / IF(Demon!$D8&lt; 10.8, $AB$6, $AB$6 / (Demon!$D8 / 10.8)),1)</f>
        <v>4</v>
      </c>
      <c r="AA41" s="1">
        <f>CEILING(Elf!$B8 / IF(Elf!$D8 &lt; 10.8, $AB$6, $AB$6 / (Elf!$D8 / 10.8)),1)</f>
        <v>4</v>
      </c>
      <c r="AB41" s="1">
        <f>CEILING(Beastgirl!$B9 / IF(Beastgirl!$D9&lt; 10.8, $AB$6, $AB$6 / (Beastgirl!$D9 / 10.8)),1)</f>
        <v>8</v>
      </c>
      <c r="AC41" s="1">
        <f>CEILING(Warrior!$B9 / IF(Warrior!$D9&lt; 10.8, $AB$6, $AB$6 / (Warrior!$D9 / 10.8)),1)</f>
        <v>6</v>
      </c>
      <c r="AD41" s="4"/>
      <c r="AE41" s="4"/>
      <c r="AF41" s="4"/>
      <c r="AG41" s="4"/>
    </row>
    <row r="42" spans="1:33" s="1" customFormat="1" x14ac:dyDescent="0.3">
      <c r="C42" s="1">
        <v>7</v>
      </c>
      <c r="D42" s="1">
        <f>CEILING(Demon!$B9/ IF(Demon!$D9&lt; 10.8, $F$6, $F$6 / (Demon!$D9 / 10.8)),1)</f>
        <v>8</v>
      </c>
      <c r="E42" s="1">
        <f>CEILING(Elf!$B9 / IF(Elf!$D9&lt; 10.8, $F$6,$F$6 / (Elf!$D9 / 10.8)),1)</f>
        <v>8</v>
      </c>
      <c r="F42" s="1">
        <f>CEILING(Beastgirl!$B9/ IF(Beastgirl!$D9&lt; 10.8, $F$6, $F$6 / (Beastgirl!$D9/ 10.8)),1)</f>
        <v>16</v>
      </c>
      <c r="G42" s="1">
        <f>CEILING(Warrior!$B9 / IF(Warrior!$D9&lt; 10.8, $F$6, $F$6 / (Warrior!$D9 / 10.8)),1)</f>
        <v>11</v>
      </c>
      <c r="I42" s="4"/>
      <c r="J42" s="4"/>
      <c r="K42" s="4"/>
      <c r="L42" s="4"/>
      <c r="M42" s="4"/>
      <c r="N42" s="1">
        <v>7</v>
      </c>
      <c r="O42" s="1">
        <f>CEILING(Demon!$B9 / IF(Demon!$D9&lt; 10.8, $Q$6, $Q$6 / (Demon!$D9/ 10.8)),1)</f>
        <v>6</v>
      </c>
      <c r="P42" s="1">
        <f>CEILING(Elf!$B9/ IF(Elf!$D9 &lt; 10.8, $Q$6, $Q$6 / (Elf!$D9 / 10.8)),1)</f>
        <v>5</v>
      </c>
      <c r="Q42" s="1">
        <f>CEILING(Beastgirl!$B9/ IF(Beastgirl!$D9&lt; 10.8, $Q$6, $Q$6 / (Beastgirl!$D9 / 10.8)),1)</f>
        <v>11</v>
      </c>
      <c r="R42" s="1">
        <f>CEILING(Warrior!$B9 / IF(Warrior!$D9&lt; 10.8, $Q$6, $Q$6 / (Warrior!$D9 / 10.8)),1)</f>
        <v>7</v>
      </c>
      <c r="S42" s="4"/>
      <c r="T42" s="4"/>
      <c r="U42" s="4"/>
      <c r="W42" s="4"/>
      <c r="X42" s="4"/>
      <c r="Y42" s="1">
        <v>7</v>
      </c>
      <c r="Z42" s="1">
        <f>CEILING(Demon!$B9 / IF(Demon!$D9&lt; 10.8, $AB$6, $AB$6 / (Demon!$D9 / 10.8)),1)</f>
        <v>4</v>
      </c>
      <c r="AA42" s="1">
        <f>CEILING(Elf!$B9 / IF(Elf!$D9 &lt; 10.8, $AB$6, $AB$6 / (Elf!$D9 / 10.8)),1)</f>
        <v>4</v>
      </c>
      <c r="AB42" s="1">
        <f>CEILING(Beastgirl!$B10 / IF(Beastgirl!$D10&lt; 10.8, $AB$6, $AB$6 / (Beastgirl!$D10 / 10.8)),1)</f>
        <v>10</v>
      </c>
      <c r="AC42" s="1">
        <f>CEILING(Warrior!$B10 / IF(Warrior!$D10&lt; 10.8, $AB$6, $AB$6 / (Warrior!$D10 / 10.8)),1)</f>
        <v>7</v>
      </c>
      <c r="AD42" s="4"/>
      <c r="AE42" s="4"/>
      <c r="AF42" s="4"/>
      <c r="AG42" s="4"/>
    </row>
    <row r="43" spans="1:33" s="1" customFormat="1" x14ac:dyDescent="0.3">
      <c r="C43" s="1">
        <v>8</v>
      </c>
      <c r="D43" s="1">
        <f>CEILING(Demon!$B10/ IF(Demon!$D10&lt; 10.8, $F$6, $F$6 / (Demon!$D10 / 10.8)),1)</f>
        <v>9</v>
      </c>
      <c r="E43" s="1">
        <f>CEILING(Elf!$B10 / IF(Elf!$D10&lt; 10.8, $F$6,$F$6 / (Elf!$D10 / 10.8)),1)</f>
        <v>9</v>
      </c>
      <c r="F43" s="1">
        <f>CEILING(Beastgirl!$B10/ IF(Beastgirl!$D10&lt; 10.8, $F$6, $F$6 / (Beastgirl!$D10/ 10.8)),1)</f>
        <v>19</v>
      </c>
      <c r="G43" s="1">
        <f>CEILING(Warrior!$B10 / IF(Warrior!$D10&lt; 10.8, $F$6, $F$6 / (Warrior!$D10 / 10.8)),1)</f>
        <v>13</v>
      </c>
      <c r="I43" s="4"/>
      <c r="J43" s="4"/>
      <c r="K43" s="4"/>
      <c r="L43" s="4"/>
      <c r="M43" s="4"/>
      <c r="N43" s="1">
        <v>8</v>
      </c>
      <c r="O43" s="1">
        <f>CEILING(Demon!$B10 / IF(Demon!$D10&lt; 10.8, $Q$6, $Q$6 / (Demon!$D10/ 10.8)),1)</f>
        <v>6</v>
      </c>
      <c r="P43" s="1">
        <f>CEILING(Elf!$B10/ IF(Elf!$D10 &lt; 10.8, $Q$6, $Q$6 / (Elf!$D10 / 10.8)),1)</f>
        <v>6</v>
      </c>
      <c r="Q43" s="1">
        <f>CEILING(Beastgirl!$B10/ IF(Beastgirl!$D10&lt; 10.8, $Q$6, $Q$6 / (Beastgirl!$D10 / 10.8)),1)</f>
        <v>13</v>
      </c>
      <c r="R43" s="1">
        <f>CEILING(Warrior!$B10 / IF(Warrior!$D10&lt; 10.8, $Q$6, $Q$6 / (Warrior!$D10 / 10.8)),1)</f>
        <v>9</v>
      </c>
      <c r="S43" s="4"/>
      <c r="T43" s="4"/>
      <c r="U43" s="4"/>
      <c r="W43" s="4"/>
      <c r="X43" s="4"/>
      <c r="Y43" s="1">
        <v>8</v>
      </c>
      <c r="Z43" s="1">
        <f>CEILING(Demon!$B10 / IF(Demon!$D10&lt; 10.8, $AB$6, $AB$6 / (Demon!$D10 / 10.8)),1)</f>
        <v>5</v>
      </c>
      <c r="AA43" s="1">
        <f>CEILING(Elf!$B10 / IF(Elf!$D10 &lt; 10.8, $AB$6, $AB$6 / (Elf!$D10 / 10.8)),1)</f>
        <v>5</v>
      </c>
      <c r="AB43" s="1">
        <f>CEILING(Beastgirl!$B11 / IF(Beastgirl!$D11&lt; 10.8, $AB$6, $AB$6 / (Beastgirl!$D11 / 10.8)),1)</f>
        <v>11</v>
      </c>
      <c r="AC43" s="1">
        <f>CEILING(Warrior!$B11 / IF(Warrior!$D11&lt; 10.8, $AB$6, $AB$6 / (Warrior!$D11 / 10.8)),1)</f>
        <v>8</v>
      </c>
      <c r="AD43" s="4"/>
      <c r="AE43" s="4"/>
      <c r="AF43" s="4"/>
      <c r="AG43" s="4"/>
    </row>
    <row r="44" spans="1:33" s="1" customFormat="1" x14ac:dyDescent="0.3">
      <c r="C44" s="1">
        <v>9</v>
      </c>
      <c r="D44" s="1">
        <f>CEILING(Demon!$B11/ IF(Demon!$D11&lt; 10.8, $F$6, $F$6 / (Demon!$D11 / 10.8)),1)</f>
        <v>11</v>
      </c>
      <c r="E44" s="1">
        <f>CEILING(Elf!$B11 / IF(Elf!$D11&lt; 10.8, $F$6,$F$6 / (Elf!$D11 / 10.8)),1)</f>
        <v>11</v>
      </c>
      <c r="F44" s="1">
        <f>CEILING(Beastgirl!$B11/ IF(Beastgirl!$D11&lt; 10.8, $F$6, $F$6 / (Beastgirl!$D11/ 10.8)),1)</f>
        <v>22</v>
      </c>
      <c r="G44" s="1">
        <f>CEILING(Warrior!$B11 / IF(Warrior!$D11&lt; 10.8, $F$6, $F$6 / (Warrior!$D11 / 10.8)),1)</f>
        <v>15</v>
      </c>
      <c r="I44" s="4"/>
      <c r="J44" s="4"/>
      <c r="K44" s="4"/>
      <c r="L44" s="4"/>
      <c r="M44" s="4"/>
      <c r="N44" s="1">
        <v>9</v>
      </c>
      <c r="O44" s="1">
        <f>CEILING(Demon!$B11 / IF(Demon!$D11&lt; 10.8, $Q$6, $Q$6 / (Demon!$D11/ 10.8)),1)</f>
        <v>8</v>
      </c>
      <c r="P44" s="1">
        <f>CEILING(Elf!$B11/ IF(Elf!$D11 &lt; 10.8, $Q$6, $Q$6 / (Elf!$D11 / 10.8)),1)</f>
        <v>7</v>
      </c>
      <c r="Q44" s="1">
        <f>CEILING(Beastgirl!$B11/ IF(Beastgirl!$D11&lt; 10.8, $Q$6, $Q$6 / (Beastgirl!$D11 / 10.8)),1)</f>
        <v>15</v>
      </c>
      <c r="R44" s="1">
        <f>CEILING(Warrior!$B11 / IF(Warrior!$D11&lt; 10.8, $Q$6, $Q$6 / (Warrior!$D11 / 10.8)),1)</f>
        <v>10</v>
      </c>
      <c r="S44" s="4"/>
      <c r="T44" s="4"/>
      <c r="U44" s="4"/>
      <c r="W44" s="4"/>
      <c r="X44" s="4"/>
      <c r="Y44" s="1">
        <v>9</v>
      </c>
      <c r="Z44" s="1">
        <f>CEILING(Demon!$B11 / IF(Demon!$D11&lt; 10.8, $AB$6, $AB$6 / (Demon!$D11 / 10.8)),1)</f>
        <v>6</v>
      </c>
      <c r="AA44" s="1">
        <f>CEILING(Elf!$B11 / IF(Elf!$D11 &lt; 10.8, $AB$6, $AB$6 / (Elf!$D11 / 10.8)),1)</f>
        <v>6</v>
      </c>
      <c r="AB44" s="1">
        <f>CEILING(Beastgirl!$B12 / IF(Beastgirl!$D12&lt; 10.8, $AB$6, $AB$6 / (Beastgirl!$D12 / 10.8)),1)</f>
        <v>13</v>
      </c>
      <c r="AC44" s="1">
        <f>CEILING(Warrior!$B12 / IF(Warrior!$D12&lt; 10.8, $AB$6, $AB$6 / (Warrior!$D12 / 10.8)),1)</f>
        <v>9</v>
      </c>
      <c r="AD44" s="4"/>
      <c r="AE44" s="4"/>
      <c r="AF44" s="4"/>
      <c r="AG44" s="4"/>
    </row>
    <row r="45" spans="1:33" s="1" customFormat="1" x14ac:dyDescent="0.3">
      <c r="C45" s="1">
        <v>10</v>
      </c>
      <c r="D45" s="1">
        <f>CEILING(Demon!$B12/ IF(Demon!$D12&lt; 10.8, $F$6, $F$6 / (Demon!$D12 / 10.8)),1)</f>
        <v>13</v>
      </c>
      <c r="E45" s="1">
        <f>CEILING(Elf!$B12 / IF(Elf!$D12&lt; 10.8, $F$6,$F$6 / (Elf!$D12 / 10.8)),1)</f>
        <v>13</v>
      </c>
      <c r="F45" s="1">
        <f>CEILING(Beastgirl!$B12/ IF(Beastgirl!$D12&lt; 10.8, $F$6, $F$6 / (Beastgirl!$D12/ 10.8)),1)</f>
        <v>25</v>
      </c>
      <c r="G45" s="1">
        <f>CEILING(Warrior!$B12 / IF(Warrior!$D12&lt; 10.8, $F$6, $F$6 / (Warrior!$D12 / 10.8)),1)</f>
        <v>17</v>
      </c>
      <c r="I45" s="4"/>
      <c r="J45" s="4"/>
      <c r="K45" s="4"/>
      <c r="L45" s="4"/>
      <c r="M45" s="4"/>
      <c r="N45" s="1">
        <v>10</v>
      </c>
      <c r="O45" s="1">
        <f>CEILING(Demon!$B12 / IF(Demon!$D12&lt; 10.8, $Q$6, $Q$6 / (Demon!$D12/ 10.8)),1)</f>
        <v>9</v>
      </c>
      <c r="P45" s="1">
        <f>CEILING(Elf!$B12/ IF(Elf!$D12 &lt; 10.8, $Q$6, $Q$6 / (Elf!$D12 / 10.8)),1)</f>
        <v>9</v>
      </c>
      <c r="Q45" s="1">
        <f>CEILING(Beastgirl!$B12/ IF(Beastgirl!$D12&lt; 10.8, $Q$6, $Q$6 / (Beastgirl!$D12 / 10.8)),1)</f>
        <v>17</v>
      </c>
      <c r="R45" s="1">
        <f>CEILING(Warrior!$B12 / IF(Warrior!$D12&lt; 10.8, $Q$6, $Q$6 / (Warrior!$D12 / 10.8)),1)</f>
        <v>11</v>
      </c>
      <c r="S45" s="4"/>
      <c r="T45" s="4"/>
      <c r="U45" s="4"/>
      <c r="W45" s="4"/>
      <c r="X45" s="4"/>
      <c r="Y45" s="1">
        <v>10</v>
      </c>
      <c r="Z45" s="1">
        <f>CEILING(Demon!$B12 / IF(Demon!$D12&lt; 10.8, $AB$6, $AB$6 / (Demon!$D12 / 10.8)),1)</f>
        <v>7</v>
      </c>
      <c r="AA45" s="1">
        <f>CEILING(Elf!$B12 / IF(Elf!$D12 &lt; 10.8, $AB$6, $AB$6 / (Elf!$D12 / 10.8)),1)</f>
        <v>7</v>
      </c>
      <c r="AB45" s="1">
        <f>CEILING(Beastgirl!$B13 / IF(Beastgirl!$D13&lt; 10.8, $AB$6, $AB$6 / (Beastgirl!$D13 / 10.8)),1)</f>
        <v>14</v>
      </c>
      <c r="AC45" s="1">
        <f>CEILING(Warrior!$B13 / IF(Warrior!$D13&lt; 10.8, $AB$6, $AB$6 / (Warrior!$D13 / 10.8)),1)</f>
        <v>10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34:G34"/>
    <mergeCell ref="N34:R34"/>
    <mergeCell ref="Y34:AC34"/>
    <mergeCell ref="A1:K1"/>
    <mergeCell ref="L1:V1"/>
    <mergeCell ref="W1:AF1"/>
    <mergeCell ref="C8:G8"/>
    <mergeCell ref="N8:R8"/>
    <mergeCell ref="Y8:AC8"/>
    <mergeCell ref="C21:G21"/>
    <mergeCell ref="N21:R21"/>
    <mergeCell ref="Y21:AC21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0BC9-5BEE-4C72-8A8C-1E54E3B37EA5}">
  <dimension ref="A1:AG6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109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7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40</v>
      </c>
      <c r="C3" s="1"/>
      <c r="D3" s="1">
        <v>6</v>
      </c>
      <c r="E3" s="1">
        <v>8</v>
      </c>
      <c r="F3" s="1">
        <v>2</v>
      </c>
      <c r="G3" s="1">
        <v>4</v>
      </c>
      <c r="H3" s="1">
        <v>4</v>
      </c>
      <c r="I3" s="1">
        <v>7</v>
      </c>
      <c r="J3" s="1">
        <v>10</v>
      </c>
      <c r="K3" s="1"/>
      <c r="L3" s="4">
        <v>1</v>
      </c>
      <c r="M3" s="1">
        <f>Table584111[[#This Row],[HP]] * 1.5</f>
        <v>60</v>
      </c>
      <c r="N3" s="1"/>
      <c r="O3" s="1">
        <f>Table584111[[#This Row],[DEF]] * 1.5</f>
        <v>9</v>
      </c>
      <c r="P3" s="1">
        <f>Table584111[[#This Row],[AGI]] * 1.5</f>
        <v>12</v>
      </c>
      <c r="Q3" s="1">
        <f>Table584111[[#This Row],[STR]] * 1.5</f>
        <v>3</v>
      </c>
      <c r="R3" s="1">
        <f>Table584111[[#This Row],[INT]] * 1.5</f>
        <v>6</v>
      </c>
      <c r="S3" s="1">
        <f xml:space="preserve"> Table584111[[#This Row],[DEX]] * 1.5</f>
        <v>6</v>
      </c>
      <c r="T3" s="1">
        <f>Table584111[[#This Row],[XP Given]] * 1.25</f>
        <v>8.75</v>
      </c>
      <c r="U3" s="1"/>
      <c r="V3" s="1"/>
      <c r="W3" s="4">
        <v>1</v>
      </c>
      <c r="X3" s="1">
        <f>Table584111[[#This Row],[HP]] * 2</f>
        <v>80</v>
      </c>
      <c r="Y3" s="1"/>
      <c r="Z3" s="1">
        <f>Table584111[[#This Row],[DEF]] * 2</f>
        <v>12</v>
      </c>
      <c r="AA3" s="1">
        <f>Table584111[[#This Row],[AGI]] * 2</f>
        <v>16</v>
      </c>
      <c r="AB3" s="1">
        <f>Table584111[[#This Row],[STR]] * 2</f>
        <v>4</v>
      </c>
      <c r="AC3" s="1">
        <f>Table584111[[#This Row],[INT]] * 2</f>
        <v>8</v>
      </c>
      <c r="AD3" s="1">
        <f xml:space="preserve"> Table584111[[#This Row],[DEX]] * 2</f>
        <v>8</v>
      </c>
      <c r="AE3" s="1">
        <f>Table584111[[#This Row],[XP Given]] * 1.5</f>
        <v>10.5</v>
      </c>
      <c r="AF3" s="1"/>
    </row>
    <row r="4" spans="1:32" x14ac:dyDescent="0.3">
      <c r="A4" s="4">
        <v>9</v>
      </c>
      <c r="B4" s="1">
        <f>$B$3 + ((Table584111[[#This Row],[LV]] / 10) + $B$3 / 8) * Table584111[[#This Row],[LV]]</f>
        <v>93.1</v>
      </c>
      <c r="C4" s="1"/>
      <c r="D4" s="1">
        <f>$D$3 + ($D$3 / 4) * Table584111[[#This Row],[LV]]</f>
        <v>19.5</v>
      </c>
      <c r="E4" s="1">
        <f>$E$3 + ($E$3 / 4) * Table584111[[#This Row],[LV]]</f>
        <v>26</v>
      </c>
      <c r="F4" s="1">
        <f>$F$3 + ($F$3 / 4) * Table584111[[#This Row],[LV]]</f>
        <v>6.5</v>
      </c>
      <c r="G4" s="1">
        <f>$G$3 + ($G$3 / 4) * Table584111[[#This Row],[LV]]</f>
        <v>13</v>
      </c>
      <c r="H4" s="1">
        <f>$H$3 + ($H$3 / 4) * Table584111[[#This Row],[LV]]</f>
        <v>13</v>
      </c>
      <c r="I4" s="1">
        <f>$I$3 + $I$3 * Table584111[[#This Row],[LV]] *25 / 100</f>
        <v>22.75</v>
      </c>
      <c r="J4" s="1">
        <f>$J$3 + $J$3 * Table584111[[#This Row],[LV]] * 25 / 100</f>
        <v>32.5</v>
      </c>
      <c r="K4" s="1"/>
      <c r="L4" s="4">
        <v>9</v>
      </c>
      <c r="M4" s="1">
        <f>$M$3 + ((Table5985112[[#This Row],[LV]] / 10) + $M$3 / 8) * Table5985112[[#This Row],[LV]]</f>
        <v>135.60000000000002</v>
      </c>
      <c r="N4" s="1"/>
      <c r="O4" s="1">
        <f>$O$3 + ($O$3 / 4) * Table5985112[[#This Row],[LV]]</f>
        <v>29.25</v>
      </c>
      <c r="P4" s="1">
        <f>$P$3 + ($P$3 / 4) * Table5985112[[#This Row],[LV]]</f>
        <v>39</v>
      </c>
      <c r="Q4" s="1">
        <f>$Q$3 + ($Q$3 / 4) * Table5985112[[#This Row],[LV]]</f>
        <v>9.75</v>
      </c>
      <c r="R4" s="1">
        <f>$R$3 + ($R$3 / 4) * Table5985112[[#This Row],[LV]]</f>
        <v>19.5</v>
      </c>
      <c r="S4" s="1">
        <f>$S$3 + ($S$3 / 4) * Table5985112[[#This Row],[LV]]</f>
        <v>19.5</v>
      </c>
      <c r="T4" s="1">
        <f>Table584111[[#This Row],[XP Given]] * 1.25</f>
        <v>28.4375</v>
      </c>
      <c r="U4" s="1">
        <f>Table584111[[#This Row],[Gold Given]] * 1.25</f>
        <v>40.625</v>
      </c>
      <c r="V4" s="1"/>
      <c r="W4" s="4">
        <v>9</v>
      </c>
      <c r="X4" s="1">
        <f>$X$3 + ((Table591086113[[#This Row],[LV]] / 10) + $X$3 / 8) * Table591086113[[#This Row],[LV]]</f>
        <v>178.10000000000002</v>
      </c>
      <c r="Y4" s="1"/>
      <c r="Z4" s="1">
        <f>$Z$3 + ($Z$3 / 4) * Table591086113[[#This Row],[LV]]</f>
        <v>39</v>
      </c>
      <c r="AA4" s="1">
        <f>$AA$3 + ($AA$3 / 4) * Table591086113[[#This Row],[LV]]</f>
        <v>52</v>
      </c>
      <c r="AB4" s="1">
        <f>$AB$3 + ($AB$3 / 4) * Table591086113[[#This Row],[LV]]</f>
        <v>13</v>
      </c>
      <c r="AC4" s="1">
        <f>$AC$3 + ($AC$3 / 4) * Table591086113[[#This Row],[LV]]</f>
        <v>26</v>
      </c>
      <c r="AD4" s="1">
        <f>$AD$3 + ($AD$3 / 4) * Table591086113[[#This Row],[LV]]</f>
        <v>26</v>
      </c>
      <c r="AE4" s="1">
        <f>Table584111[[#This Row],[XP Given]] * 1.5</f>
        <v>34.125</v>
      </c>
      <c r="AF4" s="1">
        <f>Table584111[[#This Row],[Gold Given]] * 1.5</f>
        <v>48.75</v>
      </c>
    </row>
    <row r="5" spans="1:32" x14ac:dyDescent="0.3">
      <c r="A5" s="4">
        <v>10</v>
      </c>
      <c r="B5" s="1">
        <f>$B$3 + ((Table584111[[#This Row],[LV]] / 10) + $B$3 / 8) * Table584111[[#This Row],[LV]]</f>
        <v>100</v>
      </c>
      <c r="C5" s="1"/>
      <c r="D5" s="1">
        <f>$D$3 + ($D$3 / 4) * Table584111[[#This Row],[LV]]</f>
        <v>21</v>
      </c>
      <c r="E5" s="1">
        <f>$E$3 + ($E$3 / 4) * Table584111[[#This Row],[LV]]</f>
        <v>28</v>
      </c>
      <c r="F5" s="1">
        <f>$F$3 + ($F$3 / 4) * Table584111[[#This Row],[LV]]</f>
        <v>7</v>
      </c>
      <c r="G5" s="1">
        <f>$G$3 + ($G$3 / 4) * Table584111[[#This Row],[LV]]</f>
        <v>14</v>
      </c>
      <c r="H5" s="1">
        <f>$H$3 + ($H$3 / 4) * Table584111[[#This Row],[LV]]</f>
        <v>14</v>
      </c>
      <c r="I5" s="1">
        <f>$I$3 + $I$3 * Table584111[[#This Row],[LV]] *25 / 100</f>
        <v>24.5</v>
      </c>
      <c r="J5" s="1">
        <f>$J$3 + $J$3 * Table584111[[#This Row],[LV]] * 25 / 100</f>
        <v>35</v>
      </c>
      <c r="K5" s="1"/>
      <c r="L5" s="4">
        <v>10</v>
      </c>
      <c r="M5" s="1">
        <f>$M$3 + ((Table5985112[[#This Row],[LV]] / 10) + $M$3 / 8) * Table5985112[[#This Row],[LV]]</f>
        <v>145</v>
      </c>
      <c r="N5" s="1"/>
      <c r="O5" s="1">
        <f>$O$3 + ($O$3 / 4) * Table5985112[[#This Row],[LV]]</f>
        <v>31.5</v>
      </c>
      <c r="P5" s="1">
        <f>$P$3 + ($P$3 / 4) * Table5985112[[#This Row],[LV]]</f>
        <v>42</v>
      </c>
      <c r="Q5" s="1">
        <f>$Q$3 + ($Q$3 / 4) * Table5985112[[#This Row],[LV]]</f>
        <v>10.5</v>
      </c>
      <c r="R5" s="1">
        <f>$R$3 + ($R$3 / 4) * Table5985112[[#This Row],[LV]]</f>
        <v>21</v>
      </c>
      <c r="S5" s="1">
        <f>$S$3 + ($S$3 / 4) * Table5985112[[#This Row],[LV]]</f>
        <v>21</v>
      </c>
      <c r="T5" s="1">
        <f>Table584111[[#This Row],[XP Given]] * 1.25</f>
        <v>30.625</v>
      </c>
      <c r="U5" s="1">
        <f>Table584111[[#This Row],[Gold Given]] * 1.25</f>
        <v>43.75</v>
      </c>
      <c r="V5" s="1"/>
      <c r="W5" s="4">
        <v>10</v>
      </c>
      <c r="X5" s="1">
        <f>$X$3 + ((Table591086113[[#This Row],[LV]] / 10) + $X$3 / 8) * Table591086113[[#This Row],[LV]]</f>
        <v>190</v>
      </c>
      <c r="Y5" s="1"/>
      <c r="Z5" s="1">
        <f>$Z$3 + ($Z$3 / 4) * Table591086113[[#This Row],[LV]]</f>
        <v>42</v>
      </c>
      <c r="AA5" s="1">
        <f>$AA$3 + ($AA$3 / 4) * Table591086113[[#This Row],[LV]]</f>
        <v>56</v>
      </c>
      <c r="AB5" s="1">
        <f>$AB$3 + ($AB$3 / 4) * Table591086113[[#This Row],[LV]]</f>
        <v>14</v>
      </c>
      <c r="AC5" s="1">
        <f>$AC$3 + ($AC$3 / 4) * Table591086113[[#This Row],[LV]]</f>
        <v>28</v>
      </c>
      <c r="AD5" s="1">
        <f>$AD$3 + ($AD$3 / 4) * Table591086113[[#This Row],[LV]]</f>
        <v>28</v>
      </c>
      <c r="AE5" s="1">
        <f>Table584111[[#This Row],[XP Given]] * 1.5</f>
        <v>36.75</v>
      </c>
      <c r="AF5" s="1">
        <f>Table584111[[#This Row],[Gold Given]] * 1.5</f>
        <v>52.5</v>
      </c>
    </row>
    <row r="7" spans="1:32" ht="25.8" x14ac:dyDescent="0.3">
      <c r="C7" s="53" t="s">
        <v>42</v>
      </c>
      <c r="D7" s="53"/>
      <c r="E7" s="53"/>
      <c r="F7" s="53"/>
      <c r="G7" s="53"/>
      <c r="H7" s="7"/>
      <c r="N7" s="53" t="s">
        <v>42</v>
      </c>
      <c r="O7" s="53"/>
      <c r="P7" s="53"/>
      <c r="Q7" s="53"/>
      <c r="R7" s="53"/>
      <c r="S7" s="7"/>
      <c r="T7" s="7"/>
      <c r="U7" s="7"/>
      <c r="V7" s="7"/>
      <c r="Y7" s="53" t="s">
        <v>42</v>
      </c>
      <c r="Z7" s="53"/>
      <c r="AA7" s="53"/>
      <c r="AB7" s="53"/>
      <c r="AC7" s="53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2</v>
      </c>
      <c r="E9" s="1">
        <f>CEILING(Elf!$B3 / IF(Elf!$D3 &lt; 10.8, $F$4, $F$4 / (Elf!$D3 / 10.8)),1)</f>
        <v>2</v>
      </c>
      <c r="F9" s="1">
        <f>CEILING(Beastgirl!$B3/ IF(Beastgirl!$D3&lt; 10.8,$F$4, $F$4 / (Beastgirl!$D3 / 10.8)),1)</f>
        <v>3</v>
      </c>
      <c r="G9" s="1">
        <f>CEILING(Warrior!$B3/ IF(Warrior!$D3&lt; 10.8, $F$4, $F$4 / (Warrior!$D3 / 10.8)),1)</f>
        <v>2</v>
      </c>
      <c r="N9" s="1">
        <v>1</v>
      </c>
      <c r="O9" s="1">
        <f>CEILING(Demon!$B3 / IF(Demon!$D3&lt; 10.8, $Q$4, $Q$4 / (Demon!$D3 / 10.8)),1)</f>
        <v>2</v>
      </c>
      <c r="P9" s="1">
        <f>CEILING(Elf!$B3 / IF(Elf!$D3 &lt; 10.8, $Q$4, $Q$4 / (Elf!$D3 / 10.8)),1)</f>
        <v>1</v>
      </c>
      <c r="Q9" s="1">
        <f>CEILING(Beastgirl!$B3 / IF(Beastgirl!$D3&lt; 10.8, $Q$4, $Q$4 / (Beastgirl!$D3 / 10.8)),1)</f>
        <v>2</v>
      </c>
      <c r="R9" s="1">
        <f>CEILING(Warrior!$B3 / IF(Warrior!$D3&lt; 10.8, $Q$4, $Q$4 / (Warrior!$D3 / 10.8)),1)</f>
        <v>2</v>
      </c>
      <c r="Y9" s="1">
        <v>1</v>
      </c>
      <c r="Z9" s="1">
        <f>CEILING(Demon!$B3 / IF(Demon!$D3&lt; 10.8, $AB$4, $AB$4 / (Demon!$D3 / 10.8)),1)</f>
        <v>1</v>
      </c>
      <c r="AA9" s="1">
        <f>CEILING(Elf!$B3 / IF(Elf!$D3 &lt; 10.8, $AB$4, $AB$4 / (Elf!$D3 / 10.8)),1)</f>
        <v>1</v>
      </c>
      <c r="AB9" s="1">
        <f>CEILING(Beastgirl!$B3/ IF(Beastgirl!$D3&lt; 10.8, $AB$4, $AB$4 / (Beastgirl!$D3 / 10.8)),1)</f>
        <v>2</v>
      </c>
      <c r="AC9" s="1">
        <f>CEILING(Warrior!$B3 / IF(Warrior!$D3&lt; 10.8, $AB$4, $AB$4 / (Warrior!$D3 / 10.8)),1)</f>
        <v>1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2</v>
      </c>
      <c r="E10" s="1">
        <f>CEILING(Elf!$B4 / IF(Elf!$D4 &lt; 10.8, $F$4, $F$4 / (Elf!$D4 / 10.8)),1)</f>
        <v>2</v>
      </c>
      <c r="F10" s="1">
        <f>CEILING(Beastgirl!$B4/ IF(Beastgirl!$D4&lt; 10.8,$F$4, $F$4 / (Beastgirl!$D4 / 10.8)),1)</f>
        <v>4</v>
      </c>
      <c r="G10" s="1">
        <f>CEILING(Warrior!$B4/ IF(Warrior!$D4&lt; 10.8, $F$4, $F$4 / (Warrior!$D4 / 10.8)),1)</f>
        <v>3</v>
      </c>
      <c r="N10" s="1">
        <v>2</v>
      </c>
      <c r="O10" s="1">
        <f>CEILING(Demon!$B4 / IF(Demon!$D4&lt; 10.8, $Q$4, $Q$4 / (Demon!$D4 / 10.8)),1)</f>
        <v>2</v>
      </c>
      <c r="P10" s="1">
        <f>CEILING(Elf!$B4 / IF(Elf!$D4 &lt; 10.8, $Q$4, $Q$4 / (Elf!$D4 / 10.8)),1)</f>
        <v>2</v>
      </c>
      <c r="Q10" s="1">
        <f>CEILING(Beastgirl!$B4 / IF(Beastgirl!$D4&lt; 10.8, $Q$4, $Q$4 / (Beastgirl!$D4 / 10.8)),1)</f>
        <v>3</v>
      </c>
      <c r="R10" s="1">
        <f>CEILING(Warrior!$B4 / IF(Warrior!$D4&lt; 10.8, $Q$4, $Q$4 / (Warrior!$D4 / 10.8)),1)</f>
        <v>2</v>
      </c>
      <c r="Y10" s="1">
        <v>2</v>
      </c>
      <c r="Z10" s="1">
        <f>CEILING(Demon!$B4 / IF(Demon!$D4&lt; 10.8, $AB$4, $AB$4 / (Demon!$D4 / 10.8)),1)</f>
        <v>1</v>
      </c>
      <c r="AA10" s="1">
        <f>CEILING(Elf!$B4 / IF(Elf!$D4 &lt; 10.8, $AB$4, $AB$4 / (Elf!$D4 / 10.8)),1)</f>
        <v>1</v>
      </c>
      <c r="AB10" s="1">
        <f>CEILING(Beastgirl!$B4/ IF(Beastgirl!$D4&lt; 10.8, $AB$4, $AB$4 / (Beastgirl!$D4 / 10.8)),1)</f>
        <v>2</v>
      </c>
      <c r="AC10" s="1">
        <f>CEILING(Warrior!$B4 / IF(Warrior!$D4&lt; 10.8, $AB$4, $AB$4 / (Warrior!$D4 / 10.8)),1)</f>
        <v>2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3</v>
      </c>
      <c r="E11" s="1">
        <f>CEILING(Elf!$B5 / IF(Elf!$D5 &lt; 10.8, $F$4, $F$4 / (Elf!$D5 / 10.8)),1)</f>
        <v>2</v>
      </c>
      <c r="F11" s="1">
        <f>CEILING(Beastgirl!$B5/ IF(Beastgirl!$D5&lt; 10.8,$F$4, $F$4 / (Beastgirl!$D5 / 10.8)),1)</f>
        <v>5</v>
      </c>
      <c r="G11" s="1">
        <f>CEILING(Warrior!$B5/ IF(Warrior!$D5&lt; 10.8, $F$4, $F$4 / (Warrior!$D5 / 10.8)),1)</f>
        <v>3</v>
      </c>
      <c r="N11" s="1">
        <v>3</v>
      </c>
      <c r="O11" s="1">
        <f>CEILING(Demon!$B5 / IF(Demon!$D5&lt; 10.8, $Q$4, $Q$4 / (Demon!$D5 / 10.8)),1)</f>
        <v>2</v>
      </c>
      <c r="P11" s="1">
        <f>CEILING(Elf!$B5 / IF(Elf!$D5 &lt; 10.8, $Q$4, $Q$4 / (Elf!$D5 / 10.8)),1)</f>
        <v>2</v>
      </c>
      <c r="Q11" s="1">
        <f>CEILING(Beastgirl!$B5 / IF(Beastgirl!$D5&lt; 10.8, $Q$4, $Q$4 / (Beastgirl!$D5 / 10.8)),1)</f>
        <v>3</v>
      </c>
      <c r="R11" s="1">
        <f>CEILING(Warrior!$B5 / IF(Warrior!$D5&lt; 10.8, $Q$4, $Q$4 / (Warrior!$D5 / 10.8)),1)</f>
        <v>2</v>
      </c>
      <c r="Y11" s="1">
        <v>3</v>
      </c>
      <c r="Z11" s="1">
        <f>CEILING(Demon!$B5 / IF(Demon!$D5&lt; 10.8, $AB$4, $AB$4 / (Demon!$D5 / 10.8)),1)</f>
        <v>2</v>
      </c>
      <c r="AA11" s="1">
        <f>CEILING(Elf!$B5 / IF(Elf!$D5 &lt; 10.8, $AB$4, $AB$4 / (Elf!$D5 / 10.8)),1)</f>
        <v>1</v>
      </c>
      <c r="AB11" s="1">
        <f>CEILING(Beastgirl!$B5/ IF(Beastgirl!$D5&lt; 10.8, $AB$4, $AB$4 / (Beastgirl!$D5 / 10.8)),1)</f>
        <v>3</v>
      </c>
      <c r="AC11" s="1">
        <f>CEILING(Warrior!$B5 / IF(Warrior!$D5&lt; 10.8, $AB$4, $AB$4 / (Warrior!$D5 / 10.8)),1)</f>
        <v>2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3</v>
      </c>
      <c r="E12" s="1">
        <f>CEILING(Elf!$B6 / IF(Elf!$D6 &lt; 10.8, $F$4, $F$4 / (Elf!$D6 / 10.8)),1)</f>
        <v>3</v>
      </c>
      <c r="F12" s="1">
        <f>CEILING(Beastgirl!$B6/ IF(Beastgirl!$D6&lt; 10.8,$F$4, $F$4 / (Beastgirl!$D6 / 10.8)),1)</f>
        <v>6</v>
      </c>
      <c r="G12" s="1">
        <f>CEILING(Warrior!$B6/ IF(Warrior!$D6&lt; 10.8, $F$4, $F$4 / (Warrior!$D6 / 10.8)),1)</f>
        <v>4</v>
      </c>
      <c r="N12" s="1">
        <v>4</v>
      </c>
      <c r="O12" s="1">
        <f>CEILING(Demon!$B6 / IF(Demon!$D6&lt; 10.8, $Q$4, $Q$4 / (Demon!$D6 / 10.8)),1)</f>
        <v>2</v>
      </c>
      <c r="P12" s="1">
        <f>CEILING(Elf!$B6 / IF(Elf!$D6 &lt; 10.8, $Q$4, $Q$4 / (Elf!$D6 / 10.8)),1)</f>
        <v>2</v>
      </c>
      <c r="Q12" s="1">
        <f>CEILING(Beastgirl!$B6 / IF(Beastgirl!$D6&lt; 10.8, $Q$4, $Q$4 / (Beastgirl!$D6 / 10.8)),1)</f>
        <v>4</v>
      </c>
      <c r="R12" s="1">
        <f>CEILING(Warrior!$B6 / IF(Warrior!$D6&lt; 10.8, $Q$4, $Q$4 / (Warrior!$D6 / 10.8)),1)</f>
        <v>3</v>
      </c>
      <c r="Y12" s="1">
        <v>4</v>
      </c>
      <c r="Z12" s="1">
        <f>CEILING(Demon!$B6 / IF(Demon!$D6&lt; 10.8, $AB$4, $AB$4 / (Demon!$D6 / 10.8)),1)</f>
        <v>2</v>
      </c>
      <c r="AA12" s="1">
        <f>CEILING(Elf!$B6 / IF(Elf!$D6 &lt; 10.8, $AB$4, $AB$4 / (Elf!$D6 / 10.8)),1)</f>
        <v>2</v>
      </c>
      <c r="AB12" s="1">
        <f>CEILING(Beastgirl!$B6/ IF(Beastgirl!$D6&lt; 10.8, $AB$4, $AB$4 / (Beastgirl!$D6 / 10.8)),1)</f>
        <v>3</v>
      </c>
      <c r="AC12" s="1">
        <f>CEILING(Warrior!$B6 / IF(Warrior!$D6&lt; 10.8, $AB$4, $AB$4 / (Warrior!$D6 / 10.8)),1)</f>
        <v>2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6</v>
      </c>
      <c r="E13" s="1">
        <f>CEILING(Elf!$B7 / IF(Elf!$D7 &lt; 10.8, $F$4, $F$4 / (Elf!$D7 / 10.8)),1)</f>
        <v>5</v>
      </c>
      <c r="F13" s="1">
        <f>CEILING(Beastgirl!$B7/ IF(Beastgirl!$D7&lt; 10.8,$F$4, $F$4 / (Beastgirl!$D7 / 10.8)),1)</f>
        <v>11</v>
      </c>
      <c r="G13" s="1">
        <f>CEILING(Warrior!$B7/ IF(Warrior!$D7&lt; 10.8, $F$4, $F$4 / (Warrior!$D7 / 10.8)),1)</f>
        <v>7</v>
      </c>
      <c r="N13" s="1">
        <v>5</v>
      </c>
      <c r="O13" s="1">
        <f>CEILING(Demon!$B7 / IF(Demon!$D7&lt; 10.8, $Q$4, $Q$4 / (Demon!$D7 / 10.8)),1)</f>
        <v>4</v>
      </c>
      <c r="P13" s="1">
        <f>CEILING(Elf!$B7 / IF(Elf!$D7 &lt; 10.8, $Q$4, $Q$4 / (Elf!$D7 / 10.8)),1)</f>
        <v>4</v>
      </c>
      <c r="Q13" s="1">
        <f>CEILING(Beastgirl!$B7 / IF(Beastgirl!$D7&lt; 10.8, $Q$4, $Q$4 / (Beastgirl!$D7 / 10.8)),1)</f>
        <v>7</v>
      </c>
      <c r="R13" s="1">
        <f>CEILING(Warrior!$B7 / IF(Warrior!$D7&lt; 10.8, $Q$4, $Q$4 / (Warrior!$D7 / 10.8)),1)</f>
        <v>5</v>
      </c>
      <c r="Y13" s="1">
        <v>5</v>
      </c>
      <c r="Z13" s="1">
        <f>CEILING(Demon!$B7 / IF(Demon!$D7&lt; 10.8, $AB$4, $AB$4 / (Demon!$D7 / 10.8)),1)</f>
        <v>3</v>
      </c>
      <c r="AA13" s="1">
        <f>CEILING(Elf!$B7 / IF(Elf!$D7 &lt; 10.8, $AB$4, $AB$4 / (Elf!$D7 / 10.8)),1)</f>
        <v>3</v>
      </c>
      <c r="AB13" s="1">
        <f>CEILING(Beastgirl!$B7/ IF(Beastgirl!$D7&lt; 10.8, $AB$4, $AB$4 / (Beastgirl!$D7 / 10.8)),1)</f>
        <v>6</v>
      </c>
      <c r="AC13" s="1">
        <f>CEILING(Warrior!$B7 / IF(Warrior!$D7&lt; 10.8, $AB$4, $AB$4 / (Warrior!$D7 / 10.8)),1)</f>
        <v>4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6</v>
      </c>
      <c r="E14" s="1">
        <f>CEILING(Elf!$B8 / IF(Elf!$D8 &lt; 10.8, $F$4, $F$4 / (Elf!$D8 / 10.8)),1)</f>
        <v>6</v>
      </c>
      <c r="F14" s="1">
        <f>CEILING(Beastgirl!$B8/ IF(Beastgirl!$D8&lt; 10.8,$F$4, $F$4 / (Beastgirl!$D8 / 10.8)),1)</f>
        <v>13</v>
      </c>
      <c r="G14" s="1">
        <f>CEILING(Warrior!$B8/ IF(Warrior!$D8&lt; 10.8, $F$4, $F$4 / (Warrior!$D8 / 10.8)),1)</f>
        <v>9</v>
      </c>
      <c r="N14" s="1">
        <v>6</v>
      </c>
      <c r="O14" s="1">
        <f>CEILING(Demon!$B8 / IF(Demon!$D8&lt; 10.8, $Q$4, $Q$4 / (Demon!$D8 / 10.8)),1)</f>
        <v>4</v>
      </c>
      <c r="P14" s="1">
        <f>CEILING(Elf!$B8 / IF(Elf!$D8 &lt; 10.8, $Q$4, $Q$4 / (Elf!$D8 / 10.8)),1)</f>
        <v>4</v>
      </c>
      <c r="Q14" s="1">
        <f>CEILING(Beastgirl!$B8 / IF(Beastgirl!$D8&lt; 10.8, $Q$4, $Q$4 / (Beastgirl!$D8 / 10.8)),1)</f>
        <v>9</v>
      </c>
      <c r="R14" s="1">
        <f>CEILING(Warrior!$B8 / IF(Warrior!$D8&lt; 10.8, $Q$4, $Q$4 / (Warrior!$D8 / 10.8)),1)</f>
        <v>6</v>
      </c>
      <c r="Y14" s="1">
        <v>6</v>
      </c>
      <c r="Z14" s="1">
        <f>CEILING(Demon!$B8 / IF(Demon!$D8&lt; 10.8, $AB$4, $AB$4 / (Demon!$D8 / 10.8)),1)</f>
        <v>3</v>
      </c>
      <c r="AA14" s="1">
        <f>CEILING(Elf!$B8 / IF(Elf!$D8 &lt; 10.8, $AB$4, $AB$4 / (Elf!$D8 / 10.8)),1)</f>
        <v>3</v>
      </c>
      <c r="AB14" s="1">
        <f>CEILING(Beastgirl!$B8/ IF(Beastgirl!$D8&lt; 10.8, $AB$4, $AB$4 / (Beastgirl!$D8 / 10.8)),1)</f>
        <v>7</v>
      </c>
      <c r="AC14" s="1">
        <f>CEILING(Warrior!$B8 / IF(Warrior!$D8&lt; 10.8, $AB$4, $AB$4 / (Warrior!$D8 / 10.8)),1)</f>
        <v>5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8</v>
      </c>
      <c r="E15" s="1">
        <f>CEILING(Elf!$B9 / IF(Elf!$D9 &lt; 10.8, $F$4, $F$4 / (Elf!$D9 / 10.8)),1)</f>
        <v>7</v>
      </c>
      <c r="F15" s="1">
        <f>CEILING(Beastgirl!$B9/ IF(Beastgirl!$D9&lt; 10.8,$F$4, $F$4 / (Beastgirl!$D9 / 10.8)),1)</f>
        <v>15</v>
      </c>
      <c r="G15" s="1">
        <f>CEILING(Warrior!$B9/ IF(Warrior!$D9&lt; 10.8, $F$4, $F$4 / (Warrior!$D9 / 10.8)),1)</f>
        <v>10</v>
      </c>
      <c r="N15" s="1">
        <v>7</v>
      </c>
      <c r="O15" s="1">
        <f>CEILING(Demon!$B9 / IF(Demon!$D9&lt; 10.8, $Q$4, $Q$4 / (Demon!$D9 / 10.8)),1)</f>
        <v>5</v>
      </c>
      <c r="P15" s="1">
        <f>CEILING(Elf!$B9 / IF(Elf!$D9 &lt; 10.8, $Q$4, $Q$4 / (Elf!$D9 / 10.8)),1)</f>
        <v>5</v>
      </c>
      <c r="Q15" s="1">
        <f>CEILING(Beastgirl!$B9 / IF(Beastgirl!$D9&lt; 10.8, $Q$4, $Q$4 / (Beastgirl!$D9 / 10.8)),1)</f>
        <v>10</v>
      </c>
      <c r="R15" s="1">
        <f>CEILING(Warrior!$B9 / IF(Warrior!$D9&lt; 10.8, $Q$4, $Q$4 / (Warrior!$D9 / 10.8)),1)</f>
        <v>7</v>
      </c>
      <c r="Y15" s="1">
        <v>7</v>
      </c>
      <c r="Z15" s="1">
        <f>CEILING(Demon!$B9 / IF(Demon!$D9&lt; 10.8, $AB$4, $AB$4 / (Demon!$D9 / 10.8)),1)</f>
        <v>4</v>
      </c>
      <c r="AA15" s="1">
        <f>CEILING(Elf!$B9 / IF(Elf!$D9 &lt; 10.8, $AB$4, $AB$4 / (Elf!$D9 / 10.8)),1)</f>
        <v>4</v>
      </c>
      <c r="AB15" s="1">
        <f>CEILING(Beastgirl!$B9/ IF(Beastgirl!$D9&lt; 10.8, $AB$4, $AB$4 / (Beastgirl!$D9 / 10.8)),1)</f>
        <v>8</v>
      </c>
      <c r="AC15" s="1">
        <f>CEILING(Warrior!$B9 / IF(Warrior!$D9&lt; 10.8, $AB$4, $AB$4 / (Warrior!$D9 / 10.8)),1)</f>
        <v>5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9</v>
      </c>
      <c r="E16" s="1">
        <f>CEILING(Elf!$B10 / IF(Elf!$D10 &lt; 10.8, $F$4, $F$4 / (Elf!$D10 / 10.8)),1)</f>
        <v>9</v>
      </c>
      <c r="F16" s="1">
        <f>CEILING(Beastgirl!$B10/ IF(Beastgirl!$D10&lt; 10.8,$F$4, $F$4 / (Beastgirl!$D10 / 10.8)),1)</f>
        <v>17</v>
      </c>
      <c r="G16" s="1">
        <f>CEILING(Warrior!$B10/ IF(Warrior!$D10&lt; 10.8, $F$4, $F$4 / (Warrior!$D10 / 10.8)),1)</f>
        <v>12</v>
      </c>
      <c r="N16" s="1">
        <v>8</v>
      </c>
      <c r="O16" s="1">
        <f>CEILING(Demon!$B10 / IF(Demon!$D10&lt; 10.8, $Q$4, $Q$4 / (Demon!$D10 / 10.8)),1)</f>
        <v>6</v>
      </c>
      <c r="P16" s="1">
        <f>CEILING(Elf!$B10 / IF(Elf!$D10 &lt; 10.8, $Q$4, $Q$4 / (Elf!$D10 / 10.8)),1)</f>
        <v>6</v>
      </c>
      <c r="Q16" s="1">
        <f>CEILING(Beastgirl!$B10 / IF(Beastgirl!$D10&lt; 10.8, $Q$4, $Q$4 / (Beastgirl!$D10 / 10.8)),1)</f>
        <v>12</v>
      </c>
      <c r="R16" s="1">
        <f>CEILING(Warrior!$B10 / IF(Warrior!$D10&lt; 10.8, $Q$4, $Q$4 / (Warrior!$D10 / 10.8)),1)</f>
        <v>8</v>
      </c>
      <c r="Y16" s="1">
        <v>8</v>
      </c>
      <c r="Z16" s="1">
        <f>CEILING(Demon!$B10 / IF(Demon!$D10&lt; 10.8, $AB$4, $AB$4 / (Demon!$D10 / 10.8)),1)</f>
        <v>5</v>
      </c>
      <c r="AA16" s="1">
        <f>CEILING(Elf!$B10 / IF(Elf!$D10 &lt; 10.8, $AB$4, $AB$4 / (Elf!$D10 / 10.8)),1)</f>
        <v>5</v>
      </c>
      <c r="AB16" s="1">
        <f>CEILING(Beastgirl!$B10/ IF(Beastgirl!$D10&lt; 10.8, $AB$4, $AB$4 / (Beastgirl!$D10 / 10.8)),1)</f>
        <v>9</v>
      </c>
      <c r="AC16" s="1">
        <f>CEILING(Warrior!$B10 / IF(Warrior!$D10&lt; 10.8, $AB$4, $AB$4 / (Warrior!$D10 / 10.8)),1)</f>
        <v>6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10</v>
      </c>
      <c r="E17" s="1">
        <f>CEILING(Elf!$B11 / IF(Elf!$D11 &lt; 10.8, $F$4, $F$4 / (Elf!$D11 / 10.8)),1)</f>
        <v>10</v>
      </c>
      <c r="F17" s="1">
        <f>CEILING(Beastgirl!$B11/ IF(Beastgirl!$D11&lt; 10.8,$F$4, $F$4 / (Beastgirl!$D11 / 10.8)),1)</f>
        <v>20</v>
      </c>
      <c r="G17" s="1">
        <f>CEILING(Warrior!$B11/ IF(Warrior!$D11&lt; 10.8, $F$4, $F$4 / (Warrior!$D11 / 10.8)),1)</f>
        <v>14</v>
      </c>
      <c r="N17" s="1">
        <v>9</v>
      </c>
      <c r="O17" s="1">
        <f>CEILING(Demon!$B11 / IF(Demon!$D11&lt; 10.8, $Q$4, $Q$4 / (Demon!$D11 / 10.8)),1)</f>
        <v>7</v>
      </c>
      <c r="P17" s="1">
        <f>CEILING(Elf!$B11 / IF(Elf!$D11 &lt; 10.8, $Q$4, $Q$4 / (Elf!$D11 / 10.8)),1)</f>
        <v>7</v>
      </c>
      <c r="Q17" s="1">
        <f>CEILING(Beastgirl!$B11 / IF(Beastgirl!$D11&lt; 10.8, $Q$4, $Q$4 / (Beastgirl!$D11 / 10.8)),1)</f>
        <v>14</v>
      </c>
      <c r="R17" s="1">
        <f>CEILING(Warrior!$B11 / IF(Warrior!$D11&lt; 10.8, $Q$4, $Q$4 / (Warrior!$D11 / 10.8)),1)</f>
        <v>9</v>
      </c>
      <c r="Y17" s="1">
        <v>9</v>
      </c>
      <c r="Z17" s="1">
        <f>CEILING(Demon!$B11 / IF(Demon!$D11&lt; 10.8, $AB$4, $AB$4 / (Demon!$D11 / 10.8)),1)</f>
        <v>5</v>
      </c>
      <c r="AA17" s="1">
        <f>CEILING(Elf!$B11 / IF(Elf!$D11 &lt; 10.8, $AB$4, $AB$4 / (Elf!$D11 / 10.8)),1)</f>
        <v>5</v>
      </c>
      <c r="AB17" s="1">
        <f>CEILING(Beastgirl!$B11/ IF(Beastgirl!$D11&lt; 10.8, $AB$4, $AB$4 / (Beastgirl!$D11 / 10.8)),1)</f>
        <v>10</v>
      </c>
      <c r="AC17" s="1">
        <f>CEILING(Warrior!$B11 / IF(Warrior!$D11&lt; 10.8, $AB$4, $AB$4 / (Warrior!$D11 / 10.8)),1)</f>
        <v>7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12</v>
      </c>
      <c r="E18" s="1">
        <f>CEILING(Elf!$B12 / IF(Elf!$D12 &lt; 10.8, $F$4, $F$4 / (Elf!$D12 / 10.8)),1)</f>
        <v>12</v>
      </c>
      <c r="F18" s="1">
        <f>CEILING(Beastgirl!$B12/ IF(Beastgirl!$D12&lt; 10.8,$F$4, $F$4 / (Beastgirl!$D12 / 10.8)),1)</f>
        <v>23</v>
      </c>
      <c r="G18" s="1">
        <f>CEILING(Warrior!$B12/ IF(Warrior!$D12&lt; 10.8, $F$4, $F$4 / (Warrior!$D12 / 10.8)),1)</f>
        <v>16</v>
      </c>
      <c r="N18" s="1">
        <v>10</v>
      </c>
      <c r="O18" s="1">
        <f>CEILING(Demon!$B12 / IF(Demon!$D12&lt; 10.8, $Q$4, $Q$4 / (Demon!$D12 / 10.8)),1)</f>
        <v>8</v>
      </c>
      <c r="P18" s="1">
        <f>CEILING(Elf!$B12 / IF(Elf!$D12 &lt; 10.8, $Q$4, $Q$4 / (Elf!$D12 / 10.8)),1)</f>
        <v>8</v>
      </c>
      <c r="Q18" s="1">
        <f>CEILING(Beastgirl!$B12 / IF(Beastgirl!$D12&lt; 10.8, $Q$4, $Q$4 / (Beastgirl!$D12 / 10.8)),1)</f>
        <v>16</v>
      </c>
      <c r="R18" s="1">
        <f>CEILING(Warrior!$B12 / IF(Warrior!$D12&lt; 10.8, $Q$4, $Q$4 / (Warrior!$D12 / 10.8)),1)</f>
        <v>11</v>
      </c>
      <c r="Y18" s="1">
        <v>10</v>
      </c>
      <c r="Z18" s="1">
        <f>CEILING(Demon!$B12 / IF(Demon!$D12&lt; 10.8, $AB$4, $AB$4 / (Demon!$D12 / 10.8)),1)</f>
        <v>6</v>
      </c>
      <c r="AA18" s="1">
        <f>CEILING(Elf!$B12 / IF(Elf!$D12 &lt; 10.8, $AB$4, $AB$4 / (Elf!$D12 / 10.8)),1)</f>
        <v>6</v>
      </c>
      <c r="AB18" s="1">
        <f>CEILING(Beastgirl!$B12/ IF(Beastgirl!$D12&lt; 10.8, $AB$4, $AB$4 / (Beastgirl!$D12 / 10.8)),1)</f>
        <v>12</v>
      </c>
      <c r="AC18" s="1">
        <f>CEILING(Warrior!$B12 / IF(Warrior!$D12&lt; 10.8, $AB$4, $AB$4 / (Warrior!$D12 / 10.8)),1)</f>
        <v>8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3" t="s">
        <v>43</v>
      </c>
      <c r="D20" s="53"/>
      <c r="E20" s="53"/>
      <c r="F20" s="53"/>
      <c r="G20" s="53"/>
      <c r="I20" s="4"/>
      <c r="J20" s="4"/>
      <c r="K20" s="4"/>
      <c r="L20" s="4"/>
      <c r="M20" s="4"/>
      <c r="N20" s="53" t="s">
        <v>43</v>
      </c>
      <c r="O20" s="53"/>
      <c r="P20" s="53"/>
      <c r="Q20" s="53"/>
      <c r="R20" s="53"/>
      <c r="S20" s="4"/>
      <c r="T20" s="4"/>
      <c r="U20" s="4"/>
      <c r="W20" s="4"/>
      <c r="X20" s="4"/>
      <c r="Y20" s="53" t="s">
        <v>43</v>
      </c>
      <c r="Z20" s="53"/>
      <c r="AA20" s="53"/>
      <c r="AB20" s="53"/>
      <c r="AC20" s="53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2</v>
      </c>
      <c r="E22" s="1">
        <f>CEILING(Elf!$B3 / IF(Elf!$D3 &lt; 10.8, $F$5,$F$5 / (Elf!$D3 / 10.8)),1)</f>
        <v>2</v>
      </c>
      <c r="F22" s="1">
        <f>CEILING(Beastgirl!$B3 / IF(Beastgirl!$D3&lt; 10.8, $F$5, $F$5 / (Beastgirl!$D3 / 10.8)),1)</f>
        <v>2</v>
      </c>
      <c r="G22" s="1">
        <f>CEILING(Warrior!$B3 / IF(Warrior!$D3&lt; 10.8, $F$5, $F$5 / (Warrior!$D3 / 10.8)),1)</f>
        <v>2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1</v>
      </c>
      <c r="P22" s="1">
        <f>CEILING(Elf!$B3 / IF(Elf!$D3 &lt; 10.8, $Q$5, $Q$5 / (Elf!$D3 / 10.8)),1)</f>
        <v>1</v>
      </c>
      <c r="Q22" s="1">
        <f>CEILING(Beastgirl!$B3 / IF(Beastgirl!$D3&lt; 10.8, $Q$5, $Q$5 / (Beastgirl!$D3 / 10.8)),1)</f>
        <v>2</v>
      </c>
      <c r="R22" s="1">
        <f>CEILING(Warrior!$B3 / IF(Warrior!$D3&lt; 10.8, $Q$5, $Q$5 / (Warrior!$D3 / 10.8)),1)</f>
        <v>2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1</v>
      </c>
      <c r="AA22" s="1">
        <f>CEILING(Elf!$B3/ IF(Elf!$D3 &lt; 10.8, $AB$5, $AB$5 / (Elf!$D3 / 10.8)),1)</f>
        <v>1</v>
      </c>
      <c r="AB22" s="1">
        <f>CEILING(Beastgirl!$B3 / IF(Beastgirl!$D3&lt; 10.8, $AB$5, $AB$5 / (Beastgirl!$D3 / 10.8)),1)</f>
        <v>1</v>
      </c>
      <c r="AC22" s="1">
        <f>CEILING(Warrior!$B3/ IF(Warrior!$D3&lt; 10.8, $AB$5, $AB$5 / (Warrior!$D3 / 10.8)),1)</f>
        <v>1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2</v>
      </c>
      <c r="E23" s="1">
        <f>CEILING(Elf!$B4 / IF(Elf!$D4 &lt; 10.8, $F$5,$F$5 / (Elf!$D4 / 10.8)),1)</f>
        <v>2</v>
      </c>
      <c r="F23" s="1">
        <f>CEILING(Beastgirl!$B4 / IF(Beastgirl!$D4&lt; 10.8, $F$5, $F$5 / (Beastgirl!$D4 / 10.8)),1)</f>
        <v>3</v>
      </c>
      <c r="G23" s="1">
        <f>CEILING(Warrior!$B4 / IF(Warrior!$D4&lt; 10.8, $F$5, $F$5 / (Warrior!$D4 / 10.8)),1)</f>
        <v>3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2</v>
      </c>
      <c r="P23" s="1">
        <f>CEILING(Elf!$B4 / IF(Elf!$D4 &lt; 10.8, $Q$5, $Q$5 / (Elf!$D4 / 10.8)),1)</f>
        <v>1</v>
      </c>
      <c r="Q23" s="1">
        <f>CEILING(Beastgirl!$B4 / IF(Beastgirl!$D4&lt; 10.8, $Q$5, $Q$5 / (Beastgirl!$D4 / 10.8)),1)</f>
        <v>2</v>
      </c>
      <c r="R23" s="1">
        <f>CEILING(Warrior!$B4 / IF(Warrior!$D4&lt; 10.8, $Q$5, $Q$5 / (Warrior!$D4 / 10.8)),1)</f>
        <v>2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1</v>
      </c>
      <c r="AA23" s="1">
        <f>CEILING(Elf!$B4/ IF(Elf!$D4 &lt; 10.8, $AB$5, $AB$5 / (Elf!$D4 / 10.8)),1)</f>
        <v>1</v>
      </c>
      <c r="AB23" s="1">
        <f>CEILING(Beastgirl!$B4 / IF(Beastgirl!$D4&lt; 10.8, $AB$5, $AB$5 / (Beastgirl!$D4 / 10.8)),1)</f>
        <v>2</v>
      </c>
      <c r="AC23" s="1">
        <f>CEILING(Warrior!$B4/ IF(Warrior!$D4&lt; 10.8, $AB$5, $AB$5 / (Warrior!$D4 / 10.8)),1)</f>
        <v>2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3</v>
      </c>
      <c r="E24" s="1">
        <f>CEILING(Elf!$B5 / IF(Elf!$D5 &lt; 10.8, $F$5,$F$5 / (Elf!$D5 / 10.8)),1)</f>
        <v>2</v>
      </c>
      <c r="F24" s="1">
        <f>CEILING(Beastgirl!$B5 / IF(Beastgirl!$D5&lt; 10.8, $F$5, $F$5 / (Beastgirl!$D5 / 10.8)),1)</f>
        <v>4</v>
      </c>
      <c r="G24" s="1">
        <f>CEILING(Warrior!$B5 / IF(Warrior!$D5&lt; 10.8, $F$5, $F$5 / (Warrior!$D5 / 10.8)),1)</f>
        <v>3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2</v>
      </c>
      <c r="P24" s="1">
        <f>CEILING(Elf!$B5 / IF(Elf!$D5 &lt; 10.8, $Q$5, $Q$5 / (Elf!$D5 / 10.8)),1)</f>
        <v>2</v>
      </c>
      <c r="Q24" s="1">
        <f>CEILING(Beastgirl!$B5 / IF(Beastgirl!$D5&lt; 10.8, $Q$5, $Q$5 / (Beastgirl!$D5 / 10.8)),1)</f>
        <v>3</v>
      </c>
      <c r="R24" s="1">
        <f>CEILING(Warrior!$B5 / IF(Warrior!$D5&lt; 10.8, $Q$5, $Q$5 / (Warrior!$D5 / 10.8)),1)</f>
        <v>2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2</v>
      </c>
      <c r="AA24" s="1">
        <f>CEILING(Elf!$B5/ IF(Elf!$D5 &lt; 10.8, $AB$5, $AB$5 / (Elf!$D5 / 10.8)),1)</f>
        <v>1</v>
      </c>
      <c r="AB24" s="1">
        <f>CEILING(Beastgirl!$B5 / IF(Beastgirl!$D5&lt; 10.8, $AB$5, $AB$5 / (Beastgirl!$D5 / 10.8)),1)</f>
        <v>2</v>
      </c>
      <c r="AC24" s="1">
        <f>CEILING(Warrior!$B5/ IF(Warrior!$D5&lt; 10.8, $AB$5, $AB$5 / (Warrior!$D5 / 10.8)),1)</f>
        <v>2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3</v>
      </c>
      <c r="E25" s="1">
        <f>CEILING(Elf!$B6 / IF(Elf!$D6 &lt; 10.8, $F$5,$F$5 / (Elf!$D6 / 10.8)),1)</f>
        <v>3</v>
      </c>
      <c r="F25" s="1">
        <f>CEILING(Beastgirl!$B6 / IF(Beastgirl!$D6&lt; 10.8, $F$5, $F$5 / (Beastgirl!$D6 / 10.8)),1)</f>
        <v>5</v>
      </c>
      <c r="G25" s="1">
        <f>CEILING(Warrior!$B6 / IF(Warrior!$D6&lt; 10.8, $F$5, $F$5 / (Warrior!$D6 / 10.8)),1)</f>
        <v>4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2</v>
      </c>
      <c r="P25" s="1">
        <f>CEILING(Elf!$B6 / IF(Elf!$D6 &lt; 10.8, $Q$5, $Q$5 / (Elf!$D6 / 10.8)),1)</f>
        <v>2</v>
      </c>
      <c r="Q25" s="1">
        <f>CEILING(Beastgirl!$B6 / IF(Beastgirl!$D6&lt; 10.8, $Q$5, $Q$5 / (Beastgirl!$D6 / 10.8)),1)</f>
        <v>4</v>
      </c>
      <c r="R25" s="1">
        <f>CEILING(Warrior!$B6 / IF(Warrior!$D6&lt; 10.8, $Q$5, $Q$5 / (Warrior!$D6 / 10.8)),1)</f>
        <v>3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2</v>
      </c>
      <c r="AA25" s="1">
        <f>CEILING(Elf!$B6/ IF(Elf!$D6 &lt; 10.8, $AB$5, $AB$5 / (Elf!$D6 / 10.8)),1)</f>
        <v>2</v>
      </c>
      <c r="AB25" s="1">
        <f>CEILING(Beastgirl!$B6 / IF(Beastgirl!$D6&lt; 10.8, $AB$5, $AB$5 / (Beastgirl!$D6 / 10.8)),1)</f>
        <v>3</v>
      </c>
      <c r="AC25" s="1">
        <f>CEILING(Warrior!$B6/ IF(Warrior!$D6&lt; 10.8, $AB$5, $AB$5 / (Warrior!$D6 / 10.8)),1)</f>
        <v>2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5</v>
      </c>
      <c r="E26" s="1">
        <f>CEILING(Elf!$B7 / IF(Elf!$D7 &lt; 10.8, $F$5,$F$5 / (Elf!$D7 / 10.8)),1)</f>
        <v>5</v>
      </c>
      <c r="F26" s="1">
        <f>CEILING(Beastgirl!$B7 / IF(Beastgirl!$D7&lt; 10.8, $F$5, $F$5 / (Beastgirl!$D7 / 10.8)),1)</f>
        <v>10</v>
      </c>
      <c r="G26" s="1">
        <f>CEILING(Warrior!$B7 / IF(Warrior!$D7&lt; 10.8, $F$5, $F$5 / (Warrior!$D7 / 10.8)),1)</f>
        <v>7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4</v>
      </c>
      <c r="P26" s="1">
        <f>CEILING(Elf!$B7 / IF(Elf!$D7 &lt; 10.8, $Q$5, $Q$5 / (Elf!$D7 / 10.8)),1)</f>
        <v>3</v>
      </c>
      <c r="Q26" s="1">
        <f>CEILING(Beastgirl!$B7 / IF(Beastgirl!$D7&lt; 10.8, $Q$5, $Q$5 / (Beastgirl!$D7 / 10.8)),1)</f>
        <v>7</v>
      </c>
      <c r="R26" s="1">
        <f>CEILING(Warrior!$B7 / IF(Warrior!$D7&lt; 10.8, $Q$5, $Q$5 / (Warrior!$D7 / 10.8)),1)</f>
        <v>5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3</v>
      </c>
      <c r="AA26" s="1">
        <f>CEILING(Elf!$B7/ IF(Elf!$D7 &lt; 10.8, $AB$5, $AB$5 / (Elf!$D7 / 10.8)),1)</f>
        <v>3</v>
      </c>
      <c r="AB26" s="1">
        <f>CEILING(Beastgirl!$B7 / IF(Beastgirl!$D7&lt; 10.8, $AB$5, $AB$5 / (Beastgirl!$D7 / 10.8)),1)</f>
        <v>5</v>
      </c>
      <c r="AC26" s="1">
        <f>CEILING(Warrior!$B7/ IF(Warrior!$D7&lt; 10.8, $AB$5, $AB$5 / (Warrior!$D7 / 10.8)),1)</f>
        <v>4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6</v>
      </c>
      <c r="E27" s="1">
        <f>CEILING(Elf!$B8 / IF(Elf!$D8 &lt; 10.8, $F$5,$F$5 / (Elf!$D8 / 10.8)),1)</f>
        <v>6</v>
      </c>
      <c r="F27" s="1">
        <f>CEILING(Beastgirl!$B8 / IF(Beastgirl!$D8&lt; 10.8, $F$5, $F$5 / (Beastgirl!$D8 / 10.8)),1)</f>
        <v>12</v>
      </c>
      <c r="G27" s="1">
        <f>CEILING(Warrior!$B8 / IF(Warrior!$D8&lt; 10.8, $F$5, $F$5 / (Warrior!$D8 / 10.8)),1)</f>
        <v>8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4</v>
      </c>
      <c r="P27" s="1">
        <f>CEILING(Elf!$B8 / IF(Elf!$D8 &lt; 10.8, $Q$5, $Q$5 / (Elf!$D8 / 10.8)),1)</f>
        <v>4</v>
      </c>
      <c r="Q27" s="1">
        <f>CEILING(Beastgirl!$B8 / IF(Beastgirl!$D8&lt; 10.8, $Q$5, $Q$5 / (Beastgirl!$D8 / 10.8)),1)</f>
        <v>8</v>
      </c>
      <c r="R27" s="1">
        <f>CEILING(Warrior!$B8 / IF(Warrior!$D8&lt; 10.8, $Q$5, $Q$5 / (Warrior!$D8 / 10.8)),1)</f>
        <v>6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3</v>
      </c>
      <c r="AA27" s="1">
        <f>CEILING(Elf!$B8/ IF(Elf!$D8 &lt; 10.8, $AB$5, $AB$5 / (Elf!$D8 / 10.8)),1)</f>
        <v>3</v>
      </c>
      <c r="AB27" s="1">
        <f>CEILING(Beastgirl!$B8 / IF(Beastgirl!$D8&lt; 10.8, $AB$5, $AB$5 / (Beastgirl!$D8 / 10.8)),1)</f>
        <v>6</v>
      </c>
      <c r="AC27" s="1">
        <f>CEILING(Warrior!$B8/ IF(Warrior!$D8&lt; 10.8, $AB$5, $AB$5 / (Warrior!$D8 / 10.8)),1)</f>
        <v>4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7</v>
      </c>
      <c r="E28" s="1">
        <f>CEILING(Elf!$B9 / IF(Elf!$D9 &lt; 10.8, $F$5,$F$5 / (Elf!$D9 / 10.8)),1)</f>
        <v>7</v>
      </c>
      <c r="F28" s="1">
        <f>CEILING(Beastgirl!$B9 / IF(Beastgirl!$D9&lt; 10.8, $F$5, $F$5 / (Beastgirl!$D9 / 10.8)),1)</f>
        <v>14</v>
      </c>
      <c r="G28" s="1">
        <f>CEILING(Warrior!$B9 / IF(Warrior!$D9&lt; 10.8, $F$5, $F$5 / (Warrior!$D9 / 10.8)),1)</f>
        <v>9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5</v>
      </c>
      <c r="P28" s="1">
        <f>CEILING(Elf!$B9 / IF(Elf!$D9 &lt; 10.8, $Q$5, $Q$5 / (Elf!$D9 / 10.8)),1)</f>
        <v>5</v>
      </c>
      <c r="Q28" s="1">
        <f>CEILING(Beastgirl!$B9 / IF(Beastgirl!$D9&lt; 10.8, $Q$5, $Q$5 / (Beastgirl!$D9 / 10.8)),1)</f>
        <v>9</v>
      </c>
      <c r="R28" s="1">
        <f>CEILING(Warrior!$B9 / IF(Warrior!$D9&lt; 10.8, $Q$5, $Q$5 / (Warrior!$D9 / 10.8)),1)</f>
        <v>6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4</v>
      </c>
      <c r="AA28" s="1">
        <f>CEILING(Elf!$B9/ IF(Elf!$D9 &lt; 10.8, $AB$5, $AB$5 / (Elf!$D9 / 10.8)),1)</f>
        <v>4</v>
      </c>
      <c r="AB28" s="1">
        <f>CEILING(Beastgirl!$B9 / IF(Beastgirl!$D9&lt; 10.8, $AB$5, $AB$5 / (Beastgirl!$D9 / 10.8)),1)</f>
        <v>7</v>
      </c>
      <c r="AC28" s="1">
        <f>CEILING(Warrior!$B9/ IF(Warrior!$D9&lt; 10.8, $AB$5, $AB$5 / (Warrior!$D9 / 10.8)),1)</f>
        <v>5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8</v>
      </c>
      <c r="E29" s="1">
        <f>CEILING(Elf!$B10 / IF(Elf!$D10 &lt; 10.8, $F$5,$F$5 / (Elf!$D10 / 10.8)),1)</f>
        <v>8</v>
      </c>
      <c r="F29" s="1">
        <f>CEILING(Beastgirl!$B10 / IF(Beastgirl!$D10&lt; 10.8, $F$5, $F$5 / (Beastgirl!$D10 / 10.8)),1)</f>
        <v>16</v>
      </c>
      <c r="G29" s="1">
        <f>CEILING(Warrior!$B10 / IF(Warrior!$D10&lt; 10.8, $F$5, $F$5 / (Warrior!$D10 / 10.8)),1)</f>
        <v>11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6</v>
      </c>
      <c r="P29" s="1">
        <f>CEILING(Elf!$B10 / IF(Elf!$D10 &lt; 10.8, $Q$5, $Q$5 / (Elf!$D10 / 10.8)),1)</f>
        <v>6</v>
      </c>
      <c r="Q29" s="1">
        <f>CEILING(Beastgirl!$B10 / IF(Beastgirl!$D10&lt; 10.8, $Q$5, $Q$5 / (Beastgirl!$D10 / 10.8)),1)</f>
        <v>11</v>
      </c>
      <c r="R29" s="1">
        <f>CEILING(Warrior!$B10 / IF(Warrior!$D10&lt; 10.8, $Q$5, $Q$5 / (Warrior!$D10 / 10.8)),1)</f>
        <v>7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4</v>
      </c>
      <c r="AA29" s="1">
        <f>CEILING(Elf!$B10/ IF(Elf!$D10 &lt; 10.8, $AB$5, $AB$5 / (Elf!$D10 / 10.8)),1)</f>
        <v>4</v>
      </c>
      <c r="AB29" s="1">
        <f>CEILING(Beastgirl!$B10 / IF(Beastgirl!$D10&lt; 10.8, $AB$5, $AB$5 / (Beastgirl!$D10 / 10.8)),1)</f>
        <v>8</v>
      </c>
      <c r="AC29" s="1">
        <f>CEILING(Warrior!$B10/ IF(Warrior!$D10&lt; 10.8, $AB$5, $AB$5 / (Warrior!$D10 / 10.8)),1)</f>
        <v>6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10</v>
      </c>
      <c r="E30" s="1">
        <f>CEILING(Elf!$B11 / IF(Elf!$D11 &lt; 10.8, $F$5,$F$5 / (Elf!$D11 / 10.8)),1)</f>
        <v>9</v>
      </c>
      <c r="F30" s="1">
        <f>CEILING(Beastgirl!$B11 / IF(Beastgirl!$D11&lt; 10.8, $F$5, $F$5 / (Beastgirl!$D11 / 10.8)),1)</f>
        <v>19</v>
      </c>
      <c r="G30" s="1">
        <f>CEILING(Warrior!$B11 / IF(Warrior!$D11&lt; 10.8, $F$5, $F$5 / (Warrior!$D11 / 10.8)),1)</f>
        <v>13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7</v>
      </c>
      <c r="P30" s="1">
        <f>CEILING(Elf!$B11 / IF(Elf!$D11 &lt; 10.8, $Q$5, $Q$5 / (Elf!$D11 / 10.8)),1)</f>
        <v>6</v>
      </c>
      <c r="Q30" s="1">
        <f>CEILING(Beastgirl!$B11 / IF(Beastgirl!$D11&lt; 10.8, $Q$5, $Q$5 / (Beastgirl!$D11 / 10.8)),1)</f>
        <v>13</v>
      </c>
      <c r="R30" s="1">
        <f>CEILING(Warrior!$B11 / IF(Warrior!$D11&lt; 10.8, $Q$5, $Q$5 / (Warrior!$D11 / 10.8)),1)</f>
        <v>9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5</v>
      </c>
      <c r="AA30" s="1">
        <f>CEILING(Elf!$B11/ IF(Elf!$D11 &lt; 10.8, $AB$5, $AB$5 / (Elf!$D11 / 10.8)),1)</f>
        <v>5</v>
      </c>
      <c r="AB30" s="1">
        <f>CEILING(Beastgirl!$B11 / IF(Beastgirl!$D11&lt; 10.8, $AB$5, $AB$5 / (Beastgirl!$D11 / 10.8)),1)</f>
        <v>10</v>
      </c>
      <c r="AC30" s="1">
        <f>CEILING(Warrior!$B11/ IF(Warrior!$D11&lt; 10.8, $AB$5, $AB$5 / (Warrior!$D11 / 10.8)),1)</f>
        <v>7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11</v>
      </c>
      <c r="E31" s="1">
        <f>CEILING(Elf!$B12 / IF(Elf!$D12 &lt; 10.8, $F$5,$F$5 / (Elf!$D12 / 10.8)),1)</f>
        <v>11</v>
      </c>
      <c r="F31" s="1">
        <f>CEILING(Beastgirl!$B12 / IF(Beastgirl!$D12&lt; 10.8, $F$5, $F$5 / (Beastgirl!$D12 / 10.8)),1)</f>
        <v>21</v>
      </c>
      <c r="G31" s="1">
        <f>CEILING(Warrior!$B12 / IF(Warrior!$D12&lt; 10.8, $F$5, $F$5 / (Warrior!$D12 / 10.8)),1)</f>
        <v>14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7</v>
      </c>
      <c r="P31" s="1">
        <f>CEILING(Elf!$B12 / IF(Elf!$D12 &lt; 10.8, $Q$5, $Q$5 / (Elf!$D12 / 10.8)),1)</f>
        <v>7</v>
      </c>
      <c r="Q31" s="1">
        <f>CEILING(Beastgirl!$B12 / IF(Beastgirl!$D12&lt; 10.8, $Q$5, $Q$5 / (Beastgirl!$D12 / 10.8)),1)</f>
        <v>14</v>
      </c>
      <c r="R31" s="1">
        <f>CEILING(Warrior!$B12 / IF(Warrior!$D12&lt; 10.8, $Q$5, $Q$5 / (Warrior!$D12 / 10.8)),1)</f>
        <v>10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6</v>
      </c>
      <c r="AA31" s="1">
        <f>CEILING(Elf!$B12/ IF(Elf!$D12 &lt; 10.8, $AB$5, $AB$5 / (Elf!$D12 / 10.8)),1)</f>
        <v>6</v>
      </c>
      <c r="AB31" s="1">
        <f>CEILING(Beastgirl!$B12 / IF(Beastgirl!$D12&lt; 10.8, $AB$5, $AB$5 / (Beastgirl!$D12 / 10.8)),1)</f>
        <v>11</v>
      </c>
      <c r="AC31" s="1">
        <f>CEILING(Warrior!$B12/ IF(Warrior!$D12&lt; 10.8, $AB$5, $AB$5 / (Warrior!$D12 / 10.8)),1)</f>
        <v>7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35" customFormat="1" ht="25.8" x14ac:dyDescent="0.3">
      <c r="C37" s="36"/>
      <c r="D37" s="36"/>
      <c r="E37" s="53" t="s">
        <v>306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36"/>
      <c r="Q37" s="36"/>
      <c r="R37" s="36"/>
      <c r="S37" s="36"/>
      <c r="T37" s="36"/>
      <c r="U37" s="36"/>
      <c r="W37" s="36"/>
      <c r="X37" s="36"/>
      <c r="Y37" s="36"/>
      <c r="AA37" s="36"/>
      <c r="AB37" s="36"/>
      <c r="AC37" s="36"/>
      <c r="AD37" s="36"/>
      <c r="AE37" s="36"/>
      <c r="AF37" s="36"/>
      <c r="AG37" s="36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10">
    <mergeCell ref="E37:O37"/>
    <mergeCell ref="C20:G20"/>
    <mergeCell ref="N20:R20"/>
    <mergeCell ref="Y20:AC20"/>
    <mergeCell ref="A1:K1"/>
    <mergeCell ref="L1:V1"/>
    <mergeCell ref="W1:AF1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D028-4DED-4A8D-A57D-702553FD8A1E}">
  <dimension ref="A1:AG65"/>
  <sheetViews>
    <sheetView zoomScale="50" zoomScaleNormal="50" workbookViewId="0">
      <selection activeCell="I7" sqref="I7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8867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.5546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20</v>
      </c>
      <c r="C3" s="1"/>
      <c r="D3" s="1">
        <v>6</v>
      </c>
      <c r="E3" s="1">
        <v>4</v>
      </c>
      <c r="F3" s="1">
        <v>3</v>
      </c>
      <c r="G3" s="1">
        <v>2</v>
      </c>
      <c r="H3" s="1">
        <v>6</v>
      </c>
      <c r="I3" s="1">
        <v>8</v>
      </c>
      <c r="J3" s="1">
        <v>10</v>
      </c>
      <c r="K3" s="1"/>
      <c r="L3" s="4">
        <v>1</v>
      </c>
      <c r="M3" s="1">
        <f>Table596120[[#This Row],[HP]] * 1.5</f>
        <v>30</v>
      </c>
      <c r="N3" s="1"/>
      <c r="O3" s="1">
        <f>Table596120[[#This Row],[DEF]] * 1.5</f>
        <v>9</v>
      </c>
      <c r="P3" s="1">
        <f>Table596120[[#This Row],[AGI]] * 1.5</f>
        <v>6</v>
      </c>
      <c r="Q3" s="1">
        <f>Table596120[[#This Row],[STR]] * 1.5</f>
        <v>4.5</v>
      </c>
      <c r="R3" s="1">
        <f>Table596120[[#This Row],[INT]] * 1.5</f>
        <v>3</v>
      </c>
      <c r="S3" s="1">
        <f xml:space="preserve"> Table596120[[#This Row],[DEX]] * 1.5</f>
        <v>9</v>
      </c>
      <c r="T3" s="1">
        <f>Table596120[[#This Row],[XP Given]] * 1.25</f>
        <v>10</v>
      </c>
      <c r="U3" s="1"/>
      <c r="V3" s="1"/>
      <c r="W3" s="4">
        <v>1</v>
      </c>
      <c r="X3" s="1">
        <f>Table596120[[#This Row],[HP]] * 2</f>
        <v>40</v>
      </c>
      <c r="Y3" s="1"/>
      <c r="Z3" s="1">
        <f>Table596120[[#This Row],[DEF]] * 2</f>
        <v>12</v>
      </c>
      <c r="AA3" s="1">
        <f>Table596120[[#This Row],[AGI]] * 2</f>
        <v>8</v>
      </c>
      <c r="AB3" s="1">
        <f>Table596120[[#This Row],[STR]] * 2</f>
        <v>6</v>
      </c>
      <c r="AC3" s="1">
        <f>Table596120[[#This Row],[INT]] * 2</f>
        <v>4</v>
      </c>
      <c r="AD3" s="1">
        <f xml:space="preserve"> Table596120[[#This Row],[DEX]] * 2</f>
        <v>12</v>
      </c>
      <c r="AE3" s="1">
        <f>Table596120[[#This Row],[XP Given]] * 1.5</f>
        <v>12</v>
      </c>
      <c r="AF3" s="1"/>
    </row>
    <row r="4" spans="1:32" x14ac:dyDescent="0.3">
      <c r="A4" s="4">
        <v>11</v>
      </c>
      <c r="B4" s="1">
        <f>$B$3 + ((Table596120[[#This Row],[LV]] / 10) + $B$3 / 8) * Table596120[[#This Row],[LV]]</f>
        <v>59.6</v>
      </c>
      <c r="C4" s="1"/>
      <c r="D4" s="1">
        <f>$D$3 + ($D$3 / 4) * Table596120[[#This Row],[LV]]</f>
        <v>22.5</v>
      </c>
      <c r="E4" s="1">
        <f>$E$3 + ($E$3 / 4) * Table596120[[#This Row],[LV]]</f>
        <v>15</v>
      </c>
      <c r="F4" s="1">
        <f>$F$3 + ($F$3 / 4) * Table596120[[#This Row],[LV]]</f>
        <v>11.25</v>
      </c>
      <c r="G4" s="1">
        <f>$G$3 + ($G$3 / 4) * Table596120[[#This Row],[LV]]</f>
        <v>7.5</v>
      </c>
      <c r="H4" s="1">
        <f>$H$3 + ($H$3 / 4) * Table596120[[#This Row],[LV]]</f>
        <v>22.5</v>
      </c>
      <c r="I4" s="1">
        <f>$I$3 + $I$3 * Table596120[[#This Row],[LV]] *25 / 100</f>
        <v>30</v>
      </c>
      <c r="J4" s="1">
        <f>$J$3 + $J$3 * Table596120[[#This Row],[LV]] * 25 / 100</f>
        <v>37.5</v>
      </c>
      <c r="K4" s="1"/>
      <c r="L4" s="4">
        <v>11</v>
      </c>
      <c r="M4" s="1">
        <f>$M$3 + ((Table5997121[[#This Row],[LV]] / 10) + $M$3 / 8) * Table5997121[[#This Row],[LV]]</f>
        <v>83.35</v>
      </c>
      <c r="N4" s="1"/>
      <c r="O4" s="1">
        <f>$O$3 + ($O$3 / 4) * Table5997121[[#This Row],[LV]]</f>
        <v>33.75</v>
      </c>
      <c r="P4" s="1">
        <f>$P$3 + ($P$3 / 4) * Table5997121[[#This Row],[LV]]</f>
        <v>22.5</v>
      </c>
      <c r="Q4" s="1">
        <f>$Q$3 + ($Q$3 / 4) * Table5997121[[#This Row],[LV]]</f>
        <v>16.875</v>
      </c>
      <c r="R4" s="1">
        <f>$R$3 + ($R$3 / 4) * Table5997121[[#This Row],[LV]]</f>
        <v>11.25</v>
      </c>
      <c r="S4" s="1">
        <f>$S$3 + ($S$3 / 4) * Table5997121[[#This Row],[LV]]</f>
        <v>33.75</v>
      </c>
      <c r="T4" s="1">
        <f>Table596120[[#This Row],[XP Given]] * 1.25</f>
        <v>37.5</v>
      </c>
      <c r="U4" s="1">
        <f>Table596120[[#This Row],[Gold Given]] * 1.25</f>
        <v>46.875</v>
      </c>
      <c r="V4" s="1"/>
      <c r="W4" s="4">
        <v>11</v>
      </c>
      <c r="X4" s="1">
        <f>$X$3 + ((Table591098122[[#This Row],[LV]] / 10) + $X$3 / 8) * Table591098122[[#This Row],[LV]]</f>
        <v>107.1</v>
      </c>
      <c r="Y4" s="1"/>
      <c r="Z4" s="1">
        <f>$Z$3 + ($Z$3 / 4) * Table591098122[[#This Row],[LV]]</f>
        <v>45</v>
      </c>
      <c r="AA4" s="1">
        <f>$AA$3 + ($AA$3 / 4) * Table591098122[[#This Row],[LV]]</f>
        <v>30</v>
      </c>
      <c r="AB4" s="1">
        <f>$AB$3 + ($AB$3 / 4) * Table591098122[[#This Row],[LV]]</f>
        <v>22.5</v>
      </c>
      <c r="AC4" s="1">
        <f>$AC$3 + ($AC$3 / 4) * Table591098122[[#This Row],[LV]]</f>
        <v>15</v>
      </c>
      <c r="AD4" s="1">
        <f>$AD$3 + ($AD$3 / 4) * Table591098122[[#This Row],[LV]]</f>
        <v>45</v>
      </c>
      <c r="AE4" s="1">
        <f>Table596120[[#This Row],[XP Given]] * 1.5</f>
        <v>45</v>
      </c>
      <c r="AF4" s="1">
        <f>Table596120[[#This Row],[Gold Given]] * 1.5</f>
        <v>56.25</v>
      </c>
    </row>
    <row r="5" spans="1:32" x14ac:dyDescent="0.3">
      <c r="A5" s="4">
        <v>12</v>
      </c>
      <c r="B5" s="1">
        <f>$B$3 + ((Table596120[[#This Row],[LV]] / 10) + $B$3 / 8) * Table596120[[#This Row],[LV]]</f>
        <v>64.400000000000006</v>
      </c>
      <c r="C5" s="1"/>
      <c r="D5" s="1">
        <f>$D$3 + ($D$3 / 4) * Table596120[[#This Row],[LV]]</f>
        <v>24</v>
      </c>
      <c r="E5" s="1">
        <f>$E$3 + ($E$3 / 4) * Table596120[[#This Row],[LV]]</f>
        <v>16</v>
      </c>
      <c r="F5" s="1">
        <f>$F$3 + ($F$3 / 4) * Table596120[[#This Row],[LV]]</f>
        <v>12</v>
      </c>
      <c r="G5" s="1">
        <f>$G$3 + ($G$3 / 4) * Table596120[[#This Row],[LV]]</f>
        <v>8</v>
      </c>
      <c r="H5" s="1">
        <f>$H$3 + ($H$3 / 4) * Table596120[[#This Row],[LV]]</f>
        <v>24</v>
      </c>
      <c r="I5" s="1">
        <f>$I$3 + $I$3 * Table596120[[#This Row],[LV]] *25 / 100</f>
        <v>32</v>
      </c>
      <c r="J5" s="1">
        <f>$J$3 + $J$3 * Table596120[[#This Row],[LV]] * 25 / 100</f>
        <v>40</v>
      </c>
      <c r="K5" s="1"/>
      <c r="L5" s="4">
        <v>12</v>
      </c>
      <c r="M5" s="1">
        <f>$M$3 + ((Table5997121[[#This Row],[LV]] / 10) + $M$3 / 8) * Table5997121[[#This Row],[LV]]</f>
        <v>89.4</v>
      </c>
      <c r="N5" s="1"/>
      <c r="O5" s="1">
        <f>$O$3 + ($O$3 / 4) * Table5997121[[#This Row],[LV]]</f>
        <v>36</v>
      </c>
      <c r="P5" s="1">
        <f>$P$3 + ($P$3 / 4) * Table5997121[[#This Row],[LV]]</f>
        <v>24</v>
      </c>
      <c r="Q5" s="1">
        <f>$Q$3 + ($Q$3 / 4) * Table5997121[[#This Row],[LV]]</f>
        <v>18</v>
      </c>
      <c r="R5" s="1">
        <f>$R$3 + ($R$3 / 4) * Table5997121[[#This Row],[LV]]</f>
        <v>12</v>
      </c>
      <c r="S5" s="1">
        <f>$S$3 + ($S$3 / 4) * Table5997121[[#This Row],[LV]]</f>
        <v>36</v>
      </c>
      <c r="T5" s="1">
        <f>Table596120[[#This Row],[XP Given]] * 1.25</f>
        <v>40</v>
      </c>
      <c r="U5" s="1">
        <f>Table596120[[#This Row],[Gold Given]] * 1.25</f>
        <v>50</v>
      </c>
      <c r="V5" s="1"/>
      <c r="W5" s="4">
        <v>12</v>
      </c>
      <c r="X5" s="1">
        <f>$X$3 + ((Table591098122[[#This Row],[LV]] / 10) + $X$3 / 8) * Table591098122[[#This Row],[LV]]</f>
        <v>114.4</v>
      </c>
      <c r="Y5" s="1"/>
      <c r="Z5" s="1">
        <f>$Z$3 + ($Z$3 / 4) * Table591098122[[#This Row],[LV]]</f>
        <v>48</v>
      </c>
      <c r="AA5" s="1">
        <f>$AA$3 + ($AA$3 / 4) * Table591098122[[#This Row],[LV]]</f>
        <v>32</v>
      </c>
      <c r="AB5" s="1">
        <f>$AB$3 + ($AB$3 / 4) * Table591098122[[#This Row],[LV]]</f>
        <v>24</v>
      </c>
      <c r="AC5" s="1">
        <f>$AC$3 + ($AC$3 / 4) * Table591098122[[#This Row],[LV]]</f>
        <v>16</v>
      </c>
      <c r="AD5" s="1">
        <f>$AD$3 + ($AD$3 / 4) * Table591098122[[#This Row],[LV]]</f>
        <v>48</v>
      </c>
      <c r="AE5" s="1">
        <f>Table596120[[#This Row],[XP Given]] * 1.5</f>
        <v>48</v>
      </c>
      <c r="AF5" s="1">
        <f>Table596120[[#This Row],[Gold Given]] * 1.5</f>
        <v>60</v>
      </c>
    </row>
    <row r="6" spans="1:32" x14ac:dyDescent="0.3">
      <c r="A6" s="4">
        <v>13</v>
      </c>
      <c r="B6" s="1">
        <f>$B$3 + ((Table596120[[#This Row],[LV]] / 10) + $B$3 / 8) * Table596120[[#This Row],[LV]]</f>
        <v>69.400000000000006</v>
      </c>
      <c r="C6" s="1"/>
      <c r="D6" s="1">
        <f>$D$3 + ($D$3 / 4) * Table596120[[#This Row],[LV]]</f>
        <v>25.5</v>
      </c>
      <c r="E6" s="1">
        <f>$E$3 + ($E$3 / 4) * Table596120[[#This Row],[LV]]</f>
        <v>17</v>
      </c>
      <c r="F6" s="1">
        <f>$F$3 + ($F$3 / 4) * Table596120[[#This Row],[LV]]</f>
        <v>12.75</v>
      </c>
      <c r="G6" s="1">
        <f>$G$3 + ($G$3 / 4) * Table596120[[#This Row],[LV]]</f>
        <v>8.5</v>
      </c>
      <c r="H6" s="1">
        <f>$H$3 + ($H$3 / 4) * Table596120[[#This Row],[LV]]</f>
        <v>25.5</v>
      </c>
      <c r="I6" s="1">
        <f>$I$3 + $I$3 * Table596120[[#This Row],[LV]] *25 / 100</f>
        <v>34</v>
      </c>
      <c r="J6" s="1">
        <f>$J$3 + $J$3 * Table596120[[#This Row],[LV]] * 25 / 100</f>
        <v>42.5</v>
      </c>
      <c r="K6" s="1"/>
      <c r="L6" s="4">
        <v>13</v>
      </c>
      <c r="M6" s="1">
        <f>$M$3 + ((Table5997121[[#This Row],[LV]] / 10) + $M$3 / 8) * Table5997121[[#This Row],[LV]]</f>
        <v>95.649999999999991</v>
      </c>
      <c r="N6" s="1"/>
      <c r="O6" s="1">
        <f>$O$3 + ($O$3 / 4) * Table5997121[[#This Row],[LV]]</f>
        <v>38.25</v>
      </c>
      <c r="P6" s="1">
        <f>$P$3 + ($P$3 / 4) * Table5997121[[#This Row],[LV]]</f>
        <v>25.5</v>
      </c>
      <c r="Q6" s="1">
        <f>$Q$3 + ($Q$3 / 4) * Table5997121[[#This Row],[LV]]</f>
        <v>19.125</v>
      </c>
      <c r="R6" s="1">
        <f>$R$3 + ($R$3 / 4) * Table5997121[[#This Row],[LV]]</f>
        <v>12.75</v>
      </c>
      <c r="S6" s="1">
        <f>$S$3 + ($S$3 / 4) * Table5997121[[#This Row],[LV]]</f>
        <v>38.25</v>
      </c>
      <c r="T6" s="1">
        <f>Table596120[[#This Row],[XP Given]] * 1.25</f>
        <v>42.5</v>
      </c>
      <c r="U6" s="1">
        <f>Table596120[[#This Row],[Gold Given]] * 1.25</f>
        <v>53.125</v>
      </c>
      <c r="V6" s="1"/>
      <c r="W6" s="4">
        <v>13</v>
      </c>
      <c r="X6" s="1">
        <f>$X$3 + ((Table591098122[[#This Row],[LV]] / 10) + $X$3 / 8) * Table591098122[[#This Row],[LV]]</f>
        <v>121.89999999999999</v>
      </c>
      <c r="Y6" s="1"/>
      <c r="Z6" s="1">
        <f>$Z$3 + ($Z$3 / 4) * Table591098122[[#This Row],[LV]]</f>
        <v>51</v>
      </c>
      <c r="AA6" s="1">
        <f>$AA$3 + ($AA$3 / 4) * Table591098122[[#This Row],[LV]]</f>
        <v>34</v>
      </c>
      <c r="AB6" s="1">
        <f>$AB$3 + ($AB$3 / 4) * Table591098122[[#This Row],[LV]]</f>
        <v>25.5</v>
      </c>
      <c r="AC6" s="1">
        <f>$AC$3 + ($AC$3 / 4) * Table591098122[[#This Row],[LV]]</f>
        <v>17</v>
      </c>
      <c r="AD6" s="1">
        <f>$AD$3 + ($AD$3 / 4) * Table591098122[[#This Row],[LV]]</f>
        <v>51</v>
      </c>
      <c r="AE6" s="1">
        <f>Table596120[[#This Row],[XP Given]] * 1.5</f>
        <v>51</v>
      </c>
      <c r="AF6" s="1">
        <f>Table596120[[#This Row],[Gold Given]] * 1.5</f>
        <v>63.75</v>
      </c>
    </row>
    <row r="7" spans="1:32" x14ac:dyDescent="0.3">
      <c r="A7" s="4">
        <v>14</v>
      </c>
      <c r="B7" s="1">
        <f>$B$3 + ((Table596120[[#This Row],[LV]] / 10) + $B$3 / 8) * Table596120[[#This Row],[LV]]</f>
        <v>74.599999999999994</v>
      </c>
      <c r="C7" s="1"/>
      <c r="D7" s="1">
        <f>$D$3 + ($D$3 / 4) * Table596120[[#This Row],[LV]]</f>
        <v>27</v>
      </c>
      <c r="E7" s="1">
        <f>$E$3 + ($E$3 / 4) * Table596120[[#This Row],[LV]]</f>
        <v>18</v>
      </c>
      <c r="F7" s="1">
        <f>$F$3 + ($F$3 / 4) * Table596120[[#This Row],[LV]]</f>
        <v>13.5</v>
      </c>
      <c r="G7" s="1">
        <f>$G$3 + ($G$3 / 4) * Table596120[[#This Row],[LV]]</f>
        <v>9</v>
      </c>
      <c r="H7" s="1">
        <f>$H$3 + ($H$3 / 4) * Table596120[[#This Row],[LV]]</f>
        <v>27</v>
      </c>
      <c r="I7" s="1">
        <f>$I$3 + $I$3 * Table596120[[#This Row],[LV]] *25 / 100</f>
        <v>36</v>
      </c>
      <c r="J7" s="1">
        <f>$J$3 + $J$3 * Table596120[[#This Row],[LV]] * 25 / 100</f>
        <v>45</v>
      </c>
      <c r="K7" s="1"/>
      <c r="L7" s="4">
        <v>14</v>
      </c>
      <c r="M7" s="1">
        <f>$M$3 + ((Table5997121[[#This Row],[LV]] / 10) + $M$3 / 8) * Table5997121[[#This Row],[LV]]</f>
        <v>102.10000000000001</v>
      </c>
      <c r="N7" s="1"/>
      <c r="O7" s="1">
        <f>$O$3 + ($O$3 / 4) * Table5997121[[#This Row],[LV]]</f>
        <v>40.5</v>
      </c>
      <c r="P7" s="1">
        <f>$P$3 + ($P$3 / 4) * Table5997121[[#This Row],[LV]]</f>
        <v>27</v>
      </c>
      <c r="Q7" s="1">
        <f>$Q$3 + ($Q$3 / 4) * Table5997121[[#This Row],[LV]]</f>
        <v>20.25</v>
      </c>
      <c r="R7" s="1">
        <f>$R$3 + ($R$3 / 4) * Table5997121[[#This Row],[LV]]</f>
        <v>13.5</v>
      </c>
      <c r="S7" s="1">
        <f>$S$3 + ($S$3 / 4) * Table5997121[[#This Row],[LV]]</f>
        <v>40.5</v>
      </c>
      <c r="T7" s="1">
        <f>Table596120[[#This Row],[XP Given]] * 1.25</f>
        <v>45</v>
      </c>
      <c r="U7" s="1">
        <f>Table596120[[#This Row],[Gold Given]] * 1.25</f>
        <v>56.25</v>
      </c>
      <c r="V7" s="1"/>
      <c r="W7" s="4">
        <v>14</v>
      </c>
      <c r="X7" s="1">
        <f>$X$3 + ((Table591098122[[#This Row],[LV]] / 10) + $X$3 / 8) * Table591098122[[#This Row],[LV]]</f>
        <v>129.60000000000002</v>
      </c>
      <c r="Y7" s="1"/>
      <c r="Z7" s="1">
        <f>$Z$3 + ($Z$3 / 4) * Table591098122[[#This Row],[LV]]</f>
        <v>54</v>
      </c>
      <c r="AA7" s="1">
        <f>$AA$3 + ($AA$3 / 4) * Table591098122[[#This Row],[LV]]</f>
        <v>36</v>
      </c>
      <c r="AB7" s="1">
        <f>$AB$3 + ($AB$3 / 4) * Table591098122[[#This Row],[LV]]</f>
        <v>27</v>
      </c>
      <c r="AC7" s="1">
        <f>$AC$3 + ($AC$3 / 4) * Table591098122[[#This Row],[LV]]</f>
        <v>18</v>
      </c>
      <c r="AD7" s="1">
        <f>$AD$3 + ($AD$3 / 4) * Table591098122[[#This Row],[LV]]</f>
        <v>54</v>
      </c>
      <c r="AE7" s="1">
        <f>Table596120[[#This Row],[XP Given]] * 1.5</f>
        <v>54</v>
      </c>
      <c r="AF7" s="1">
        <f>Table596120[[#This Row],[Gold Given]] * 1.5</f>
        <v>67.5</v>
      </c>
    </row>
    <row r="9" spans="1:32" ht="25.8" x14ac:dyDescent="0.3">
      <c r="C9" s="53" t="s">
        <v>44</v>
      </c>
      <c r="D9" s="53"/>
      <c r="E9" s="53"/>
      <c r="F9" s="53"/>
      <c r="G9" s="53"/>
      <c r="H9" s="7"/>
      <c r="N9" s="53" t="s">
        <v>44</v>
      </c>
      <c r="O9" s="53"/>
      <c r="P9" s="53"/>
      <c r="Q9" s="53"/>
      <c r="R9" s="53"/>
      <c r="S9" s="7"/>
      <c r="T9" s="7"/>
      <c r="U9" s="7"/>
      <c r="V9" s="7"/>
      <c r="Y9" s="53" t="s">
        <v>44</v>
      </c>
      <c r="Z9" s="53"/>
      <c r="AA9" s="53"/>
      <c r="AB9" s="53"/>
      <c r="AC9" s="53"/>
      <c r="AD9" s="7"/>
    </row>
    <row r="10" spans="1:32" s="6" customFormat="1" ht="25.8" x14ac:dyDescent="0.3">
      <c r="C10" s="6" t="s">
        <v>11</v>
      </c>
      <c r="D10" s="6" t="s">
        <v>12</v>
      </c>
      <c r="E10" s="6" t="s">
        <v>13</v>
      </c>
      <c r="F10" s="6" t="s">
        <v>14</v>
      </c>
      <c r="G10" s="6" t="s">
        <v>15</v>
      </c>
      <c r="H10" s="4"/>
      <c r="I10" s="7"/>
      <c r="J10" s="7"/>
      <c r="K10" s="7"/>
      <c r="L10" s="7"/>
      <c r="M10" s="7"/>
      <c r="N10" s="6" t="s">
        <v>11</v>
      </c>
      <c r="O10" s="6" t="s">
        <v>12</v>
      </c>
      <c r="P10" s="6" t="s">
        <v>13</v>
      </c>
      <c r="Q10" s="6" t="s">
        <v>14</v>
      </c>
      <c r="R10" s="6" t="s">
        <v>15</v>
      </c>
      <c r="S10" s="4"/>
      <c r="T10" s="4"/>
      <c r="U10" s="4"/>
      <c r="V10" s="4"/>
      <c r="W10" s="7"/>
      <c r="Y10" s="6" t="s">
        <v>11</v>
      </c>
      <c r="Z10" s="6" t="s">
        <v>12</v>
      </c>
      <c r="AA10" s="6" t="s">
        <v>13</v>
      </c>
      <c r="AB10" s="6" t="s">
        <v>14</v>
      </c>
      <c r="AC10" s="6" t="s">
        <v>15</v>
      </c>
      <c r="AD10" s="4"/>
      <c r="AE10" s="7"/>
    </row>
    <row r="11" spans="1:32" s="1" customFormat="1" x14ac:dyDescent="0.3">
      <c r="C11" s="1">
        <v>11</v>
      </c>
      <c r="D11" s="1">
        <f>CEILING(Demon!$B13 / IF(Demon!$D13&lt; 10.8, $F$4, $F$4 / (Demon!$D13 / 10.8)),1)</f>
        <v>8</v>
      </c>
      <c r="E11" s="1">
        <f>CEILING(Elf!$B13 / IF(Elf!$D13 &lt; 10.8, $F$4, $F$4 / (Elf!$D13/ 10.8)),1)</f>
        <v>8</v>
      </c>
      <c r="F11" s="1">
        <f>CEILING(Beastgirl!$B13/ IF(Beastgirl!$D13&lt; 10.8,$F$4, $F$4 / (Beastgirl!$D13 / 10.8)),1)</f>
        <v>15</v>
      </c>
      <c r="G11" s="1">
        <f>CEILING(Warrior!$B13/ IF(Warrior!$D13&lt; 10.8, $F$4, $F$4 / (Warrior!$D13 / 10.8)),1)</f>
        <v>10</v>
      </c>
      <c r="N11" s="1">
        <v>11</v>
      </c>
      <c r="O11" s="1">
        <f>CEILING(Demon!$B13 / IF(Demon!$D13&lt; 10.8, $Q$4, $Q$4 / (Demon!$D13 / 10.8)),1)</f>
        <v>5</v>
      </c>
      <c r="P11" s="1">
        <f>CEILING(Elf!$B13 / IF(Elf!$D13 &lt; 10.8, $Q$4, $Q$4 / (Elf!$D13 / 10.8)),1)</f>
        <v>6</v>
      </c>
      <c r="Q11" s="1">
        <f>CEILING(Beastgirl!$B13 / IF(Beastgirl!$D13&lt; 10.8, $Q$4, $Q$4 / (Beastgirl!$D13 / 10.8)),1)</f>
        <v>10</v>
      </c>
      <c r="R11" s="1">
        <f>CEILING(Warrior!$B13 / IF(Warrior!$D13&lt; 10.8, $Q$4, $Q$4 / (Warrior!$D13 / 10.8)),1)</f>
        <v>7</v>
      </c>
      <c r="Y11" s="1">
        <v>11</v>
      </c>
      <c r="Z11" s="1">
        <f>CEILING(Demon!$B13 / IF(Demon!$D13&lt; 10.8, $AB$4, $AB$4 / (Demon!$D13 / 10.8)),1)</f>
        <v>4</v>
      </c>
      <c r="AA11" s="1">
        <f>CEILING(Elf!$B13 / IF(Elf!$D13 &lt; 10.8, $AB$4, $AB$4 / (Elf!$D13 / 10.8)),1)</f>
        <v>4</v>
      </c>
      <c r="AB11" s="1">
        <f>CEILING(Beastgirl!$B13 / IF(Beastgirl!$D13&lt; 10.8, $AB$4, $AB$4 / (Beastgirl!$D13 / 10.8)),1)</f>
        <v>8</v>
      </c>
      <c r="AC11" s="1">
        <f>CEILING(Warrior!$B13 / IF(Warrior!$D13&lt; 10.8, $AB$4, $AB$4 / (Warrior!$D13 / 10.8)),1)</f>
        <v>5</v>
      </c>
    </row>
    <row r="12" spans="1:32" s="1" customFormat="1" x14ac:dyDescent="0.3">
      <c r="C12" s="1">
        <v>12</v>
      </c>
      <c r="D12" s="1">
        <f>CEILING(Demon!$B14 / IF(Demon!$D14&lt; 10.8, $F$4, $F$4 / (Demon!$D14 / 10.8)),1)</f>
        <v>9</v>
      </c>
      <c r="E12" s="1">
        <f>CEILING(Elf!$B14 / IF(Elf!$D14 &lt; 10.8, $F$4, $F$4 / (Elf!$D14/ 10.8)),1)</f>
        <v>9</v>
      </c>
      <c r="F12" s="1">
        <f>CEILING(Beastgirl!$B14/ IF(Beastgirl!$D14&lt; 10.8,$F$4, $F$4 / (Beastgirl!$D14 / 10.8)),1)</f>
        <v>18</v>
      </c>
      <c r="G12" s="1">
        <f>CEILING(Warrior!$B14/ IF(Warrior!$D14&lt; 10.8, $F$4, $F$4 / (Warrior!$D14 / 10.8)),1)</f>
        <v>12</v>
      </c>
      <c r="N12" s="1">
        <v>12</v>
      </c>
      <c r="O12" s="1">
        <f>CEILING(Demon!$B14 / IF(Demon!$D14&lt; 10.8, $Q$4, $Q$4 / (Demon!$D14 / 10.8)),1)</f>
        <v>6</v>
      </c>
      <c r="P12" s="1">
        <f>CEILING(Elf!$B14 / IF(Elf!$D14 &lt; 10.8, $Q$4, $Q$4 / (Elf!$D14 / 10.8)),1)</f>
        <v>6</v>
      </c>
      <c r="Q12" s="1">
        <f>CEILING(Beastgirl!$B14 / IF(Beastgirl!$D14&lt; 10.8, $Q$4, $Q$4 / (Beastgirl!$D14 / 10.8)),1)</f>
        <v>12</v>
      </c>
      <c r="R12" s="1">
        <f>CEILING(Warrior!$B14 / IF(Warrior!$D14&lt; 10.8, $Q$4, $Q$4 / (Warrior!$D14 / 10.8)),1)</f>
        <v>8</v>
      </c>
      <c r="Y12" s="1">
        <v>12</v>
      </c>
      <c r="Z12" s="1">
        <f>CEILING(Demon!$B14 / IF(Demon!$D14&lt; 10.8, $AB$4, $AB$4 / (Demon!$D14 / 10.8)),1)</f>
        <v>5</v>
      </c>
      <c r="AA12" s="1">
        <f>CEILING(Elf!$B14 / IF(Elf!$D14 &lt; 10.8, $AB$4, $AB$4 / (Elf!$D14 / 10.8)),1)</f>
        <v>5</v>
      </c>
      <c r="AB12" s="1">
        <f>CEILING(Beastgirl!$B14 / IF(Beastgirl!$D14&lt; 10.8, $AB$4, $AB$4 / (Beastgirl!$D14 / 10.8)),1)</f>
        <v>9</v>
      </c>
      <c r="AC12" s="1">
        <f>CEILING(Warrior!$B14 / IF(Warrior!$D14&lt; 10.8, $AB$4, $AB$4 / (Warrior!$D14 / 10.8)),1)</f>
        <v>6</v>
      </c>
    </row>
    <row r="13" spans="1:32" s="1" customFormat="1" x14ac:dyDescent="0.3">
      <c r="C13" s="1">
        <v>13</v>
      </c>
      <c r="D13" s="1">
        <f>CEILING(Demon!$B15 / IF(Demon!$D15&lt; 10.8, $F$4, $F$4 / (Demon!$D15 / 10.8)),1)</f>
        <v>10</v>
      </c>
      <c r="E13" s="1">
        <f>CEILING(Elf!$B15 / IF(Elf!$D15 &lt; 10.8, $F$4, $F$4 / (Elf!$D15/ 10.8)),1)</f>
        <v>11</v>
      </c>
      <c r="F13" s="1">
        <f>CEILING(Beastgirl!$B15/ IF(Beastgirl!$D15&lt; 10.8,$F$4, $F$4 / (Beastgirl!$D15 / 10.8)),1)</f>
        <v>20</v>
      </c>
      <c r="G13" s="1">
        <f>CEILING(Warrior!$B15/ IF(Warrior!$D15&lt; 10.8, $F$4, $F$4 / (Warrior!$D15 / 10.8)),1)</f>
        <v>13</v>
      </c>
      <c r="N13" s="1">
        <v>13</v>
      </c>
      <c r="O13" s="1">
        <f>CEILING(Demon!$B15 / IF(Demon!$D15&lt; 10.8, $Q$4, $Q$4 / (Demon!$D15 / 10.8)),1)</f>
        <v>7</v>
      </c>
      <c r="P13" s="1">
        <f>CEILING(Elf!$B15 / IF(Elf!$D15 &lt; 10.8, $Q$4, $Q$4 / (Elf!$D15 / 10.8)),1)</f>
        <v>7</v>
      </c>
      <c r="Q13" s="1">
        <f>CEILING(Beastgirl!$B15 / IF(Beastgirl!$D15&lt; 10.8, $Q$4, $Q$4 / (Beastgirl!$D15 / 10.8)),1)</f>
        <v>13</v>
      </c>
      <c r="R13" s="1">
        <f>CEILING(Warrior!$B15 / IF(Warrior!$D15&lt; 10.8, $Q$4, $Q$4 / (Warrior!$D15 / 10.8)),1)</f>
        <v>9</v>
      </c>
      <c r="Y13" s="1">
        <v>13</v>
      </c>
      <c r="Z13" s="1">
        <f>CEILING(Demon!$B15 / IF(Demon!$D15&lt; 10.8, $AB$4, $AB$4 / (Demon!$D15 / 10.8)),1)</f>
        <v>5</v>
      </c>
      <c r="AA13" s="1">
        <f>CEILING(Elf!$B15 / IF(Elf!$D15 &lt; 10.8, $AB$4, $AB$4 / (Elf!$D15 / 10.8)),1)</f>
        <v>6</v>
      </c>
      <c r="AB13" s="1">
        <f>CEILING(Beastgirl!$B15 / IF(Beastgirl!$D15&lt; 10.8, $AB$4, $AB$4 / (Beastgirl!$D15 / 10.8)),1)</f>
        <v>10</v>
      </c>
      <c r="AC13" s="1">
        <f>CEILING(Warrior!$B15 / IF(Warrior!$D15&lt; 10.8, $AB$4, $AB$4 / (Warrior!$D15 / 10.8)),1)</f>
        <v>7</v>
      </c>
    </row>
    <row r="14" spans="1:32" s="1" customFormat="1" x14ac:dyDescent="0.3">
      <c r="C14" s="1">
        <v>14</v>
      </c>
      <c r="D14" s="1">
        <f>CEILING(Demon!$B16 / IF(Demon!$D16&lt; 10.8, $F$4, $F$4 / (Demon!$D16 / 10.8)),1)</f>
        <v>12</v>
      </c>
      <c r="E14" s="1">
        <f>CEILING(Elf!$B16 / IF(Elf!$D16 &lt; 10.8, $F$4, $F$4 / (Elf!$D16/ 10.8)),1)</f>
        <v>12</v>
      </c>
      <c r="F14" s="1">
        <f>CEILING(Beastgirl!$B16/ IF(Beastgirl!$D16&lt; 10.8,$F$4, $F$4 / (Beastgirl!$D16 / 10.8)),1)</f>
        <v>22</v>
      </c>
      <c r="G14" s="1">
        <f>CEILING(Warrior!$B16/ IF(Warrior!$D16&lt; 10.8, $F$4, $F$4 / (Warrior!$D16 / 10.8)),1)</f>
        <v>15</v>
      </c>
      <c r="N14" s="1">
        <v>14</v>
      </c>
      <c r="O14" s="1">
        <f>CEILING(Demon!$B16 / IF(Demon!$D16&lt; 10.8, $Q$4, $Q$4 / (Demon!$D16 / 10.8)),1)</f>
        <v>8</v>
      </c>
      <c r="P14" s="1">
        <f>CEILING(Elf!$B16 / IF(Elf!$D16 &lt; 10.8, $Q$4, $Q$4 / (Elf!$D16 / 10.8)),1)</f>
        <v>8</v>
      </c>
      <c r="Q14" s="1">
        <f>CEILING(Beastgirl!$B16 / IF(Beastgirl!$D16&lt; 10.8, $Q$4, $Q$4 / (Beastgirl!$D16 / 10.8)),1)</f>
        <v>15</v>
      </c>
      <c r="R14" s="1">
        <f>CEILING(Warrior!$B16 / IF(Warrior!$D16&lt; 10.8, $Q$4, $Q$4 / (Warrior!$D16 / 10.8)),1)</f>
        <v>10</v>
      </c>
      <c r="Y14" s="1">
        <v>14</v>
      </c>
      <c r="Z14" s="1">
        <f>CEILING(Demon!$B16 / IF(Demon!$D16&lt; 10.8, $AB$4, $AB$4 / (Demon!$D16 / 10.8)),1)</f>
        <v>6</v>
      </c>
      <c r="AA14" s="1">
        <f>CEILING(Elf!$B16 / IF(Elf!$D16 &lt; 10.8, $AB$4, $AB$4 / (Elf!$D16 / 10.8)),1)</f>
        <v>6</v>
      </c>
      <c r="AB14" s="1">
        <f>CEILING(Beastgirl!$B16 / IF(Beastgirl!$D16&lt; 10.8, $AB$4, $AB$4 / (Beastgirl!$D16 / 10.8)),1)</f>
        <v>11</v>
      </c>
      <c r="AC14" s="1">
        <f>CEILING(Warrior!$B16 / IF(Warrior!$D16&lt; 10.8, $AB$4, $AB$4 / (Warrior!$D16 / 10.8)),1)</f>
        <v>8</v>
      </c>
    </row>
    <row r="15" spans="1:32" s="1" customFormat="1" x14ac:dyDescent="0.3">
      <c r="C15" s="1">
        <v>15</v>
      </c>
      <c r="D15" s="1">
        <f>CEILING(Demon!$B17 / IF(Demon!$D17&lt; 10.8, $F$4, $F$4 / (Demon!$D17 / 10.8)),1)</f>
        <v>19</v>
      </c>
      <c r="E15" s="1">
        <f>CEILING(Elf!$B17 / IF(Elf!$D17 &lt; 10.8, $F$4, $F$4 / (Elf!$D17/ 10.8)),1)</f>
        <v>20</v>
      </c>
      <c r="F15" s="1">
        <f>CEILING(Beastgirl!$B17/ IF(Beastgirl!$D17&lt; 10.8,$F$4, $F$4 / (Beastgirl!$D17 / 10.8)),1)</f>
        <v>36</v>
      </c>
      <c r="G15" s="1">
        <f>CEILING(Warrior!$B17/ IF(Warrior!$D17&lt; 10.8, $F$4, $F$4 / (Warrior!$D17 / 10.8)),1)</f>
        <v>25</v>
      </c>
      <c r="N15" s="1">
        <v>15</v>
      </c>
      <c r="O15" s="1">
        <f>CEILING(Demon!$B17 / IF(Demon!$D17&lt; 10.8, $Q$4, $Q$4 / (Demon!$D17 / 10.8)),1)</f>
        <v>13</v>
      </c>
      <c r="P15" s="1">
        <f>CEILING(Elf!$B17 / IF(Elf!$D17 &lt; 10.8, $Q$4, $Q$4 / (Elf!$D17 / 10.8)),1)</f>
        <v>13</v>
      </c>
      <c r="Q15" s="1">
        <f>CEILING(Beastgirl!$B17 / IF(Beastgirl!$D17&lt; 10.8, $Q$4, $Q$4 / (Beastgirl!$D17 / 10.8)),1)</f>
        <v>24</v>
      </c>
      <c r="R15" s="1">
        <f>CEILING(Warrior!$B17 / IF(Warrior!$D17&lt; 10.8, $Q$4, $Q$4 / (Warrior!$D17 / 10.8)),1)</f>
        <v>17</v>
      </c>
      <c r="Y15" s="1">
        <v>15</v>
      </c>
      <c r="Z15" s="1">
        <f>CEILING(Demon!$B17 / IF(Demon!$D17&lt; 10.8, $AB$4, $AB$4 / (Demon!$D17 / 10.8)),1)</f>
        <v>10</v>
      </c>
      <c r="AA15" s="1">
        <f>CEILING(Elf!$B17 / IF(Elf!$D17 &lt; 10.8, $AB$4, $AB$4 / (Elf!$D17 / 10.8)),1)</f>
        <v>10</v>
      </c>
      <c r="AB15" s="1">
        <f>CEILING(Beastgirl!$B17 / IF(Beastgirl!$D17&lt; 10.8, $AB$4, $AB$4 / (Beastgirl!$D17 / 10.8)),1)</f>
        <v>18</v>
      </c>
      <c r="AC15" s="1">
        <f>CEILING(Warrior!$B17 / IF(Warrior!$D17&lt; 10.8, $AB$4, $AB$4 / (Warrior!$D17 / 10.8)),1)</f>
        <v>13</v>
      </c>
    </row>
    <row r="16" spans="1:32" s="1" customFormat="1" x14ac:dyDescent="0.3">
      <c r="C16" s="1">
        <v>16</v>
      </c>
      <c r="D16" s="1">
        <f>CEILING(Demon!$B18 / IF(Demon!$D18&lt; 10.8, $F$4, $F$4 / (Demon!$D18 / 10.8)),1)</f>
        <v>21</v>
      </c>
      <c r="E16" s="1">
        <f>CEILING(Elf!$B18 / IF(Elf!$D18 &lt; 10.8, $F$4, $F$4 / (Elf!$D18/ 10.8)),1)</f>
        <v>22</v>
      </c>
      <c r="F16" s="1">
        <f>CEILING(Beastgirl!$B18/ IF(Beastgirl!$D18&lt; 10.8,$F$4, $F$4 / (Beastgirl!$D18 / 10.8)),1)</f>
        <v>40</v>
      </c>
      <c r="G16" s="1">
        <f>CEILING(Warrior!$B18/ IF(Warrior!$D18&lt; 10.8, $F$4, $F$4 / (Warrior!$D18 / 10.8)),1)</f>
        <v>28</v>
      </c>
      <c r="N16" s="1">
        <v>16</v>
      </c>
      <c r="O16" s="1">
        <f>CEILING(Demon!$B18 / IF(Demon!$D18&lt; 10.8, $Q$4, $Q$4 / (Demon!$D18 / 10.8)),1)</f>
        <v>14</v>
      </c>
      <c r="P16" s="1">
        <f>CEILING(Elf!$B18 / IF(Elf!$D18 &lt; 10.8, $Q$4, $Q$4 / (Elf!$D18 / 10.8)),1)</f>
        <v>15</v>
      </c>
      <c r="Q16" s="1">
        <f>CEILING(Beastgirl!$B18 / IF(Beastgirl!$D18&lt; 10.8, $Q$4, $Q$4 / (Beastgirl!$D18 / 10.8)),1)</f>
        <v>27</v>
      </c>
      <c r="R16" s="1">
        <f>CEILING(Warrior!$B18 / IF(Warrior!$D18&lt; 10.8, $Q$4, $Q$4 / (Warrior!$D18 / 10.8)),1)</f>
        <v>19</v>
      </c>
      <c r="Y16" s="1">
        <v>16</v>
      </c>
      <c r="Z16" s="1">
        <f>CEILING(Demon!$B18 / IF(Demon!$D18&lt; 10.8, $AB$4, $AB$4 / (Demon!$D18 / 10.8)),1)</f>
        <v>11</v>
      </c>
      <c r="AA16" s="1">
        <f>CEILING(Elf!$B18 / IF(Elf!$D18 &lt; 10.8, $AB$4, $AB$4 / (Elf!$D18 / 10.8)),1)</f>
        <v>11</v>
      </c>
      <c r="AB16" s="1">
        <f>CEILING(Beastgirl!$B18 / IF(Beastgirl!$D18&lt; 10.8, $AB$4, $AB$4 / (Beastgirl!$D18 / 10.8)),1)</f>
        <v>20</v>
      </c>
      <c r="AC16" s="1">
        <f>CEILING(Warrior!$B18 / IF(Warrior!$D18&lt; 10.8, $AB$4, $AB$4 / (Warrior!$D18 / 10.8)),1)</f>
        <v>14</v>
      </c>
    </row>
    <row r="17" spans="3:33" s="1" customFormat="1" x14ac:dyDescent="0.3">
      <c r="C17" s="1">
        <v>17</v>
      </c>
      <c r="D17" s="1">
        <f>CEILING(Demon!$B19 / IF(Demon!$D19&lt; 10.8, $F$4, $F$4 / (Demon!$D19 / 10.8)),1)</f>
        <v>23</v>
      </c>
      <c r="E17" s="1">
        <f>CEILING(Elf!$B19 / IF(Elf!$D19 &lt; 10.8, $F$4, $F$4 / (Elf!$D19/ 10.8)),1)</f>
        <v>24</v>
      </c>
      <c r="F17" s="1">
        <f>CEILING(Beastgirl!$B19/ IF(Beastgirl!$D19&lt; 10.8,$F$4, $F$4 / (Beastgirl!$D19 / 10.8)),1)</f>
        <v>44</v>
      </c>
      <c r="G17" s="1">
        <f>CEILING(Warrior!$B19/ IF(Warrior!$D19&lt; 10.8, $F$4, $F$4 / (Warrior!$D19 / 10.8)),1)</f>
        <v>30</v>
      </c>
      <c r="N17" s="1">
        <v>17</v>
      </c>
      <c r="O17" s="1">
        <f>CEILING(Demon!$B19 / IF(Demon!$D19&lt; 10.8, $Q$4, $Q$4 / (Demon!$D19 / 10.8)),1)</f>
        <v>15</v>
      </c>
      <c r="P17" s="1">
        <f>CEILING(Elf!$B19 / IF(Elf!$D19 &lt; 10.8, $Q$4, $Q$4 / (Elf!$D19 / 10.8)),1)</f>
        <v>16</v>
      </c>
      <c r="Q17" s="1">
        <f>CEILING(Beastgirl!$B19 / IF(Beastgirl!$D19&lt; 10.8, $Q$4, $Q$4 / (Beastgirl!$D19 / 10.8)),1)</f>
        <v>29</v>
      </c>
      <c r="R17" s="1">
        <f>CEILING(Warrior!$B19 / IF(Warrior!$D19&lt; 10.8, $Q$4, $Q$4 / (Warrior!$D19 / 10.8)),1)</f>
        <v>20</v>
      </c>
      <c r="Y17" s="1">
        <v>17</v>
      </c>
      <c r="Z17" s="1">
        <f>CEILING(Demon!$B19 / IF(Demon!$D19&lt; 10.8, $AB$4, $AB$4 / (Demon!$D19 / 10.8)),1)</f>
        <v>12</v>
      </c>
      <c r="AA17" s="1">
        <f>CEILING(Elf!$B19 / IF(Elf!$D19 &lt; 10.8, $AB$4, $AB$4 / (Elf!$D19 / 10.8)),1)</f>
        <v>12</v>
      </c>
      <c r="AB17" s="1">
        <f>CEILING(Beastgirl!$B19 / IF(Beastgirl!$D19&lt; 10.8, $AB$4, $AB$4 / (Beastgirl!$D19 / 10.8)),1)</f>
        <v>22</v>
      </c>
      <c r="AC17" s="1">
        <f>CEILING(Warrior!$B19 / IF(Warrior!$D19&lt; 10.8, $AB$4, $AB$4 / (Warrior!$D19 / 10.8)),1)</f>
        <v>15</v>
      </c>
    </row>
    <row r="18" spans="3:33" s="1" customFormat="1" x14ac:dyDescent="0.3">
      <c r="C18" s="1">
        <v>18</v>
      </c>
      <c r="D18" s="1">
        <f>CEILING(Demon!$B20 / IF(Demon!$D20&lt; 10.8, $F$4, $F$4 / (Demon!$D20 / 10.8)),1)</f>
        <v>25</v>
      </c>
      <c r="E18" s="1">
        <f>CEILING(Elf!$B20 / IF(Elf!$D20 &lt; 10.8, $F$4, $F$4 / (Elf!$D20/ 10.8)),1)</f>
        <v>27</v>
      </c>
      <c r="F18" s="1">
        <f>CEILING(Beastgirl!$B20/ IF(Beastgirl!$D20&lt; 10.8,$F$4, $F$4 / (Beastgirl!$D20 / 10.8)),1)</f>
        <v>48</v>
      </c>
      <c r="G18" s="1">
        <f>CEILING(Warrior!$B20/ IF(Warrior!$D20&lt; 10.8, $F$4, $F$4 / (Warrior!$D20 / 10.8)),1)</f>
        <v>33</v>
      </c>
      <c r="N18" s="1">
        <v>18</v>
      </c>
      <c r="O18" s="1">
        <f>CEILING(Demon!$B20 / IF(Demon!$D20&lt; 10.8, $Q$4, $Q$4 / (Demon!$D20 / 10.8)),1)</f>
        <v>17</v>
      </c>
      <c r="P18" s="1">
        <f>CEILING(Elf!$B20 / IF(Elf!$D20 &lt; 10.8, $Q$4, $Q$4 / (Elf!$D20 / 10.8)),1)</f>
        <v>18</v>
      </c>
      <c r="Q18" s="1">
        <f>CEILING(Beastgirl!$B20 / IF(Beastgirl!$D20&lt; 10.8, $Q$4, $Q$4 / (Beastgirl!$D20 / 10.8)),1)</f>
        <v>32</v>
      </c>
      <c r="R18" s="1">
        <f>CEILING(Warrior!$B20 / IF(Warrior!$D20&lt; 10.8, $Q$4, $Q$4 / (Warrior!$D20 / 10.8)),1)</f>
        <v>22</v>
      </c>
      <c r="Y18" s="1">
        <v>18</v>
      </c>
      <c r="Z18" s="1">
        <f>CEILING(Demon!$B20 / IF(Demon!$D20&lt; 10.8, $AB$4, $AB$4 / (Demon!$D20 / 10.8)),1)</f>
        <v>13</v>
      </c>
      <c r="AA18" s="1">
        <f>CEILING(Elf!$B20 / IF(Elf!$D20 &lt; 10.8, $AB$4, $AB$4 / (Elf!$D20 / 10.8)),1)</f>
        <v>14</v>
      </c>
      <c r="AB18" s="1">
        <f>CEILING(Beastgirl!$B20 / IF(Beastgirl!$D20&lt; 10.8, $AB$4, $AB$4 / (Beastgirl!$D20 / 10.8)),1)</f>
        <v>24</v>
      </c>
      <c r="AC18" s="1">
        <f>CEILING(Warrior!$B20 / IF(Warrior!$D20&lt; 10.8, $AB$4, $AB$4 / (Warrior!$D20 / 10.8)),1)</f>
        <v>17</v>
      </c>
    </row>
    <row r="19" spans="3:33" s="1" customFormat="1" x14ac:dyDescent="0.3">
      <c r="C19" s="1">
        <v>19</v>
      </c>
      <c r="D19" s="1">
        <f>CEILING(Demon!$B21 / IF(Demon!$D21&lt; 10.8, $F$4, $F$4 / (Demon!$D21 / 10.8)),1)</f>
        <v>27</v>
      </c>
      <c r="E19" s="1">
        <f>CEILING(Elf!$B21 / IF(Elf!$D21 &lt; 10.8, $F$4, $F$4 / (Elf!$D21/ 10.8)),1)</f>
        <v>29</v>
      </c>
      <c r="F19" s="1">
        <f>CEILING(Beastgirl!$B21/ IF(Beastgirl!$D21&lt; 10.8,$F$4, $F$4 / (Beastgirl!$D21 / 10.8)),1)</f>
        <v>52</v>
      </c>
      <c r="G19" s="1">
        <f>CEILING(Warrior!$B21/ IF(Warrior!$D21&lt; 10.8, $F$4, $F$4 / (Warrior!$D21 / 10.8)),1)</f>
        <v>36</v>
      </c>
      <c r="N19" s="1">
        <v>19</v>
      </c>
      <c r="O19" s="1">
        <f>CEILING(Demon!$B21 / IF(Demon!$D21&lt; 10.8, $Q$4, $Q$4 / (Demon!$D21 / 10.8)),1)</f>
        <v>18</v>
      </c>
      <c r="P19" s="1">
        <f>CEILING(Elf!$B21 / IF(Elf!$D21 &lt; 10.8, $Q$4, $Q$4 / (Elf!$D21 / 10.8)),1)</f>
        <v>20</v>
      </c>
      <c r="Q19" s="1">
        <f>CEILING(Beastgirl!$B21 / IF(Beastgirl!$D21&lt; 10.8, $Q$4, $Q$4 / (Beastgirl!$D21 / 10.8)),1)</f>
        <v>35</v>
      </c>
      <c r="R19" s="1">
        <f>CEILING(Warrior!$B21 / IF(Warrior!$D21&lt; 10.8, $Q$4, $Q$4 / (Warrior!$D21 / 10.8)),1)</f>
        <v>24</v>
      </c>
      <c r="Y19" s="1">
        <v>19</v>
      </c>
      <c r="Z19" s="1">
        <f>CEILING(Demon!$B21 / IF(Demon!$D21&lt; 10.8, $AB$4, $AB$4 / (Demon!$D21 / 10.8)),1)</f>
        <v>14</v>
      </c>
      <c r="AA19" s="1">
        <f>CEILING(Elf!$B21 / IF(Elf!$D21 &lt; 10.8, $AB$4, $AB$4 / (Elf!$D21 / 10.8)),1)</f>
        <v>15</v>
      </c>
      <c r="AB19" s="1">
        <f>CEILING(Beastgirl!$B21 / IF(Beastgirl!$D21&lt; 10.8, $AB$4, $AB$4 / (Beastgirl!$D21 / 10.8)),1)</f>
        <v>26</v>
      </c>
      <c r="AC19" s="1">
        <f>CEILING(Warrior!$B21 / IF(Warrior!$D21&lt; 10.8, $AB$4, $AB$4 / (Warrior!$D21 / 10.8)),1)</f>
        <v>18</v>
      </c>
    </row>
    <row r="20" spans="3:33" s="1" customFormat="1" x14ac:dyDescent="0.3">
      <c r="C20" s="1">
        <v>20</v>
      </c>
      <c r="D20" s="1">
        <f>CEILING(Demon!$B22 / IF(Demon!$D22&lt; 10.8, $F$4, $F$4 / (Demon!$D22 / 10.8)),1)</f>
        <v>30</v>
      </c>
      <c r="E20" s="1">
        <f>CEILING(Elf!$B22 / IF(Elf!$D22 &lt; 10.8, $F$4, $F$4 / (Elf!$D22/ 10.8)),1)</f>
        <v>32</v>
      </c>
      <c r="F20" s="1">
        <f>CEILING(Beastgirl!$B22/ IF(Beastgirl!$D22&lt; 10.8,$F$4, $F$4 / (Beastgirl!$D22 / 10.8)),1)</f>
        <v>57</v>
      </c>
      <c r="G20" s="1">
        <f>CEILING(Warrior!$B22/ IF(Warrior!$D22&lt; 10.8, $F$4, $F$4 / (Warrior!$D22 / 10.8)),1)</f>
        <v>40</v>
      </c>
      <c r="N20" s="1">
        <v>20</v>
      </c>
      <c r="O20" s="1">
        <f>CEILING(Demon!$B22 / IF(Demon!$D22&lt; 10.8, $Q$4, $Q$4 / (Demon!$D22 / 10.8)),1)</f>
        <v>20</v>
      </c>
      <c r="P20" s="1">
        <f>CEILING(Elf!$B22 / IF(Elf!$D22 &lt; 10.8, $Q$4, $Q$4 / (Elf!$D22 / 10.8)),1)</f>
        <v>22</v>
      </c>
      <c r="Q20" s="1">
        <f>CEILING(Beastgirl!$B22 / IF(Beastgirl!$D22&lt; 10.8, $Q$4, $Q$4 / (Beastgirl!$D22 / 10.8)),1)</f>
        <v>38</v>
      </c>
      <c r="R20" s="1">
        <f>CEILING(Warrior!$B22 / IF(Warrior!$D22&lt; 10.8, $Q$4, $Q$4 / (Warrior!$D22 / 10.8)),1)</f>
        <v>27</v>
      </c>
      <c r="Y20" s="1">
        <v>20</v>
      </c>
      <c r="Z20" s="1">
        <f>CEILING(Demon!$B22 / IF(Demon!$D22&lt; 10.8, $AB$4, $AB$4 / (Demon!$D22 / 10.8)),1)</f>
        <v>15</v>
      </c>
      <c r="AA20" s="1">
        <f>CEILING(Elf!$B22 / IF(Elf!$D22 &lt; 10.8, $AB$4, $AB$4 / (Elf!$D22 / 10.8)),1)</f>
        <v>16</v>
      </c>
      <c r="AB20" s="1">
        <f>CEILING(Beastgirl!$B22 / IF(Beastgirl!$D22&lt; 10.8, $AB$4, $AB$4 / (Beastgirl!$D22 / 10.8)),1)</f>
        <v>29</v>
      </c>
      <c r="AC20" s="1">
        <f>CEILING(Warrior!$B22 / IF(Warrior!$D22&lt; 10.8, $AB$4, $AB$4 / (Warrior!$D22 / 10.8)),1)</f>
        <v>20</v>
      </c>
    </row>
    <row r="21" spans="3:33" s="1" customFormat="1" x14ac:dyDescent="0.3">
      <c r="C21" s="4"/>
      <c r="D21" s="4"/>
      <c r="E21" s="4"/>
      <c r="F21" s="4"/>
      <c r="G21" s="4"/>
      <c r="I21" s="4"/>
      <c r="J21" s="4"/>
      <c r="K21" s="4"/>
      <c r="L21" s="4"/>
      <c r="M21" s="4"/>
      <c r="N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C21" s="4"/>
      <c r="AD21" s="4"/>
      <c r="AE21" s="4"/>
      <c r="AF21" s="4"/>
      <c r="AG21" s="4"/>
    </row>
    <row r="22" spans="3:33" s="1" customFormat="1" ht="25.8" x14ac:dyDescent="0.3">
      <c r="C22" s="53" t="s">
        <v>45</v>
      </c>
      <c r="D22" s="53"/>
      <c r="E22" s="53"/>
      <c r="F22" s="53"/>
      <c r="G22" s="53"/>
      <c r="I22" s="4"/>
      <c r="J22" s="4"/>
      <c r="K22" s="4"/>
      <c r="L22" s="4"/>
      <c r="M22" s="4"/>
      <c r="N22" s="53" t="s">
        <v>45</v>
      </c>
      <c r="O22" s="53"/>
      <c r="P22" s="53"/>
      <c r="Q22" s="53"/>
      <c r="R22" s="53"/>
      <c r="S22" s="4"/>
      <c r="T22" s="4"/>
      <c r="U22" s="4"/>
      <c r="W22" s="4"/>
      <c r="X22" s="4"/>
      <c r="Y22" s="53" t="s">
        <v>45</v>
      </c>
      <c r="Z22" s="53"/>
      <c r="AA22" s="53"/>
      <c r="AB22" s="53"/>
      <c r="AC22" s="53"/>
      <c r="AD22" s="4"/>
      <c r="AE22" s="4"/>
      <c r="AF22" s="4"/>
      <c r="AG22" s="4"/>
    </row>
    <row r="23" spans="3:33" s="1" customFormat="1" ht="21" x14ac:dyDescent="0.3">
      <c r="C23" s="6" t="s">
        <v>11</v>
      </c>
      <c r="D23" s="6" t="s">
        <v>12</v>
      </c>
      <c r="E23" s="6" t="s">
        <v>13</v>
      </c>
      <c r="F23" s="6" t="s">
        <v>14</v>
      </c>
      <c r="G23" s="6" t="s">
        <v>15</v>
      </c>
      <c r="I23" s="4"/>
      <c r="J23" s="4"/>
      <c r="K23" s="4"/>
      <c r="L23" s="4"/>
      <c r="M23" s="4"/>
      <c r="N23" s="6" t="s">
        <v>11</v>
      </c>
      <c r="O23" s="6" t="s">
        <v>12</v>
      </c>
      <c r="P23" s="6" t="s">
        <v>13</v>
      </c>
      <c r="Q23" s="6" t="s">
        <v>14</v>
      </c>
      <c r="R23" s="6" t="s">
        <v>15</v>
      </c>
      <c r="S23" s="4"/>
      <c r="T23" s="4"/>
      <c r="U23" s="4"/>
      <c r="W23" s="4"/>
      <c r="X23" s="4"/>
      <c r="Y23" s="6" t="s">
        <v>11</v>
      </c>
      <c r="Z23" s="6" t="s">
        <v>12</v>
      </c>
      <c r="AA23" s="6" t="s">
        <v>13</v>
      </c>
      <c r="AB23" s="6" t="s">
        <v>14</v>
      </c>
      <c r="AC23" s="6" t="s">
        <v>15</v>
      </c>
      <c r="AD23" s="4"/>
      <c r="AE23" s="4"/>
      <c r="AF23" s="4"/>
      <c r="AG23" s="4"/>
    </row>
    <row r="24" spans="3:33" s="1" customFormat="1" x14ac:dyDescent="0.3">
      <c r="C24" s="1">
        <v>11</v>
      </c>
      <c r="D24" s="1">
        <f>CEILING(Demon!$B13/ IF(Demon!$D13&lt; 10.8, $F$5, $F$5 / (Demon!$D13 / 10.8)),1)</f>
        <v>8</v>
      </c>
      <c r="E24" s="1">
        <f>CEILING(Elf!$B13 / IF(Elf!$D13 &lt; 10.8, $F$5,$F$5 / (Elf!$D13 / 10.8)),1)</f>
        <v>8</v>
      </c>
      <c r="F24" s="1">
        <f>CEILING(Beastgirl!$B13 / IF(Beastgirl!$D13&lt; 10.8, $F$5, $F$5 / (Beastgirl!$D13 / 10.8)),1)</f>
        <v>14</v>
      </c>
      <c r="G24" s="1">
        <f>CEILING(Warrior!$B13 / IF(Warrior!$D13&lt; 10.8, $F$5, $F$5 / (Warrior!$D13 / 10.8)),1)</f>
        <v>10</v>
      </c>
      <c r="I24" s="4"/>
      <c r="J24" s="4"/>
      <c r="K24" s="4"/>
      <c r="L24" s="4"/>
      <c r="M24" s="4"/>
      <c r="N24" s="1">
        <v>11</v>
      </c>
      <c r="O24" s="1">
        <f>CEILING(Demon!$B13 / IF(Demon!$D13&lt; 10.8, $Q$5, $Q$5 / (Demon!$D13/ 10.8)),1)</f>
        <v>5</v>
      </c>
      <c r="P24" s="1">
        <f>CEILING(Elf!$B13/ IF(Elf!$D13 &lt; 10.8, $Q$5, $Q$5 / (Elf!$D13 / 10.8)),1)</f>
        <v>5</v>
      </c>
      <c r="Q24" s="1">
        <f>CEILING(Beastgirl!$B13 / IF(Beastgirl!$D13&lt; 10.8, $Q$5, $Q$5 / (Beastgirl!$D13 / 10.8)),1)</f>
        <v>10</v>
      </c>
      <c r="R24" s="1">
        <f>CEILING(Warrior!$B13 / IF(Warrior!$D13&lt; 10.8, $Q$5, $Q$5 / (Warrior!$D13 / 10.8)),1)</f>
        <v>7</v>
      </c>
      <c r="S24" s="4"/>
      <c r="T24" s="4"/>
      <c r="U24" s="4"/>
      <c r="W24" s="4"/>
      <c r="X24" s="4"/>
      <c r="Y24" s="1">
        <v>11</v>
      </c>
      <c r="Z24" s="1">
        <f>CEILING(Demon!$B13 / IF(Demon!$D13&lt; 10.8, $AB$5, $AB$5 / (Demon!$D13 / 10.8)),1)</f>
        <v>4</v>
      </c>
      <c r="AA24" s="1">
        <f>CEILING(Elf!$B13 / IF(Elf!$D13 &lt; 10.8, $AB$5, $AB$5 / (Elf!$D13 / 10.8)),1)</f>
        <v>4</v>
      </c>
      <c r="AB24" s="1">
        <f>CEILING(Beastgirl!$B13 / IF(Beastgirl!$D13&lt; 10.8, $AB$5, $AB$5 / (Beastgirl!$D13 / 10.8)),1)</f>
        <v>7</v>
      </c>
      <c r="AC24" s="1">
        <f>CEILING(Warrior!$B13 / IF(Warrior!$D13&lt; 10.8, $AB$5, $AB$5 / (Warrior!$D13 / 10.8)),1)</f>
        <v>5</v>
      </c>
      <c r="AD24" s="4"/>
      <c r="AE24" s="4"/>
      <c r="AF24" s="4"/>
      <c r="AG24" s="4"/>
    </row>
    <row r="25" spans="3:33" s="1" customFormat="1" x14ac:dyDescent="0.3">
      <c r="C25" s="1">
        <v>12</v>
      </c>
      <c r="D25" s="1">
        <f>CEILING(Demon!$B14/ IF(Demon!$D14&lt; 10.8, $F$5, $F$5 / (Demon!$D14 / 10.8)),1)</f>
        <v>9</v>
      </c>
      <c r="E25" s="1">
        <f>CEILING(Elf!$B14 / IF(Elf!$D14 &lt; 10.8, $F$5,$F$5 / (Elf!$D14 / 10.8)),1)</f>
        <v>9</v>
      </c>
      <c r="F25" s="1">
        <f>CEILING(Beastgirl!$B14 / IF(Beastgirl!$D14&lt; 10.8, $F$5, $F$5 / (Beastgirl!$D14 / 10.8)),1)</f>
        <v>16</v>
      </c>
      <c r="G25" s="1">
        <f>CEILING(Warrior!$B14 / IF(Warrior!$D14&lt; 10.8, $F$5, $F$5 / (Warrior!$D14 / 10.8)),1)</f>
        <v>11</v>
      </c>
      <c r="I25" s="4"/>
      <c r="J25" s="4"/>
      <c r="K25" s="4"/>
      <c r="L25" s="4"/>
      <c r="M25" s="4"/>
      <c r="N25" s="1">
        <v>12</v>
      </c>
      <c r="O25" s="1">
        <f>CEILING(Demon!$B14 / IF(Demon!$D14&lt; 10.8, $Q$5, $Q$5 / (Demon!$D14/ 10.8)),1)</f>
        <v>6</v>
      </c>
      <c r="P25" s="1">
        <f>CEILING(Elf!$B14/ IF(Elf!$D14 &lt; 10.8, $Q$5, $Q$5 / (Elf!$D14 / 10.8)),1)</f>
        <v>6</v>
      </c>
      <c r="Q25" s="1">
        <f>CEILING(Beastgirl!$B14 / IF(Beastgirl!$D14&lt; 10.8, $Q$5, $Q$5 / (Beastgirl!$D14 / 10.8)),1)</f>
        <v>11</v>
      </c>
      <c r="R25" s="1">
        <f>CEILING(Warrior!$B14 / IF(Warrior!$D14&lt; 10.8, $Q$5, $Q$5 / (Warrior!$D14 / 10.8)),1)</f>
        <v>8</v>
      </c>
      <c r="S25" s="4"/>
      <c r="T25" s="4"/>
      <c r="U25" s="4"/>
      <c r="W25" s="4"/>
      <c r="X25" s="4"/>
      <c r="Y25" s="1">
        <v>12</v>
      </c>
      <c r="Z25" s="1">
        <f>CEILING(Demon!$B14 / IF(Demon!$D14&lt; 10.8, $AB$5, $AB$5 / (Demon!$D14 / 10.8)),1)</f>
        <v>5</v>
      </c>
      <c r="AA25" s="1">
        <f>CEILING(Elf!$B14 / IF(Elf!$D14 &lt; 10.8, $AB$5, $AB$5 / (Elf!$D14 / 10.8)),1)</f>
        <v>5</v>
      </c>
      <c r="AB25" s="1">
        <f>CEILING(Beastgirl!$B14 / IF(Beastgirl!$D14&lt; 10.8, $AB$5, $AB$5 / (Beastgirl!$D14 / 10.8)),1)</f>
        <v>8</v>
      </c>
      <c r="AC25" s="1">
        <f>CEILING(Warrior!$B14 / IF(Warrior!$D14&lt; 10.8, $AB$5, $AB$5 / (Warrior!$D14 / 10.8)),1)</f>
        <v>6</v>
      </c>
      <c r="AD25" s="4"/>
      <c r="AE25" s="4"/>
      <c r="AF25" s="4"/>
      <c r="AG25" s="4"/>
    </row>
    <row r="26" spans="3:33" s="1" customFormat="1" x14ac:dyDescent="0.3">
      <c r="C26" s="1">
        <v>13</v>
      </c>
      <c r="D26" s="1">
        <f>CEILING(Demon!$B15/ IF(Demon!$D15&lt; 10.8, $F$5, $F$5 / (Demon!$D15 / 10.8)),1)</f>
        <v>10</v>
      </c>
      <c r="E26" s="1">
        <f>CEILING(Elf!$B15 / IF(Elf!$D15 &lt; 10.8, $F$5,$F$5 / (Elf!$D15 / 10.8)),1)</f>
        <v>10</v>
      </c>
      <c r="F26" s="1">
        <f>CEILING(Beastgirl!$B15 / IF(Beastgirl!$D15&lt; 10.8, $F$5, $F$5 / (Beastgirl!$D15 / 10.8)),1)</f>
        <v>19</v>
      </c>
      <c r="G26" s="1">
        <f>CEILING(Warrior!$B15 / IF(Warrior!$D15&lt; 10.8, $F$5, $F$5 / (Warrior!$D15 / 10.8)),1)</f>
        <v>13</v>
      </c>
      <c r="I26" s="4"/>
      <c r="J26" s="4"/>
      <c r="K26" s="4"/>
      <c r="L26" s="4"/>
      <c r="M26" s="4"/>
      <c r="N26" s="1">
        <v>13</v>
      </c>
      <c r="O26" s="1">
        <f>CEILING(Demon!$B15 / IF(Demon!$D15&lt; 10.8, $Q$5, $Q$5 / (Demon!$D15/ 10.8)),1)</f>
        <v>7</v>
      </c>
      <c r="P26" s="1">
        <f>CEILING(Elf!$B15/ IF(Elf!$D15 &lt; 10.8, $Q$5, $Q$5 / (Elf!$D15 / 10.8)),1)</f>
        <v>7</v>
      </c>
      <c r="Q26" s="1">
        <f>CEILING(Beastgirl!$B15 / IF(Beastgirl!$D15&lt; 10.8, $Q$5, $Q$5 / (Beastgirl!$D15 / 10.8)),1)</f>
        <v>13</v>
      </c>
      <c r="R26" s="1">
        <f>CEILING(Warrior!$B15 / IF(Warrior!$D15&lt; 10.8, $Q$5, $Q$5 / (Warrior!$D15 / 10.8)),1)</f>
        <v>9</v>
      </c>
      <c r="S26" s="4"/>
      <c r="T26" s="4"/>
      <c r="U26" s="4"/>
      <c r="W26" s="4"/>
      <c r="X26" s="4"/>
      <c r="Y26" s="1">
        <v>13</v>
      </c>
      <c r="Z26" s="1">
        <f>CEILING(Demon!$B15 / IF(Demon!$D15&lt; 10.8, $AB$5, $AB$5 / (Demon!$D15 / 10.8)),1)</f>
        <v>5</v>
      </c>
      <c r="AA26" s="1">
        <f>CEILING(Elf!$B15 / IF(Elf!$D15 &lt; 10.8, $AB$5, $AB$5 / (Elf!$D15 / 10.8)),1)</f>
        <v>5</v>
      </c>
      <c r="AB26" s="1">
        <f>CEILING(Beastgirl!$B15 / IF(Beastgirl!$D15&lt; 10.8, $AB$5, $AB$5 / (Beastgirl!$D15 / 10.8)),1)</f>
        <v>10</v>
      </c>
      <c r="AC26" s="1">
        <f>CEILING(Warrior!$B15 / IF(Warrior!$D15&lt; 10.8, $AB$5, $AB$5 / (Warrior!$D15 / 10.8)),1)</f>
        <v>7</v>
      </c>
      <c r="AD26" s="4"/>
      <c r="AE26" s="4"/>
      <c r="AF26" s="4"/>
      <c r="AG26" s="4"/>
    </row>
    <row r="27" spans="3:33" s="1" customFormat="1" x14ac:dyDescent="0.3">
      <c r="C27" s="1">
        <v>14</v>
      </c>
      <c r="D27" s="1">
        <f>CEILING(Demon!$B16/ IF(Demon!$D16&lt; 10.8, $F$5, $F$5 / (Demon!$D16 / 10.8)),1)</f>
        <v>11</v>
      </c>
      <c r="E27" s="1">
        <f>CEILING(Elf!$B16 / IF(Elf!$D16 &lt; 10.8, $F$5,$F$5 / (Elf!$D16 / 10.8)),1)</f>
        <v>11</v>
      </c>
      <c r="F27" s="1">
        <f>CEILING(Beastgirl!$B16 / IF(Beastgirl!$D16&lt; 10.8, $F$5, $F$5 / (Beastgirl!$D16 / 10.8)),1)</f>
        <v>21</v>
      </c>
      <c r="G27" s="1">
        <f>CEILING(Warrior!$B16 / IF(Warrior!$D16&lt; 10.8, $F$5, $F$5 / (Warrior!$D16 / 10.8)),1)</f>
        <v>14</v>
      </c>
      <c r="I27" s="4"/>
      <c r="J27" s="4"/>
      <c r="K27" s="4"/>
      <c r="L27" s="4"/>
      <c r="M27" s="4"/>
      <c r="N27" s="1">
        <v>14</v>
      </c>
      <c r="O27" s="1">
        <f>CEILING(Demon!$B16 / IF(Demon!$D16&lt; 10.8, $Q$5, $Q$5 / (Demon!$D16/ 10.8)),1)</f>
        <v>7</v>
      </c>
      <c r="P27" s="1">
        <f>CEILING(Elf!$B16/ IF(Elf!$D16 &lt; 10.8, $Q$5, $Q$5 / (Elf!$D16 / 10.8)),1)</f>
        <v>8</v>
      </c>
      <c r="Q27" s="1">
        <f>CEILING(Beastgirl!$B16 / IF(Beastgirl!$D16&lt; 10.8, $Q$5, $Q$5 / (Beastgirl!$D16 / 10.8)),1)</f>
        <v>14</v>
      </c>
      <c r="R27" s="1">
        <f>CEILING(Warrior!$B16 / IF(Warrior!$D16&lt; 10.8, $Q$5, $Q$5 / (Warrior!$D16 / 10.8)),1)</f>
        <v>10</v>
      </c>
      <c r="S27" s="4"/>
      <c r="T27" s="4"/>
      <c r="U27" s="4"/>
      <c r="W27" s="4"/>
      <c r="X27" s="4"/>
      <c r="Y27" s="1">
        <v>14</v>
      </c>
      <c r="Z27" s="1">
        <f>CEILING(Demon!$B16 / IF(Demon!$D16&lt; 10.8, $AB$5, $AB$5 / (Demon!$D16 / 10.8)),1)</f>
        <v>6</v>
      </c>
      <c r="AA27" s="1">
        <f>CEILING(Elf!$B16 / IF(Elf!$D16 &lt; 10.8, $AB$5, $AB$5 / (Elf!$D16 / 10.8)),1)</f>
        <v>6</v>
      </c>
      <c r="AB27" s="1">
        <f>CEILING(Beastgirl!$B16 / IF(Beastgirl!$D16&lt; 10.8, $AB$5, $AB$5 / (Beastgirl!$D16 / 10.8)),1)</f>
        <v>11</v>
      </c>
      <c r="AC27" s="1">
        <f>CEILING(Warrior!$B16 / IF(Warrior!$D16&lt; 10.8, $AB$5, $AB$5 / (Warrior!$D16 / 10.8)),1)</f>
        <v>7</v>
      </c>
      <c r="AD27" s="4"/>
      <c r="AE27" s="4"/>
      <c r="AF27" s="4"/>
      <c r="AG27" s="4"/>
    </row>
    <row r="28" spans="3:33" s="1" customFormat="1" x14ac:dyDescent="0.3">
      <c r="C28" s="1">
        <v>15</v>
      </c>
      <c r="D28" s="1">
        <f>CEILING(Demon!$B17/ IF(Demon!$D17&lt; 10.8, $F$5, $F$5 / (Demon!$D17 / 10.8)),1)</f>
        <v>17</v>
      </c>
      <c r="E28" s="1">
        <f>CEILING(Elf!$B17 / IF(Elf!$D17 &lt; 10.8, $F$5,$F$5 / (Elf!$D17 / 10.8)),1)</f>
        <v>19</v>
      </c>
      <c r="F28" s="1">
        <f>CEILING(Beastgirl!$B17 / IF(Beastgirl!$D17&lt; 10.8, $F$5, $F$5 / (Beastgirl!$D17 / 10.8)),1)</f>
        <v>34</v>
      </c>
      <c r="G28" s="1">
        <f>CEILING(Warrior!$B17 / IF(Warrior!$D17&lt; 10.8, $F$5, $F$5 / (Warrior!$D17 / 10.8)),1)</f>
        <v>24</v>
      </c>
      <c r="I28" s="4"/>
      <c r="J28" s="4"/>
      <c r="K28" s="4"/>
      <c r="L28" s="4"/>
      <c r="M28" s="4"/>
      <c r="N28" s="1">
        <v>15</v>
      </c>
      <c r="O28" s="1">
        <f>CEILING(Demon!$B17 / IF(Demon!$D17&lt; 10.8, $Q$5, $Q$5 / (Demon!$D17/ 10.8)),1)</f>
        <v>12</v>
      </c>
      <c r="P28" s="1">
        <f>CEILING(Elf!$B17/ IF(Elf!$D17 &lt; 10.8, $Q$5, $Q$5 / (Elf!$D17 / 10.8)),1)</f>
        <v>13</v>
      </c>
      <c r="Q28" s="1">
        <f>CEILING(Beastgirl!$B17 / IF(Beastgirl!$D17&lt; 10.8, $Q$5, $Q$5 / (Beastgirl!$D17 / 10.8)),1)</f>
        <v>23</v>
      </c>
      <c r="R28" s="1">
        <f>CEILING(Warrior!$B17 / IF(Warrior!$D17&lt; 10.8, $Q$5, $Q$5 / (Warrior!$D17 / 10.8)),1)</f>
        <v>16</v>
      </c>
      <c r="S28" s="4"/>
      <c r="T28" s="4"/>
      <c r="U28" s="4"/>
      <c r="W28" s="4"/>
      <c r="X28" s="4"/>
      <c r="Y28" s="1">
        <v>15</v>
      </c>
      <c r="Z28" s="1">
        <f>CEILING(Demon!$B17 / IF(Demon!$D17&lt; 10.8, $AB$5, $AB$5 / (Demon!$D17 / 10.8)),1)</f>
        <v>9</v>
      </c>
      <c r="AA28" s="1">
        <f>CEILING(Elf!$B17 / IF(Elf!$D17 &lt; 10.8, $AB$5, $AB$5 / (Elf!$D17 / 10.8)),1)</f>
        <v>10</v>
      </c>
      <c r="AB28" s="1">
        <f>CEILING(Beastgirl!$B17 / IF(Beastgirl!$D17&lt; 10.8, $AB$5, $AB$5 / (Beastgirl!$D17 / 10.8)),1)</f>
        <v>17</v>
      </c>
      <c r="AC28" s="1">
        <f>CEILING(Warrior!$B17 / IF(Warrior!$D17&lt; 10.8, $AB$5, $AB$5 / (Warrior!$D17 / 10.8)),1)</f>
        <v>12</v>
      </c>
      <c r="AD28" s="4"/>
      <c r="AE28" s="4"/>
      <c r="AF28" s="4"/>
      <c r="AG28" s="4"/>
    </row>
    <row r="29" spans="3:33" s="1" customFormat="1" x14ac:dyDescent="0.3">
      <c r="C29" s="1">
        <v>16</v>
      </c>
      <c r="D29" s="1">
        <f>CEILING(Demon!$B18/ IF(Demon!$D18&lt; 10.8, $F$5, $F$5 / (Demon!$D18 / 10.8)),1)</f>
        <v>19</v>
      </c>
      <c r="E29" s="1">
        <f>CEILING(Elf!$B18 / IF(Elf!$D18 &lt; 10.8, $F$5,$F$5 / (Elf!$D18 / 10.8)),1)</f>
        <v>21</v>
      </c>
      <c r="F29" s="1">
        <f>CEILING(Beastgirl!$B18 / IF(Beastgirl!$D18&lt; 10.8, $F$5, $F$5 / (Beastgirl!$D18 / 10.8)),1)</f>
        <v>37</v>
      </c>
      <c r="G29" s="1">
        <f>CEILING(Warrior!$B18 / IF(Warrior!$D18&lt; 10.8, $F$5, $F$5 / (Warrior!$D18 / 10.8)),1)</f>
        <v>26</v>
      </c>
      <c r="I29" s="4"/>
      <c r="J29" s="4"/>
      <c r="K29" s="4"/>
      <c r="L29" s="4"/>
      <c r="M29" s="4"/>
      <c r="N29" s="1">
        <v>16</v>
      </c>
      <c r="O29" s="1">
        <f>CEILING(Demon!$B18 / IF(Demon!$D18&lt; 10.8, $Q$5, $Q$5 / (Demon!$D18/ 10.8)),1)</f>
        <v>13</v>
      </c>
      <c r="P29" s="1">
        <f>CEILING(Elf!$B18/ IF(Elf!$D18 &lt; 10.8, $Q$5, $Q$5 / (Elf!$D18 / 10.8)),1)</f>
        <v>14</v>
      </c>
      <c r="Q29" s="1">
        <f>CEILING(Beastgirl!$B18 / IF(Beastgirl!$D18&lt; 10.8, $Q$5, $Q$5 / (Beastgirl!$D18 / 10.8)),1)</f>
        <v>25</v>
      </c>
      <c r="R29" s="1">
        <f>CEILING(Warrior!$B18 / IF(Warrior!$D18&lt; 10.8, $Q$5, $Q$5 / (Warrior!$D18 / 10.8)),1)</f>
        <v>17</v>
      </c>
      <c r="S29" s="4"/>
      <c r="T29" s="4"/>
      <c r="U29" s="4"/>
      <c r="W29" s="4"/>
      <c r="X29" s="4"/>
      <c r="Y29" s="1">
        <v>16</v>
      </c>
      <c r="Z29" s="1">
        <f>CEILING(Demon!$B18 / IF(Demon!$D18&lt; 10.8, $AB$5, $AB$5 / (Demon!$D18 / 10.8)),1)</f>
        <v>10</v>
      </c>
      <c r="AA29" s="1">
        <f>CEILING(Elf!$B18 / IF(Elf!$D18 &lt; 10.8, $AB$5, $AB$5 / (Elf!$D18 / 10.8)),1)</f>
        <v>11</v>
      </c>
      <c r="AB29" s="1">
        <f>CEILING(Beastgirl!$B18 / IF(Beastgirl!$D18&lt; 10.8, $AB$5, $AB$5 / (Beastgirl!$D18 / 10.8)),1)</f>
        <v>19</v>
      </c>
      <c r="AC29" s="1">
        <f>CEILING(Warrior!$B18 / IF(Warrior!$D18&lt; 10.8, $AB$5, $AB$5 / (Warrior!$D18 / 10.8)),1)</f>
        <v>13</v>
      </c>
      <c r="AD29" s="4"/>
      <c r="AE29" s="4"/>
      <c r="AF29" s="4"/>
      <c r="AG29" s="4"/>
    </row>
    <row r="30" spans="3:33" s="1" customFormat="1" x14ac:dyDescent="0.3">
      <c r="C30" s="1">
        <v>17</v>
      </c>
      <c r="D30" s="1">
        <f>CEILING(Demon!$B19/ IF(Demon!$D19&lt; 10.8, $F$5, $F$5 / (Demon!$D19 / 10.8)),1)</f>
        <v>21</v>
      </c>
      <c r="E30" s="1">
        <f>CEILING(Elf!$B19 / IF(Elf!$D19 &lt; 10.8, $F$5,$F$5 / (Elf!$D19 / 10.8)),1)</f>
        <v>23</v>
      </c>
      <c r="F30" s="1">
        <f>CEILING(Beastgirl!$B19 / IF(Beastgirl!$D19&lt; 10.8, $F$5, $F$5 / (Beastgirl!$D19 / 10.8)),1)</f>
        <v>41</v>
      </c>
      <c r="G30" s="1">
        <f>CEILING(Warrior!$B19 / IF(Warrior!$D19&lt; 10.8, $F$5, $F$5 / (Warrior!$D19 / 10.8)),1)</f>
        <v>29</v>
      </c>
      <c r="I30" s="4"/>
      <c r="J30" s="4"/>
      <c r="K30" s="4"/>
      <c r="L30" s="4"/>
      <c r="M30" s="4"/>
      <c r="N30" s="1">
        <v>17</v>
      </c>
      <c r="O30" s="1">
        <f>CEILING(Demon!$B19 / IF(Demon!$D19&lt; 10.8, $Q$5, $Q$5 / (Demon!$D19/ 10.8)),1)</f>
        <v>14</v>
      </c>
      <c r="P30" s="1">
        <f>CEILING(Elf!$B19/ IF(Elf!$D19 &lt; 10.8, $Q$5, $Q$5 / (Elf!$D19 / 10.8)),1)</f>
        <v>15</v>
      </c>
      <c r="Q30" s="1">
        <f>CEILING(Beastgirl!$B19 / IF(Beastgirl!$D19&lt; 10.8, $Q$5, $Q$5 / (Beastgirl!$D19 / 10.8)),1)</f>
        <v>27</v>
      </c>
      <c r="R30" s="1">
        <f>CEILING(Warrior!$B19 / IF(Warrior!$D19&lt; 10.8, $Q$5, $Q$5 / (Warrior!$D19 / 10.8)),1)</f>
        <v>19</v>
      </c>
      <c r="S30" s="4"/>
      <c r="T30" s="4"/>
      <c r="U30" s="4"/>
      <c r="W30" s="4"/>
      <c r="X30" s="4"/>
      <c r="Y30" s="1">
        <v>17</v>
      </c>
      <c r="Z30" s="1">
        <f>CEILING(Demon!$B19 / IF(Demon!$D19&lt; 10.8, $AB$5, $AB$5 / (Demon!$D19 / 10.8)),1)</f>
        <v>11</v>
      </c>
      <c r="AA30" s="1">
        <f>CEILING(Elf!$B19 / IF(Elf!$D19 &lt; 10.8, $AB$5, $AB$5 / (Elf!$D19 / 10.8)),1)</f>
        <v>12</v>
      </c>
      <c r="AB30" s="1">
        <f>CEILING(Beastgirl!$B19 / IF(Beastgirl!$D19&lt; 10.8, $AB$5, $AB$5 / (Beastgirl!$D19 / 10.8)),1)</f>
        <v>21</v>
      </c>
      <c r="AC30" s="1">
        <f>CEILING(Warrior!$B19 / IF(Warrior!$D19&lt; 10.8, $AB$5, $AB$5 / (Warrior!$D19 / 10.8)),1)</f>
        <v>15</v>
      </c>
      <c r="AD30" s="4"/>
      <c r="AE30" s="4"/>
      <c r="AF30" s="4"/>
      <c r="AG30" s="4"/>
    </row>
    <row r="31" spans="3:33" s="1" customFormat="1" x14ac:dyDescent="0.3">
      <c r="C31" s="1">
        <v>18</v>
      </c>
      <c r="D31" s="1">
        <f>CEILING(Demon!$B20/ IF(Demon!$D20&lt; 10.8, $F$5, $F$5 / (Demon!$D20 / 10.8)),1)</f>
        <v>23</v>
      </c>
      <c r="E31" s="1">
        <f>CEILING(Elf!$B20 / IF(Elf!$D20 &lt; 10.8, $F$5,$F$5 / (Elf!$D20 / 10.8)),1)</f>
        <v>25</v>
      </c>
      <c r="F31" s="1">
        <f>CEILING(Beastgirl!$B20 / IF(Beastgirl!$D20&lt; 10.8, $F$5, $F$5 / (Beastgirl!$D20 / 10.8)),1)</f>
        <v>45</v>
      </c>
      <c r="G31" s="1">
        <f>CEILING(Warrior!$B20 / IF(Warrior!$D20&lt; 10.8, $F$5, $F$5 / (Warrior!$D20 / 10.8)),1)</f>
        <v>31</v>
      </c>
      <c r="I31" s="4"/>
      <c r="J31" s="4"/>
      <c r="K31" s="4"/>
      <c r="L31" s="4"/>
      <c r="M31" s="4"/>
      <c r="N31" s="1">
        <v>18</v>
      </c>
      <c r="O31" s="1">
        <f>CEILING(Demon!$B20 / IF(Demon!$D20&lt; 10.8, $Q$5, $Q$5 / (Demon!$D20/ 10.8)),1)</f>
        <v>16</v>
      </c>
      <c r="P31" s="1">
        <f>CEILING(Elf!$B20/ IF(Elf!$D20 &lt; 10.8, $Q$5, $Q$5 / (Elf!$D20 / 10.8)),1)</f>
        <v>17</v>
      </c>
      <c r="Q31" s="1">
        <f>CEILING(Beastgirl!$B20 / IF(Beastgirl!$D20&lt; 10.8, $Q$5, $Q$5 / (Beastgirl!$D20 / 10.8)),1)</f>
        <v>30</v>
      </c>
      <c r="R31" s="1">
        <f>CEILING(Warrior!$B20 / IF(Warrior!$D20&lt; 10.8, $Q$5, $Q$5 / (Warrior!$D20 / 10.8)),1)</f>
        <v>21</v>
      </c>
      <c r="S31" s="4"/>
      <c r="T31" s="4"/>
      <c r="U31" s="4"/>
      <c r="W31" s="4"/>
      <c r="X31" s="4"/>
      <c r="Y31" s="1">
        <v>18</v>
      </c>
      <c r="Z31" s="1">
        <f>CEILING(Demon!$B20 / IF(Demon!$D20&lt; 10.8, $AB$5, $AB$5 / (Demon!$D20 / 10.8)),1)</f>
        <v>12</v>
      </c>
      <c r="AA31" s="1">
        <f>CEILING(Elf!$B20 / IF(Elf!$D20 &lt; 10.8, $AB$5, $AB$5 / (Elf!$D20 / 10.8)),1)</f>
        <v>13</v>
      </c>
      <c r="AB31" s="1">
        <f>CEILING(Beastgirl!$B20 / IF(Beastgirl!$D20&lt; 10.8, $AB$5, $AB$5 / (Beastgirl!$D20 / 10.8)),1)</f>
        <v>23</v>
      </c>
      <c r="AC31" s="1">
        <f>CEILING(Warrior!$B20 / IF(Warrior!$D20&lt; 10.8, $AB$5, $AB$5 / (Warrior!$D20 / 10.8)),1)</f>
        <v>16</v>
      </c>
      <c r="AD31" s="4"/>
      <c r="AE31" s="4"/>
      <c r="AF31" s="4"/>
      <c r="AG31" s="4"/>
    </row>
    <row r="32" spans="3:33" s="1" customFormat="1" x14ac:dyDescent="0.3">
      <c r="C32" s="1">
        <v>19</v>
      </c>
      <c r="D32" s="1">
        <f>CEILING(Demon!$B21/ IF(Demon!$D21&lt; 10.8, $F$5, $F$5 / (Demon!$D21 / 10.8)),1)</f>
        <v>26</v>
      </c>
      <c r="E32" s="1">
        <f>CEILING(Elf!$B21 / IF(Elf!$D21 &lt; 10.8, $F$5,$F$5 / (Elf!$D21 / 10.8)),1)</f>
        <v>28</v>
      </c>
      <c r="F32" s="1">
        <f>CEILING(Beastgirl!$B21 / IF(Beastgirl!$D21&lt; 10.8, $F$5, $F$5 / (Beastgirl!$D21 / 10.8)),1)</f>
        <v>49</v>
      </c>
      <c r="G32" s="1">
        <f>CEILING(Warrior!$B21 / IF(Warrior!$D21&lt; 10.8, $F$5, $F$5 / (Warrior!$D21 / 10.8)),1)</f>
        <v>34</v>
      </c>
      <c r="I32" s="4"/>
      <c r="J32" s="4"/>
      <c r="K32" s="4"/>
      <c r="L32" s="4"/>
      <c r="M32" s="4"/>
      <c r="N32" s="1">
        <v>19</v>
      </c>
      <c r="O32" s="1">
        <f>CEILING(Demon!$B21 / IF(Demon!$D21&lt; 10.8, $Q$5, $Q$5 / (Demon!$D21/ 10.8)),1)</f>
        <v>17</v>
      </c>
      <c r="P32" s="1">
        <f>CEILING(Elf!$B21/ IF(Elf!$D21 &lt; 10.8, $Q$5, $Q$5 / (Elf!$D21 / 10.8)),1)</f>
        <v>19</v>
      </c>
      <c r="Q32" s="1">
        <f>CEILING(Beastgirl!$B21 / IF(Beastgirl!$D21&lt; 10.8, $Q$5, $Q$5 / (Beastgirl!$D21 / 10.8)),1)</f>
        <v>33</v>
      </c>
      <c r="R32" s="1">
        <f>CEILING(Warrior!$B21 / IF(Warrior!$D21&lt; 10.8, $Q$5, $Q$5 / (Warrior!$D21 / 10.8)),1)</f>
        <v>23</v>
      </c>
      <c r="S32" s="4"/>
      <c r="T32" s="4"/>
      <c r="U32" s="4"/>
      <c r="W32" s="4"/>
      <c r="X32" s="4"/>
      <c r="Y32" s="1">
        <v>19</v>
      </c>
      <c r="Z32" s="1">
        <f>CEILING(Demon!$B21 / IF(Demon!$D21&lt; 10.8, $AB$5, $AB$5 / (Demon!$D21 / 10.8)),1)</f>
        <v>13</v>
      </c>
      <c r="AA32" s="1">
        <f>CEILING(Elf!$B21 / IF(Elf!$D21 &lt; 10.8, $AB$5, $AB$5 / (Elf!$D21 / 10.8)),1)</f>
        <v>14</v>
      </c>
      <c r="AB32" s="1">
        <f>CEILING(Beastgirl!$B21 / IF(Beastgirl!$D21&lt; 10.8, $AB$5, $AB$5 / (Beastgirl!$D21 / 10.8)),1)</f>
        <v>25</v>
      </c>
      <c r="AC32" s="1">
        <f>CEILING(Warrior!$B21 / IF(Warrior!$D21&lt; 10.8, $AB$5, $AB$5 / (Warrior!$D21 / 10.8)),1)</f>
        <v>17</v>
      </c>
      <c r="AD32" s="4"/>
      <c r="AE32" s="4"/>
      <c r="AF32" s="4"/>
      <c r="AG32" s="4"/>
    </row>
    <row r="33" spans="1:33" s="1" customFormat="1" x14ac:dyDescent="0.3">
      <c r="C33" s="1">
        <v>20</v>
      </c>
      <c r="D33" s="1">
        <f>CEILING(Demon!$B22/ IF(Demon!$D22&lt; 10.8, $F$5, $F$5 / (Demon!$D22 / 10.8)),1)</f>
        <v>28</v>
      </c>
      <c r="E33" s="1">
        <f>CEILING(Elf!$B22 / IF(Elf!$D22 &lt; 10.8, $F$5,$F$5 / (Elf!$D22 / 10.8)),1)</f>
        <v>30</v>
      </c>
      <c r="F33" s="1">
        <f>CEILING(Beastgirl!$B22 / IF(Beastgirl!$D22&lt; 10.8, $F$5, $F$5 / (Beastgirl!$D22 / 10.8)),1)</f>
        <v>53</v>
      </c>
      <c r="G33" s="1">
        <f>CEILING(Warrior!$B22 / IF(Warrior!$D22&lt; 10.8, $F$5, $F$5 / (Warrior!$D22 / 10.8)),1)</f>
        <v>37</v>
      </c>
      <c r="I33" s="4"/>
      <c r="J33" s="4"/>
      <c r="K33" s="4"/>
      <c r="L33" s="4"/>
      <c r="M33" s="4"/>
      <c r="N33" s="1">
        <v>20</v>
      </c>
      <c r="O33" s="1">
        <f>CEILING(Demon!$B22 / IF(Demon!$D22&lt; 10.8, $Q$5, $Q$5 / (Demon!$D22/ 10.8)),1)</f>
        <v>19</v>
      </c>
      <c r="P33" s="1">
        <f>CEILING(Elf!$B22/ IF(Elf!$D22 &lt; 10.8, $Q$5, $Q$5 / (Elf!$D22 / 10.8)),1)</f>
        <v>20</v>
      </c>
      <c r="Q33" s="1">
        <f>CEILING(Beastgirl!$B22 / IF(Beastgirl!$D22&lt; 10.8, $Q$5, $Q$5 / (Beastgirl!$D22 / 10.8)),1)</f>
        <v>36</v>
      </c>
      <c r="R33" s="1">
        <f>CEILING(Warrior!$B22 / IF(Warrior!$D22&lt; 10.8, $Q$5, $Q$5 / (Warrior!$D22 / 10.8)),1)</f>
        <v>25</v>
      </c>
      <c r="S33" s="4"/>
      <c r="T33" s="4"/>
      <c r="U33" s="4"/>
      <c r="W33" s="4"/>
      <c r="X33" s="4"/>
      <c r="Y33" s="1">
        <v>20</v>
      </c>
      <c r="Z33" s="1">
        <f>CEILING(Demon!$B22 / IF(Demon!$D22&lt; 10.8, $AB$5, $AB$5 / (Demon!$D22 / 10.8)),1)</f>
        <v>14</v>
      </c>
      <c r="AA33" s="1">
        <f>CEILING(Elf!$B22 / IF(Elf!$D22 &lt; 10.8, $AB$5, $AB$5 / (Elf!$D22 / 10.8)),1)</f>
        <v>15</v>
      </c>
      <c r="AB33" s="1">
        <f>CEILING(Beastgirl!$B22 / IF(Beastgirl!$D22&lt; 10.8, $AB$5, $AB$5 / (Beastgirl!$D22 / 10.8)),1)</f>
        <v>27</v>
      </c>
      <c r="AC33" s="1">
        <f>CEILING(Warrior!$B22 / IF(Warrior!$D22&lt; 10.8, $AB$5, $AB$5 / (Warrior!$D22 / 10.8)),1)</f>
        <v>19</v>
      </c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ht="25.8" x14ac:dyDescent="0.3">
      <c r="C35" s="53" t="s">
        <v>46</v>
      </c>
      <c r="D35" s="53"/>
      <c r="E35" s="53"/>
      <c r="F35" s="53"/>
      <c r="G35" s="53"/>
      <c r="I35" s="4"/>
      <c r="J35" s="4"/>
      <c r="K35" s="4"/>
      <c r="L35" s="4"/>
      <c r="M35" s="4"/>
      <c r="N35" s="53" t="s">
        <v>46</v>
      </c>
      <c r="O35" s="53"/>
      <c r="P35" s="53"/>
      <c r="Q35" s="53"/>
      <c r="R35" s="53"/>
      <c r="S35" s="4"/>
      <c r="T35" s="4"/>
      <c r="U35" s="4"/>
      <c r="W35" s="4"/>
      <c r="X35" s="4"/>
      <c r="Y35" s="53" t="s">
        <v>46</v>
      </c>
      <c r="Z35" s="53"/>
      <c r="AA35" s="53"/>
      <c r="AB35" s="53"/>
      <c r="AC35" s="53"/>
      <c r="AD35" s="4"/>
      <c r="AE35" s="4"/>
      <c r="AF35" s="4"/>
      <c r="AG35" s="4"/>
    </row>
    <row r="36" spans="1:33" s="1" customFormat="1" ht="21" x14ac:dyDescent="0.3">
      <c r="C36" s="6" t="s">
        <v>11</v>
      </c>
      <c r="D36" s="6" t="s">
        <v>12</v>
      </c>
      <c r="E36" s="6" t="s">
        <v>13</v>
      </c>
      <c r="F36" s="6" t="s">
        <v>14</v>
      </c>
      <c r="G36" s="6" t="s">
        <v>15</v>
      </c>
      <c r="I36" s="4"/>
      <c r="J36" s="4"/>
      <c r="K36" s="4"/>
      <c r="L36" s="4"/>
      <c r="M36" s="4"/>
      <c r="N36" s="6" t="s">
        <v>11</v>
      </c>
      <c r="O36" s="6" t="s">
        <v>12</v>
      </c>
      <c r="P36" s="6" t="s">
        <v>13</v>
      </c>
      <c r="Q36" s="6" t="s">
        <v>14</v>
      </c>
      <c r="R36" s="6" t="s">
        <v>15</v>
      </c>
      <c r="S36" s="4"/>
      <c r="T36" s="4"/>
      <c r="U36" s="4"/>
      <c r="W36" s="4"/>
      <c r="X36" s="4"/>
      <c r="Y36" s="6" t="s">
        <v>11</v>
      </c>
      <c r="Z36" s="6" t="s">
        <v>12</v>
      </c>
      <c r="AA36" s="6" t="s">
        <v>13</v>
      </c>
      <c r="AB36" s="6" t="s">
        <v>14</v>
      </c>
      <c r="AC36" s="6" t="s">
        <v>15</v>
      </c>
      <c r="AD36" s="4"/>
      <c r="AE36" s="4"/>
      <c r="AF36" s="4"/>
      <c r="AG36" s="4"/>
    </row>
    <row r="37" spans="1:33" s="1" customFormat="1" x14ac:dyDescent="0.3">
      <c r="C37" s="1">
        <v>11</v>
      </c>
      <c r="D37" s="1">
        <f>CEILING(Demon!$B13/ IF(Demon!$D13&lt; 10.8, $F$6, $F$6 / (Demon!$D13 / 10.8)),1)</f>
        <v>7</v>
      </c>
      <c r="E37" s="1">
        <f>CEILING(Elf!$B13 / IF(Elf!$D13&lt; 10.8, $F$6,$F$6 / (Elf!$D13 / 10.8)),1)</f>
        <v>7</v>
      </c>
      <c r="F37" s="1">
        <f>CEILING(Beastgirl!$B13 / IF(Beastgirl!$D13&lt; 10.8, $F$6, $F$6 / (Beastgirl!$D13 / 10.8)),1)</f>
        <v>14</v>
      </c>
      <c r="G37" s="1">
        <f>CEILING(Warrior!$B13/ IF(Warrior!$D13&lt; 10.8, $F$6, $F$6 / (Warrior!$D13 / 10.8)),1)</f>
        <v>9</v>
      </c>
      <c r="I37" s="4"/>
      <c r="J37" s="4"/>
      <c r="K37" s="4"/>
      <c r="L37" s="4"/>
      <c r="M37" s="4"/>
      <c r="N37" s="1">
        <v>11</v>
      </c>
      <c r="O37" s="1">
        <f>CEILING(Demon!$B13 / IF(Demon!$D13&lt; 10.8, $Q$6, $Q$6 / (Demon!$D13/ 10.8)),1)</f>
        <v>5</v>
      </c>
      <c r="P37" s="1">
        <f>CEILING(Elf!$B13/ IF(Elf!$D13 &lt; 10.8, $Q$6, $Q$6 / (Elf!$D13 / 10.8)),1)</f>
        <v>5</v>
      </c>
      <c r="Q37" s="1">
        <f>CEILING(Beastgirl!$B13/ IF(Beastgirl!$D13&lt; 10.8, $Q$6, $Q$6 / (Beastgirl!$D13 / 10.8)),1)</f>
        <v>9</v>
      </c>
      <c r="R37" s="1">
        <f>CEILING(Warrior!$B13 / IF(Warrior!$D13&lt; 10.8, $Q$6, $Q$6 / (Warrior!$D13 / 10.8)),1)</f>
        <v>6</v>
      </c>
      <c r="S37" s="4"/>
      <c r="T37" s="4"/>
      <c r="U37" s="4"/>
      <c r="W37" s="4"/>
      <c r="X37" s="4"/>
      <c r="Y37" s="1">
        <v>11</v>
      </c>
      <c r="Z37" s="1">
        <f>CEILING(Demon!$B13 / IF(Demon!$D13&lt; 10.8, $AB$6, $AB$6 / (Demon!$D13 / 10.8)),1)</f>
        <v>4</v>
      </c>
      <c r="AA37" s="1">
        <f>CEILING(Elf!$B13 / IF(Elf!$D13 &lt; 10.8, $AB$6, $AB$6 / (Elf!$D13 / 10.8)),1)</f>
        <v>4</v>
      </c>
      <c r="AB37" s="1">
        <f>CEILING(Beastgirl!$B13/ IF(Beastgirl!$D13&lt; 10.8, $AB$6, $AB$6 / (Beastgirl!$D13 / 10.8)),1)</f>
        <v>7</v>
      </c>
      <c r="AC37" s="1">
        <f>CEILING(Warrior!$B13 / IF(Warrior!$D13&lt; 10.8, $AB$6, $AB$6 / (Warrior!$D13 / 10.8)),1)</f>
        <v>5</v>
      </c>
      <c r="AD37" s="4"/>
      <c r="AE37" s="4"/>
      <c r="AF37" s="4"/>
      <c r="AG37" s="4"/>
    </row>
    <row r="38" spans="1:33" s="1" customFormat="1" x14ac:dyDescent="0.3">
      <c r="C38" s="1">
        <v>12</v>
      </c>
      <c r="D38" s="1">
        <f>CEILING(Demon!$B14/ IF(Demon!$D14&lt; 10.8, $F$6, $F$6 / (Demon!$D14 / 10.8)),1)</f>
        <v>8</v>
      </c>
      <c r="E38" s="1">
        <f>CEILING(Elf!$B14 / IF(Elf!$D14&lt; 10.8, $F$6,$F$6 / (Elf!$D14 / 10.8)),1)</f>
        <v>8</v>
      </c>
      <c r="F38" s="1">
        <f>CEILING(Beastgirl!$B14 / IF(Beastgirl!$D14&lt; 10.8, $F$6, $F$6 / (Beastgirl!$D14 / 10.8)),1)</f>
        <v>16</v>
      </c>
      <c r="G38" s="1">
        <f>CEILING(Warrior!$B14/ IF(Warrior!$D14&lt; 10.8, $F$6, $F$6 / (Warrior!$D14 / 10.8)),1)</f>
        <v>11</v>
      </c>
      <c r="I38" s="4"/>
      <c r="J38" s="4"/>
      <c r="K38" s="4"/>
      <c r="L38" s="4"/>
      <c r="M38" s="4"/>
      <c r="N38" s="1">
        <v>12</v>
      </c>
      <c r="O38" s="1">
        <f>CEILING(Demon!$B14 / IF(Demon!$D14&lt; 10.8, $Q$6, $Q$6 / (Demon!$D14/ 10.8)),1)</f>
        <v>6</v>
      </c>
      <c r="P38" s="1">
        <f>CEILING(Elf!$B14/ IF(Elf!$D14 &lt; 10.8, $Q$6, $Q$6 / (Elf!$D14 / 10.8)),1)</f>
        <v>6</v>
      </c>
      <c r="Q38" s="1">
        <f>CEILING(Beastgirl!$B14/ IF(Beastgirl!$D14&lt; 10.8, $Q$6, $Q$6 / (Beastgirl!$D14 / 10.8)),1)</f>
        <v>11</v>
      </c>
      <c r="R38" s="1">
        <f>CEILING(Warrior!$B14 / IF(Warrior!$D14&lt; 10.8, $Q$6, $Q$6 / (Warrior!$D14 / 10.8)),1)</f>
        <v>7</v>
      </c>
      <c r="S38" s="4"/>
      <c r="T38" s="4"/>
      <c r="U38" s="4"/>
      <c r="W38" s="4"/>
      <c r="X38" s="4"/>
      <c r="Y38" s="1">
        <v>12</v>
      </c>
      <c r="Z38" s="1">
        <f>CEILING(Demon!$B14 / IF(Demon!$D14&lt; 10.8, $AB$6, $AB$6 / (Demon!$D14 / 10.8)),1)</f>
        <v>4</v>
      </c>
      <c r="AA38" s="1">
        <f>CEILING(Elf!$B14 / IF(Elf!$D14 &lt; 10.8, $AB$6, $AB$6 / (Elf!$D14 / 10.8)),1)</f>
        <v>4</v>
      </c>
      <c r="AB38" s="1">
        <f>CEILING(Beastgirl!$B14/ IF(Beastgirl!$D14&lt; 10.8, $AB$6, $AB$6 / (Beastgirl!$D14 / 10.8)),1)</f>
        <v>8</v>
      </c>
      <c r="AC38" s="1">
        <f>CEILING(Warrior!$B14 / IF(Warrior!$D14&lt; 10.8, $AB$6, $AB$6 / (Warrior!$D14 / 10.8)),1)</f>
        <v>6</v>
      </c>
      <c r="AD38" s="4"/>
      <c r="AE38" s="4"/>
      <c r="AF38" s="4"/>
      <c r="AG38" s="4"/>
    </row>
    <row r="39" spans="1:33" s="1" customFormat="1" x14ac:dyDescent="0.3">
      <c r="C39" s="1">
        <v>13</v>
      </c>
      <c r="D39" s="1">
        <f>CEILING(Demon!$B15/ IF(Demon!$D15&lt; 10.8, $F$6, $F$6 / (Demon!$D15 / 10.8)),1)</f>
        <v>9</v>
      </c>
      <c r="E39" s="1">
        <f>CEILING(Elf!$B15 / IF(Elf!$D15&lt; 10.8, $F$6,$F$6 / (Elf!$D15 / 10.8)),1)</f>
        <v>9</v>
      </c>
      <c r="F39" s="1">
        <f>CEILING(Beastgirl!$B15 / IF(Beastgirl!$D15&lt; 10.8, $F$6, $F$6 / (Beastgirl!$D15 / 10.8)),1)</f>
        <v>18</v>
      </c>
      <c r="G39" s="1">
        <f>CEILING(Warrior!$B15/ IF(Warrior!$D15&lt; 10.8, $F$6, $F$6 / (Warrior!$D15 / 10.8)),1)</f>
        <v>12</v>
      </c>
      <c r="I39" s="4"/>
      <c r="J39" s="4"/>
      <c r="K39" s="4"/>
      <c r="L39" s="4"/>
      <c r="M39" s="4"/>
      <c r="N39" s="1">
        <v>13</v>
      </c>
      <c r="O39" s="1">
        <f>CEILING(Demon!$B15 / IF(Demon!$D15&lt; 10.8, $Q$6, $Q$6 / (Demon!$D15/ 10.8)),1)</f>
        <v>6</v>
      </c>
      <c r="P39" s="1">
        <f>CEILING(Elf!$B15/ IF(Elf!$D15 &lt; 10.8, $Q$6, $Q$6 / (Elf!$D15 / 10.8)),1)</f>
        <v>6</v>
      </c>
      <c r="Q39" s="1">
        <f>CEILING(Beastgirl!$B15/ IF(Beastgirl!$D15&lt; 10.8, $Q$6, $Q$6 / (Beastgirl!$D15 / 10.8)),1)</f>
        <v>12</v>
      </c>
      <c r="R39" s="1">
        <f>CEILING(Warrior!$B15 / IF(Warrior!$D15&lt; 10.8, $Q$6, $Q$6 / (Warrior!$D15 / 10.8)),1)</f>
        <v>8</v>
      </c>
      <c r="S39" s="4"/>
      <c r="T39" s="4"/>
      <c r="U39" s="4"/>
      <c r="W39" s="4"/>
      <c r="X39" s="4"/>
      <c r="Y39" s="1">
        <v>13</v>
      </c>
      <c r="Z39" s="1">
        <f>CEILING(Demon!$B15 / IF(Demon!$D15&lt; 10.8, $AB$6, $AB$6 / (Demon!$D15 / 10.8)),1)</f>
        <v>5</v>
      </c>
      <c r="AA39" s="1">
        <f>CEILING(Elf!$B15 / IF(Elf!$D15 &lt; 10.8, $AB$6, $AB$6 / (Elf!$D15 / 10.8)),1)</f>
        <v>5</v>
      </c>
      <c r="AB39" s="1">
        <f>CEILING(Beastgirl!$B15/ IF(Beastgirl!$D15&lt; 10.8, $AB$6, $AB$6 / (Beastgirl!$D15 / 10.8)),1)</f>
        <v>9</v>
      </c>
      <c r="AC39" s="1">
        <f>CEILING(Warrior!$B15 / IF(Warrior!$D15&lt; 10.8, $AB$6, $AB$6 / (Warrior!$D15 / 10.8)),1)</f>
        <v>6</v>
      </c>
      <c r="AD39" s="4"/>
      <c r="AE39" s="4"/>
      <c r="AF39" s="4"/>
      <c r="AG39" s="4"/>
    </row>
    <row r="40" spans="1:33" s="1" customFormat="1" x14ac:dyDescent="0.3">
      <c r="C40" s="1">
        <v>14</v>
      </c>
      <c r="D40" s="1">
        <f>CEILING(Demon!$B16/ IF(Demon!$D16&lt; 10.8, $F$6, $F$6 / (Demon!$D16 / 10.8)),1)</f>
        <v>10</v>
      </c>
      <c r="E40" s="1">
        <f>CEILING(Elf!$B16 / IF(Elf!$D16&lt; 10.8, $F$6,$F$6 / (Elf!$D16 / 10.8)),1)</f>
        <v>11</v>
      </c>
      <c r="F40" s="1">
        <f>CEILING(Beastgirl!$B16 / IF(Beastgirl!$D16&lt; 10.8, $F$6, $F$6 / (Beastgirl!$D16 / 10.8)),1)</f>
        <v>20</v>
      </c>
      <c r="G40" s="1">
        <f>CEILING(Warrior!$B16/ IF(Warrior!$D16&lt; 10.8, $F$6, $F$6 / (Warrior!$D16 / 10.8)),1)</f>
        <v>13</v>
      </c>
      <c r="I40" s="4"/>
      <c r="J40" s="4"/>
      <c r="K40" s="4"/>
      <c r="L40" s="4"/>
      <c r="M40" s="4"/>
      <c r="N40" s="1">
        <v>14</v>
      </c>
      <c r="O40" s="1">
        <f>CEILING(Demon!$B16 / IF(Demon!$D16&lt; 10.8, $Q$6, $Q$6 / (Demon!$D16/ 10.8)),1)</f>
        <v>7</v>
      </c>
      <c r="P40" s="1">
        <f>CEILING(Elf!$B16/ IF(Elf!$D16 &lt; 10.8, $Q$6, $Q$6 / (Elf!$D16 / 10.8)),1)</f>
        <v>7</v>
      </c>
      <c r="Q40" s="1">
        <f>CEILING(Beastgirl!$B16/ IF(Beastgirl!$D16&lt; 10.8, $Q$6, $Q$6 / (Beastgirl!$D16 / 10.8)),1)</f>
        <v>13</v>
      </c>
      <c r="R40" s="1">
        <f>CEILING(Warrior!$B16 / IF(Warrior!$D16&lt; 10.8, $Q$6, $Q$6 / (Warrior!$D16 / 10.8)),1)</f>
        <v>9</v>
      </c>
      <c r="S40" s="4"/>
      <c r="T40" s="4"/>
      <c r="U40" s="4"/>
      <c r="W40" s="4"/>
      <c r="X40" s="4"/>
      <c r="Y40" s="1">
        <v>14</v>
      </c>
      <c r="Z40" s="1">
        <f>CEILING(Demon!$B16 / IF(Demon!$D16&lt; 10.8, $AB$6, $AB$6 / (Demon!$D16 / 10.8)),1)</f>
        <v>5</v>
      </c>
      <c r="AA40" s="1">
        <f>CEILING(Elf!$B16 / IF(Elf!$D16 &lt; 10.8, $AB$6, $AB$6 / (Elf!$D16 / 10.8)),1)</f>
        <v>6</v>
      </c>
      <c r="AB40" s="1">
        <f>CEILING(Beastgirl!$B16/ IF(Beastgirl!$D16&lt; 10.8, $AB$6, $AB$6 / (Beastgirl!$D16 / 10.8)),1)</f>
        <v>10</v>
      </c>
      <c r="AC40" s="1">
        <f>CEILING(Warrior!$B16 / IF(Warrior!$D16&lt; 10.8, $AB$6, $AB$6 / (Warrior!$D16 / 10.8)),1)</f>
        <v>7</v>
      </c>
      <c r="AD40" s="4"/>
      <c r="AE40" s="4"/>
      <c r="AF40" s="4"/>
      <c r="AG40" s="4"/>
    </row>
    <row r="41" spans="1:33" s="1" customFormat="1" x14ac:dyDescent="0.3">
      <c r="C41" s="1">
        <v>15</v>
      </c>
      <c r="D41" s="1">
        <f>CEILING(Demon!$B17/ IF(Demon!$D17&lt; 10.8, $F$6, $F$6 / (Demon!$D17 / 10.8)),1)</f>
        <v>16</v>
      </c>
      <c r="E41" s="1">
        <f>CEILING(Elf!$B17 / IF(Elf!$D17&lt; 10.8, $F$6,$F$6 / (Elf!$D17 / 10.8)),1)</f>
        <v>18</v>
      </c>
      <c r="F41" s="1">
        <f>CEILING(Beastgirl!$B17 / IF(Beastgirl!$D17&lt; 10.8, $F$6, $F$6 / (Beastgirl!$D17 / 10.8)),1)</f>
        <v>32</v>
      </c>
      <c r="G41" s="1">
        <f>CEILING(Warrior!$B17/ IF(Warrior!$D17&lt; 10.8, $F$6, $F$6 / (Warrior!$D17 / 10.8)),1)</f>
        <v>22</v>
      </c>
      <c r="I41" s="4"/>
      <c r="J41" s="4"/>
      <c r="K41" s="4"/>
      <c r="L41" s="4"/>
      <c r="M41" s="4"/>
      <c r="N41" s="1">
        <v>15</v>
      </c>
      <c r="O41" s="1">
        <f>CEILING(Demon!$B17 / IF(Demon!$D17&lt; 10.8, $Q$6, $Q$6 / (Demon!$D17/ 10.8)),1)</f>
        <v>11</v>
      </c>
      <c r="P41" s="1">
        <f>CEILING(Elf!$B17/ IF(Elf!$D17 &lt; 10.8, $Q$6, $Q$6 / (Elf!$D17 / 10.8)),1)</f>
        <v>12</v>
      </c>
      <c r="Q41" s="1">
        <f>CEILING(Beastgirl!$B17/ IF(Beastgirl!$D17&lt; 10.8, $Q$6, $Q$6 / (Beastgirl!$D17 / 10.8)),1)</f>
        <v>22</v>
      </c>
      <c r="R41" s="1">
        <f>CEILING(Warrior!$B17 / IF(Warrior!$D17&lt; 10.8, $Q$6, $Q$6 / (Warrior!$D17 / 10.8)),1)</f>
        <v>15</v>
      </c>
      <c r="S41" s="4"/>
      <c r="T41" s="4"/>
      <c r="U41" s="4"/>
      <c r="W41" s="4"/>
      <c r="X41" s="4"/>
      <c r="Y41" s="1">
        <v>15</v>
      </c>
      <c r="Z41" s="1">
        <f>CEILING(Demon!$B17 / IF(Demon!$D17&lt; 10.8, $AB$6, $AB$6 / (Demon!$D17 / 10.8)),1)</f>
        <v>8</v>
      </c>
      <c r="AA41" s="1">
        <f>CEILING(Elf!$B17 / IF(Elf!$D17 &lt; 10.8, $AB$6, $AB$6 / (Elf!$D17 / 10.8)),1)</f>
        <v>9</v>
      </c>
      <c r="AB41" s="1">
        <f>CEILING(Beastgirl!$B17/ IF(Beastgirl!$D17&lt; 10.8, $AB$6, $AB$6 / (Beastgirl!$D17 / 10.8)),1)</f>
        <v>16</v>
      </c>
      <c r="AC41" s="1">
        <f>CEILING(Warrior!$B17 / IF(Warrior!$D17&lt; 10.8, $AB$6, $AB$6 / (Warrior!$D17 / 10.8)),1)</f>
        <v>11</v>
      </c>
      <c r="AD41" s="4"/>
      <c r="AE41" s="4"/>
      <c r="AF41" s="4"/>
      <c r="AG41" s="4"/>
    </row>
    <row r="42" spans="1:33" s="1" customFormat="1" x14ac:dyDescent="0.3">
      <c r="C42" s="1">
        <v>16</v>
      </c>
      <c r="D42" s="1">
        <f>CEILING(Demon!$B18/ IF(Demon!$D18&lt; 10.8, $F$6, $F$6 / (Demon!$D18 / 10.8)),1)</f>
        <v>18</v>
      </c>
      <c r="E42" s="1">
        <f>CEILING(Elf!$B18 / IF(Elf!$D18&lt; 10.8, $F$6,$F$6 / (Elf!$D18 / 10.8)),1)</f>
        <v>19</v>
      </c>
      <c r="F42" s="1">
        <f>CEILING(Beastgirl!$B18 / IF(Beastgirl!$D18&lt; 10.8, $F$6, $F$6 / (Beastgirl!$D18 / 10.8)),1)</f>
        <v>35</v>
      </c>
      <c r="G42" s="1">
        <f>CEILING(Warrior!$B18/ IF(Warrior!$D18&lt; 10.8, $F$6, $F$6 / (Warrior!$D18 / 10.8)),1)</f>
        <v>24</v>
      </c>
      <c r="I42" s="4"/>
      <c r="J42" s="4"/>
      <c r="K42" s="4"/>
      <c r="L42" s="4"/>
      <c r="M42" s="4"/>
      <c r="N42" s="1">
        <v>16</v>
      </c>
      <c r="O42" s="1">
        <f>CEILING(Demon!$B18 / IF(Demon!$D18&lt; 10.8, $Q$6, $Q$6 / (Demon!$D18/ 10.8)),1)</f>
        <v>12</v>
      </c>
      <c r="P42" s="1">
        <f>CEILING(Elf!$B18/ IF(Elf!$D18 &lt; 10.8, $Q$6, $Q$6 / (Elf!$D18 / 10.8)),1)</f>
        <v>13</v>
      </c>
      <c r="Q42" s="1">
        <f>CEILING(Beastgirl!$B18/ IF(Beastgirl!$D18&lt; 10.8, $Q$6, $Q$6 / (Beastgirl!$D18 / 10.8)),1)</f>
        <v>24</v>
      </c>
      <c r="R42" s="1">
        <f>CEILING(Warrior!$B18 / IF(Warrior!$D18&lt; 10.8, $Q$6, $Q$6 / (Warrior!$D18 / 10.8)),1)</f>
        <v>16</v>
      </c>
      <c r="S42" s="4"/>
      <c r="T42" s="4"/>
      <c r="U42" s="4"/>
      <c r="W42" s="4"/>
      <c r="X42" s="4"/>
      <c r="Y42" s="1">
        <v>16</v>
      </c>
      <c r="Z42" s="1">
        <f>CEILING(Demon!$B18 / IF(Demon!$D18&lt; 10.8, $AB$6, $AB$6 / (Demon!$D18 / 10.8)),1)</f>
        <v>9</v>
      </c>
      <c r="AA42" s="1">
        <f>CEILING(Elf!$B18 / IF(Elf!$D18 &lt; 10.8, $AB$6, $AB$6 / (Elf!$D18 / 10.8)),1)</f>
        <v>10</v>
      </c>
      <c r="AB42" s="1">
        <f>CEILING(Beastgirl!$B18/ IF(Beastgirl!$D18&lt; 10.8, $AB$6, $AB$6 / (Beastgirl!$D18 / 10.8)),1)</f>
        <v>18</v>
      </c>
      <c r="AC42" s="1">
        <f>CEILING(Warrior!$B18 / IF(Warrior!$D18&lt; 10.8, $AB$6, $AB$6 / (Warrior!$D18 / 10.8)),1)</f>
        <v>12</v>
      </c>
      <c r="AD42" s="4"/>
      <c r="AE42" s="4"/>
      <c r="AF42" s="4"/>
      <c r="AG42" s="4"/>
    </row>
    <row r="43" spans="1:33" s="1" customFormat="1" x14ac:dyDescent="0.3">
      <c r="C43" s="1">
        <v>17</v>
      </c>
      <c r="D43" s="1">
        <f>CEILING(Demon!$B19/ IF(Demon!$D19&lt; 10.8, $F$6, $F$6 / (Demon!$D19 / 10.8)),1)</f>
        <v>20</v>
      </c>
      <c r="E43" s="1">
        <f>CEILING(Elf!$B19 / IF(Elf!$D19&lt; 10.8, $F$6,$F$6 / (Elf!$D19 / 10.8)),1)</f>
        <v>21</v>
      </c>
      <c r="F43" s="1">
        <f>CEILING(Beastgirl!$B19 / IF(Beastgirl!$D19&lt; 10.8, $F$6, $F$6 / (Beastgirl!$D19 / 10.8)),1)</f>
        <v>39</v>
      </c>
      <c r="G43" s="1">
        <f>CEILING(Warrior!$B19/ IF(Warrior!$D19&lt; 10.8, $F$6, $F$6 / (Warrior!$D19 / 10.8)),1)</f>
        <v>27</v>
      </c>
      <c r="I43" s="4"/>
      <c r="J43" s="4"/>
      <c r="K43" s="4"/>
      <c r="L43" s="4"/>
      <c r="M43" s="4"/>
      <c r="N43" s="1">
        <v>17</v>
      </c>
      <c r="O43" s="1">
        <f>CEILING(Demon!$B19 / IF(Demon!$D19&lt; 10.8, $Q$6, $Q$6 / (Demon!$D19/ 10.8)),1)</f>
        <v>13</v>
      </c>
      <c r="P43" s="1">
        <f>CEILING(Elf!$B19/ IF(Elf!$D19 &lt; 10.8, $Q$6, $Q$6 / (Elf!$D19 / 10.8)),1)</f>
        <v>14</v>
      </c>
      <c r="Q43" s="1">
        <f>CEILING(Beastgirl!$B19/ IF(Beastgirl!$D19&lt; 10.8, $Q$6, $Q$6 / (Beastgirl!$D19 / 10.8)),1)</f>
        <v>26</v>
      </c>
      <c r="R43" s="1">
        <f>CEILING(Warrior!$B19 / IF(Warrior!$D19&lt; 10.8, $Q$6, $Q$6 / (Warrior!$D19 / 10.8)),1)</f>
        <v>18</v>
      </c>
      <c r="S43" s="4"/>
      <c r="T43" s="4"/>
      <c r="U43" s="4"/>
      <c r="W43" s="4"/>
      <c r="X43" s="4"/>
      <c r="Y43" s="1">
        <v>17</v>
      </c>
      <c r="Z43" s="1">
        <f>CEILING(Demon!$B19 / IF(Demon!$D19&lt; 10.8, $AB$6, $AB$6 / (Demon!$D19 / 10.8)),1)</f>
        <v>10</v>
      </c>
      <c r="AA43" s="1">
        <f>CEILING(Elf!$B19 / IF(Elf!$D19 &lt; 10.8, $AB$6, $AB$6 / (Elf!$D19 / 10.8)),1)</f>
        <v>11</v>
      </c>
      <c r="AB43" s="1">
        <f>CEILING(Beastgirl!$B19/ IF(Beastgirl!$D19&lt; 10.8, $AB$6, $AB$6 / (Beastgirl!$D19 / 10.8)),1)</f>
        <v>20</v>
      </c>
      <c r="AC43" s="1">
        <f>CEILING(Warrior!$B19 / IF(Warrior!$D19&lt; 10.8, $AB$6, $AB$6 / (Warrior!$D19 / 10.8)),1)</f>
        <v>14</v>
      </c>
      <c r="AD43" s="4"/>
      <c r="AE43" s="4"/>
      <c r="AF43" s="4"/>
      <c r="AG43" s="4"/>
    </row>
    <row r="44" spans="1:33" s="1" customFormat="1" x14ac:dyDescent="0.3">
      <c r="C44" s="1">
        <v>18</v>
      </c>
      <c r="D44" s="1">
        <f>CEILING(Demon!$B20/ IF(Demon!$D20&lt; 10.8, $F$6, $F$6 / (Demon!$D20 / 10.8)),1)</f>
        <v>22</v>
      </c>
      <c r="E44" s="1">
        <f>CEILING(Elf!$B20 / IF(Elf!$D20&lt; 10.8, $F$6,$F$6 / (Elf!$D20 / 10.8)),1)</f>
        <v>24</v>
      </c>
      <c r="F44" s="1">
        <f>CEILING(Beastgirl!$B20 / IF(Beastgirl!$D20&lt; 10.8, $F$6, $F$6 / (Beastgirl!$D20 / 10.8)),1)</f>
        <v>42</v>
      </c>
      <c r="G44" s="1">
        <f>CEILING(Warrior!$B20/ IF(Warrior!$D20&lt; 10.8, $F$6, $F$6 / (Warrior!$D20 / 10.8)),1)</f>
        <v>29</v>
      </c>
      <c r="I44" s="4"/>
      <c r="J44" s="4"/>
      <c r="K44" s="4"/>
      <c r="L44" s="4"/>
      <c r="M44" s="4"/>
      <c r="N44" s="1">
        <v>18</v>
      </c>
      <c r="O44" s="1">
        <f>CEILING(Demon!$B20 / IF(Demon!$D20&lt; 10.8, $Q$6, $Q$6 / (Demon!$D20/ 10.8)),1)</f>
        <v>15</v>
      </c>
      <c r="P44" s="1">
        <f>CEILING(Elf!$B20/ IF(Elf!$D20 &lt; 10.8, $Q$6, $Q$6 / (Elf!$D20 / 10.8)),1)</f>
        <v>16</v>
      </c>
      <c r="Q44" s="1">
        <f>CEILING(Beastgirl!$B20/ IF(Beastgirl!$D20&lt; 10.8, $Q$6, $Q$6 / (Beastgirl!$D20 / 10.8)),1)</f>
        <v>28</v>
      </c>
      <c r="R44" s="1">
        <f>CEILING(Warrior!$B20 / IF(Warrior!$D20&lt; 10.8, $Q$6, $Q$6 / (Warrior!$D20 / 10.8)),1)</f>
        <v>20</v>
      </c>
      <c r="S44" s="4"/>
      <c r="T44" s="4"/>
      <c r="U44" s="4"/>
      <c r="W44" s="4"/>
      <c r="X44" s="4"/>
      <c r="Y44" s="1">
        <v>18</v>
      </c>
      <c r="Z44" s="1">
        <f>CEILING(Demon!$B20 / IF(Demon!$D20&lt; 10.8, $AB$6, $AB$6 / (Demon!$D20 / 10.8)),1)</f>
        <v>11</v>
      </c>
      <c r="AA44" s="1">
        <f>CEILING(Elf!$B20 / IF(Elf!$D20 &lt; 10.8, $AB$6, $AB$6 / (Elf!$D20 / 10.8)),1)</f>
        <v>12</v>
      </c>
      <c r="AB44" s="1">
        <f>CEILING(Beastgirl!$B20/ IF(Beastgirl!$D20&lt; 10.8, $AB$6, $AB$6 / (Beastgirl!$D20 / 10.8)),1)</f>
        <v>21</v>
      </c>
      <c r="AC44" s="1">
        <f>CEILING(Warrior!$B20 / IF(Warrior!$D20&lt; 10.8, $AB$6, $AB$6 / (Warrior!$D20 / 10.8)),1)</f>
        <v>15</v>
      </c>
      <c r="AD44" s="4"/>
      <c r="AE44" s="4"/>
      <c r="AF44" s="4"/>
      <c r="AG44" s="4"/>
    </row>
    <row r="45" spans="1:33" s="1" customFormat="1" x14ac:dyDescent="0.3">
      <c r="C45" s="1">
        <v>19</v>
      </c>
      <c r="D45" s="1">
        <f>CEILING(Demon!$B21/ IF(Demon!$D21&lt; 10.8, $F$6, $F$6 / (Demon!$D21 / 10.8)),1)</f>
        <v>24</v>
      </c>
      <c r="E45" s="1">
        <f>CEILING(Elf!$B21 / IF(Elf!$D21&lt; 10.8, $F$6,$F$6 / (Elf!$D21 / 10.8)),1)</f>
        <v>26</v>
      </c>
      <c r="F45" s="1">
        <f>CEILING(Beastgirl!$B21 / IF(Beastgirl!$D21&lt; 10.8, $F$6, $F$6 / (Beastgirl!$D21 / 10.8)),1)</f>
        <v>46</v>
      </c>
      <c r="G45" s="1">
        <f>CEILING(Warrior!$B21/ IF(Warrior!$D21&lt; 10.8, $F$6, $F$6 / (Warrior!$D21 / 10.8)),1)</f>
        <v>32</v>
      </c>
      <c r="I45" s="4"/>
      <c r="J45" s="4"/>
      <c r="K45" s="4"/>
      <c r="L45" s="4"/>
      <c r="M45" s="4"/>
      <c r="N45" s="1">
        <v>19</v>
      </c>
      <c r="O45" s="1">
        <f>CEILING(Demon!$B21 / IF(Demon!$D21&lt; 10.8, $Q$6, $Q$6 / (Demon!$D21/ 10.8)),1)</f>
        <v>16</v>
      </c>
      <c r="P45" s="1">
        <f>CEILING(Elf!$B21/ IF(Elf!$D21 &lt; 10.8, $Q$6, $Q$6 / (Elf!$D21 / 10.8)),1)</f>
        <v>17</v>
      </c>
      <c r="Q45" s="1">
        <f>CEILING(Beastgirl!$B21/ IF(Beastgirl!$D21&lt; 10.8, $Q$6, $Q$6 / (Beastgirl!$D21 / 10.8)),1)</f>
        <v>31</v>
      </c>
      <c r="R45" s="1">
        <f>CEILING(Warrior!$B21 / IF(Warrior!$D21&lt; 10.8, $Q$6, $Q$6 / (Warrior!$D21 / 10.8)),1)</f>
        <v>22</v>
      </c>
      <c r="S45" s="4"/>
      <c r="T45" s="4"/>
      <c r="U45" s="4"/>
      <c r="W45" s="4"/>
      <c r="X45" s="4"/>
      <c r="Y45" s="1">
        <v>19</v>
      </c>
      <c r="Z45" s="1">
        <f>CEILING(Demon!$B21 / IF(Demon!$D21&lt; 10.8, $AB$6, $AB$6 / (Demon!$D21 / 10.8)),1)</f>
        <v>12</v>
      </c>
      <c r="AA45" s="1">
        <f>CEILING(Elf!$B21 / IF(Elf!$D21 &lt; 10.8, $AB$6, $AB$6 / (Elf!$D21 / 10.8)),1)</f>
        <v>13</v>
      </c>
      <c r="AB45" s="1">
        <f>CEILING(Beastgirl!$B21/ IF(Beastgirl!$D21&lt; 10.8, $AB$6, $AB$6 / (Beastgirl!$D21 / 10.8)),1)</f>
        <v>23</v>
      </c>
      <c r="AC45" s="1">
        <f>CEILING(Warrior!$B21 / IF(Warrior!$D21&lt; 10.8, $AB$6, $AB$6 / (Warrior!$D21 / 10.8)),1)</f>
        <v>16</v>
      </c>
      <c r="AD45" s="4"/>
      <c r="AE45" s="4"/>
      <c r="AF45" s="4"/>
      <c r="AG45" s="4"/>
    </row>
    <row r="46" spans="1:33" s="1" customFormat="1" x14ac:dyDescent="0.3">
      <c r="C46" s="1">
        <v>20</v>
      </c>
      <c r="D46" s="1">
        <f>CEILING(Demon!$B22/ IF(Demon!$D22&lt; 10.8, $F$6, $F$6 / (Demon!$D22 / 10.8)),1)</f>
        <v>26</v>
      </c>
      <c r="E46" s="1">
        <f>CEILING(Elf!$B22 / IF(Elf!$D22&lt; 10.8, $F$6,$F$6 / (Elf!$D22 / 10.8)),1)</f>
        <v>28</v>
      </c>
      <c r="F46" s="1">
        <f>CEILING(Beastgirl!$B22 / IF(Beastgirl!$D22&lt; 10.8, $F$6, $F$6 / (Beastgirl!$D22 / 10.8)),1)</f>
        <v>50</v>
      </c>
      <c r="G46" s="1">
        <f>CEILING(Warrior!$B22/ IF(Warrior!$D22&lt; 10.8, $F$6, $F$6 / (Warrior!$D22 / 10.8)),1)</f>
        <v>35</v>
      </c>
      <c r="I46" s="4"/>
      <c r="J46" s="4"/>
      <c r="K46" s="4"/>
      <c r="L46" s="4"/>
      <c r="M46" s="4"/>
      <c r="N46" s="1">
        <v>20</v>
      </c>
      <c r="O46" s="1">
        <f>CEILING(Demon!$B22 / IF(Demon!$D22&lt; 10.8, $Q$6, $Q$6 / (Demon!$D22/ 10.8)),1)</f>
        <v>18</v>
      </c>
      <c r="P46" s="1">
        <f>CEILING(Elf!$B22/ IF(Elf!$D22 &lt; 10.8, $Q$6, $Q$6 / (Elf!$D22 / 10.8)),1)</f>
        <v>19</v>
      </c>
      <c r="Q46" s="1">
        <f>CEILING(Beastgirl!$B22/ IF(Beastgirl!$D22&lt; 10.8, $Q$6, $Q$6 / (Beastgirl!$D22 / 10.8)),1)</f>
        <v>34</v>
      </c>
      <c r="R46" s="1">
        <f>CEILING(Warrior!$B22 / IF(Warrior!$D22&lt; 10.8, $Q$6, $Q$6 / (Warrior!$D22 / 10.8)),1)</f>
        <v>23</v>
      </c>
      <c r="S46" s="4"/>
      <c r="T46" s="4"/>
      <c r="U46" s="4"/>
      <c r="W46" s="4"/>
      <c r="X46" s="4"/>
      <c r="Y46" s="1">
        <v>20</v>
      </c>
      <c r="Z46" s="1">
        <f>CEILING(Demon!$B22 / IF(Demon!$D22&lt; 10.8, $AB$6, $AB$6 / (Demon!$D22 / 10.8)),1)</f>
        <v>13</v>
      </c>
      <c r="AA46" s="1">
        <f>CEILING(Elf!$B22 / IF(Elf!$D22 &lt; 10.8, $AB$6, $AB$6 / (Elf!$D22 / 10.8)),1)</f>
        <v>14</v>
      </c>
      <c r="AB46" s="1">
        <f>CEILING(Beastgirl!$B22/ IF(Beastgirl!$D22&lt; 10.8, $AB$6, $AB$6 / (Beastgirl!$D22 / 10.8)),1)</f>
        <v>25</v>
      </c>
      <c r="AC46" s="1">
        <f>CEILING(Warrior!$B22 / IF(Warrior!$D22&lt; 10.8, $AB$6, $AB$6 / (Warrior!$D22 / 10.8)),1)</f>
        <v>18</v>
      </c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ht="25.8" x14ac:dyDescent="0.3">
      <c r="A48" s="4"/>
      <c r="B48" s="4"/>
      <c r="C48" s="53" t="s">
        <v>48</v>
      </c>
      <c r="D48" s="53"/>
      <c r="E48" s="53"/>
      <c r="F48" s="53"/>
      <c r="G48" s="53"/>
      <c r="H48" s="4"/>
      <c r="I48" s="4"/>
      <c r="J48" s="4"/>
      <c r="K48" s="4"/>
      <c r="L48" s="4"/>
      <c r="N48" s="53" t="s">
        <v>48</v>
      </c>
      <c r="O48" s="53"/>
      <c r="P48" s="53"/>
      <c r="Q48" s="53"/>
      <c r="R48" s="53"/>
      <c r="T48" s="4"/>
      <c r="U48" s="4"/>
      <c r="V48" s="4"/>
      <c r="W48" s="4"/>
      <c r="X48" s="4"/>
      <c r="Y48" s="53" t="s">
        <v>48</v>
      </c>
      <c r="Z48" s="53"/>
      <c r="AA48" s="53"/>
      <c r="AB48" s="53"/>
      <c r="AC48" s="53"/>
      <c r="AD48" s="4"/>
      <c r="AE48" s="4"/>
    </row>
    <row r="49" spans="1:31" s="1" customFormat="1" ht="21" x14ac:dyDescent="0.3">
      <c r="A49" s="4"/>
      <c r="B49" s="4"/>
      <c r="C49" s="6" t="s">
        <v>11</v>
      </c>
      <c r="D49" s="6" t="s">
        <v>12</v>
      </c>
      <c r="E49" s="6" t="s">
        <v>13</v>
      </c>
      <c r="F49" s="6" t="s">
        <v>14</v>
      </c>
      <c r="G49" s="6" t="s">
        <v>15</v>
      </c>
      <c r="H49" s="4"/>
      <c r="I49" s="4"/>
      <c r="J49" s="4"/>
      <c r="K49" s="4"/>
      <c r="L49" s="4"/>
      <c r="N49" s="6" t="s">
        <v>11</v>
      </c>
      <c r="O49" s="6" t="s">
        <v>12</v>
      </c>
      <c r="P49" s="6" t="s">
        <v>13</v>
      </c>
      <c r="Q49" s="6" t="s">
        <v>14</v>
      </c>
      <c r="R49" s="6" t="s">
        <v>15</v>
      </c>
      <c r="T49" s="4"/>
      <c r="U49" s="4"/>
      <c r="V49" s="4"/>
      <c r="W49" s="4"/>
      <c r="X49" s="4"/>
      <c r="Y49" s="6" t="s">
        <v>11</v>
      </c>
      <c r="Z49" s="6" t="s">
        <v>12</v>
      </c>
      <c r="AA49" s="6" t="s">
        <v>13</v>
      </c>
      <c r="AB49" s="6" t="s">
        <v>14</v>
      </c>
      <c r="AC49" s="6" t="s">
        <v>15</v>
      </c>
      <c r="AD49" s="4"/>
      <c r="AE49" s="4"/>
    </row>
    <row r="50" spans="1:31" s="1" customFormat="1" x14ac:dyDescent="0.3">
      <c r="A50" s="4"/>
      <c r="B50" s="4"/>
      <c r="C50" s="1">
        <v>11</v>
      </c>
      <c r="D50" s="1">
        <f>CEILING(Demon!$B13/ IF(Demon!$D13&lt; 10.8, $F$7, $F$7 / (Demon!$D13 / 10.8)),1)</f>
        <v>7</v>
      </c>
      <c r="E50" s="1">
        <f>CEILING(Elf!B13 / IF(Elf!$D13&lt; 10.8, $F$7,$F$7 / (Elf!$D13 / 10.8)),1)</f>
        <v>7</v>
      </c>
      <c r="F50" s="1">
        <f>CEILING(Beastgirl!$B13 / IF(Beastgirl!$D13&lt; 10.8, $F$7, $F$7 / (Beastgirl!$D13 / 10.8)),1)</f>
        <v>13</v>
      </c>
      <c r="G50" s="1">
        <f>CEILING(Warrior!$B13 / IF(Warrior!$D13&lt; 10.8, $F$7, $F$7 / (Warrior!$D13 / 10.8)),1)</f>
        <v>9</v>
      </c>
      <c r="H50" s="4"/>
      <c r="I50" s="4"/>
      <c r="J50" s="4"/>
      <c r="K50" s="4"/>
      <c r="L50" s="4"/>
      <c r="N50" s="1">
        <v>11</v>
      </c>
      <c r="O50" s="1">
        <f>CEILING(Demon!$B13 / IF(Demon!$D13&lt; 10.8, $Q$7, $Q$7 / (Demon!$D13/ 10.8)),1)</f>
        <v>5</v>
      </c>
      <c r="P50" s="1">
        <f>CEILING(Elf!$B13/ IF(Elf!$D13 &lt; 10.8, $Q$7, $Q$7 / (Elf!$D13 / 10.8)),1)</f>
        <v>5</v>
      </c>
      <c r="Q50" s="1">
        <f>CEILING(Beastgirl!$B13/ IF(Beastgirl!$D13&lt; 10.8, $Q$7, $Q$7 / (Beastgirl!$D13 / 10.8)),1)</f>
        <v>9</v>
      </c>
      <c r="R50" s="1">
        <f>CEILING(Warrior!$B13 / IF(Warrior!$D13&lt; 10.8, $Q$7, $Q$7 / (Warrior!$D13 / 10.8)),1)</f>
        <v>6</v>
      </c>
      <c r="T50" s="4"/>
      <c r="U50" s="4"/>
      <c r="V50" s="4"/>
      <c r="W50" s="4"/>
      <c r="X50" s="4"/>
      <c r="Y50" s="1">
        <v>11</v>
      </c>
      <c r="Z50" s="1">
        <f>CEILING(Demon!$B13 / IF(Demon!$D13&lt; 10.8, $AB$7, $AB$7 / (Demon!$D13 / 10.8)),1)</f>
        <v>4</v>
      </c>
      <c r="AA50" s="1">
        <f>CEILING(Elf!$B13/ IF(Elf!$D13 &lt; 10.8, $AB$7, $AB$7 / (Elf!$D13 / 10.8)),1)</f>
        <v>4</v>
      </c>
      <c r="AB50" s="1">
        <f>CEILING(Beastgirl!$B13 / IF(Beastgirl!$D13&lt; 10.8, $AB$7, $AB$7 / (Beastgirl!$D13 / 10.8)),1)</f>
        <v>7</v>
      </c>
      <c r="AC50" s="1">
        <f>CEILING(Warrior!$B13 / IF(Warrior!$D13&lt; 10.8, $AB$7, $AB$7 / (Warrior!$D13 / 10.8)),1)</f>
        <v>5</v>
      </c>
      <c r="AD50" s="4"/>
      <c r="AE50" s="4"/>
    </row>
    <row r="51" spans="1:31" s="1" customFormat="1" x14ac:dyDescent="0.3">
      <c r="A51" s="4"/>
      <c r="B51" s="4"/>
      <c r="C51" s="1">
        <v>12</v>
      </c>
      <c r="D51" s="1">
        <f>CEILING(Demon!$B14/ IF(Demon!$D14&lt; 10.8, $F$7, $F$7 / (Demon!$D14 / 10.8)),1)</f>
        <v>8</v>
      </c>
      <c r="E51" s="1">
        <f>CEILING(Elf!B14 / IF(Elf!$D14&lt; 10.8, $F$7,$F$7 / (Elf!$D14 / 10.8)),1)</f>
        <v>8</v>
      </c>
      <c r="F51" s="1">
        <f>CEILING(Beastgirl!$B14 / IF(Beastgirl!$D14&lt; 10.8, $F$7, $F$7 / (Beastgirl!$D14 / 10.8)),1)</f>
        <v>15</v>
      </c>
      <c r="G51" s="1">
        <f>CEILING(Warrior!$B14 / IF(Warrior!$D14&lt; 10.8, $F$7, $F$7 / (Warrior!$D14 / 10.8)),1)</f>
        <v>10</v>
      </c>
      <c r="H51" s="4"/>
      <c r="I51" s="4"/>
      <c r="J51" s="4"/>
      <c r="K51" s="4"/>
      <c r="L51" s="4"/>
      <c r="N51" s="1">
        <v>12</v>
      </c>
      <c r="O51" s="1">
        <f>CEILING(Demon!$B14 / IF(Demon!$D14&lt; 10.8, $Q$7, $Q$7 / (Demon!$D14/ 10.8)),1)</f>
        <v>5</v>
      </c>
      <c r="P51" s="1">
        <f>CEILING(Elf!$B14/ IF(Elf!$D14 &lt; 10.8, $Q$7, $Q$7 / (Elf!$D14 / 10.8)),1)</f>
        <v>5</v>
      </c>
      <c r="Q51" s="1">
        <f>CEILING(Beastgirl!$B14/ IF(Beastgirl!$D14&lt; 10.8, $Q$7, $Q$7 / (Beastgirl!$D14 / 10.8)),1)</f>
        <v>10</v>
      </c>
      <c r="R51" s="1">
        <f>CEILING(Warrior!$B14 / IF(Warrior!$D14&lt; 10.8, $Q$7, $Q$7 / (Warrior!$D14 / 10.8)),1)</f>
        <v>7</v>
      </c>
      <c r="T51" s="4"/>
      <c r="U51" s="4"/>
      <c r="V51" s="4"/>
      <c r="W51" s="4"/>
      <c r="X51" s="4"/>
      <c r="Y51" s="1">
        <v>12</v>
      </c>
      <c r="Z51" s="1">
        <f>CEILING(Demon!$B14 / IF(Demon!$D14&lt; 10.8, $AB$7, $AB$7 / (Demon!$D14 / 10.8)),1)</f>
        <v>4</v>
      </c>
      <c r="AA51" s="1">
        <f>CEILING(Elf!$B14/ IF(Elf!$D14 &lt; 10.8, $AB$7, $AB$7 / (Elf!$D14 / 10.8)),1)</f>
        <v>4</v>
      </c>
      <c r="AB51" s="1">
        <f>CEILING(Beastgirl!$B14 / IF(Beastgirl!$D14&lt; 10.8, $AB$7, $AB$7 / (Beastgirl!$D14 / 10.8)),1)</f>
        <v>8</v>
      </c>
      <c r="AC51" s="1">
        <f>CEILING(Warrior!$B14 / IF(Warrior!$D14&lt; 10.8, $AB$7, $AB$7 / (Warrior!$D14 / 10.8)),1)</f>
        <v>5</v>
      </c>
      <c r="AD51" s="4"/>
      <c r="AE51" s="4"/>
    </row>
    <row r="52" spans="1:31" s="1" customFormat="1" x14ac:dyDescent="0.3">
      <c r="A52" s="4"/>
      <c r="B52" s="4"/>
      <c r="C52" s="1">
        <v>13</v>
      </c>
      <c r="D52" s="1">
        <f>CEILING(Demon!$B15/ IF(Demon!$D15&lt; 10.8, $F$7, $F$7 / (Demon!$D15 / 10.8)),1)</f>
        <v>9</v>
      </c>
      <c r="E52" s="1">
        <f>CEILING(Elf!B15 / IF(Elf!$D15&lt; 10.8, $F$7,$F$7 / (Elf!$D15 / 10.8)),1)</f>
        <v>9</v>
      </c>
      <c r="F52" s="1">
        <f>CEILING(Beastgirl!$B15 / IF(Beastgirl!$D15&lt; 10.8, $F$7, $F$7 / (Beastgirl!$D15 / 10.8)),1)</f>
        <v>17</v>
      </c>
      <c r="G52" s="1">
        <f>CEILING(Warrior!$B15 / IF(Warrior!$D15&lt; 10.8, $F$7, $F$7 / (Warrior!$D15 / 10.8)),1)</f>
        <v>11</v>
      </c>
      <c r="H52" s="4"/>
      <c r="I52" s="4"/>
      <c r="J52" s="4"/>
      <c r="K52" s="4"/>
      <c r="L52" s="4"/>
      <c r="N52" s="1">
        <v>13</v>
      </c>
      <c r="O52" s="1">
        <f>CEILING(Demon!$B15 / IF(Demon!$D15&lt; 10.8, $Q$7, $Q$7 / (Demon!$D15/ 10.8)),1)</f>
        <v>6</v>
      </c>
      <c r="P52" s="1">
        <f>CEILING(Elf!$B15/ IF(Elf!$D15 &lt; 10.8, $Q$7, $Q$7 / (Elf!$D15 / 10.8)),1)</f>
        <v>6</v>
      </c>
      <c r="Q52" s="1">
        <f>CEILING(Beastgirl!$B15/ IF(Beastgirl!$D15&lt; 10.8, $Q$7, $Q$7 / (Beastgirl!$D15 / 10.8)),1)</f>
        <v>11</v>
      </c>
      <c r="R52" s="1">
        <f>CEILING(Warrior!$B15 / IF(Warrior!$D15&lt; 10.8, $Q$7, $Q$7 / (Warrior!$D15 / 10.8)),1)</f>
        <v>8</v>
      </c>
      <c r="T52" s="4"/>
      <c r="U52" s="4"/>
      <c r="V52" s="4"/>
      <c r="W52" s="4"/>
      <c r="X52" s="4"/>
      <c r="Y52" s="1">
        <v>13</v>
      </c>
      <c r="Z52" s="1">
        <f>CEILING(Demon!$B15 / IF(Demon!$D15&lt; 10.8, $AB$7, $AB$7 / (Demon!$D15 / 10.8)),1)</f>
        <v>5</v>
      </c>
      <c r="AA52" s="1">
        <f>CEILING(Elf!$B15/ IF(Elf!$D15 &lt; 10.8, $AB$7, $AB$7 / (Elf!$D15 / 10.8)),1)</f>
        <v>5</v>
      </c>
      <c r="AB52" s="1">
        <f>CEILING(Beastgirl!$B15 / IF(Beastgirl!$D15&lt; 10.8, $AB$7, $AB$7 / (Beastgirl!$D15 / 10.8)),1)</f>
        <v>9</v>
      </c>
      <c r="AC52" s="1">
        <f>CEILING(Warrior!$B15 / IF(Warrior!$D15&lt; 10.8, $AB$7, $AB$7 / (Warrior!$D15 / 10.8)),1)</f>
        <v>6</v>
      </c>
      <c r="AD52" s="4"/>
      <c r="AE52" s="4"/>
    </row>
    <row r="53" spans="1:31" s="1" customFormat="1" x14ac:dyDescent="0.3">
      <c r="A53" s="4"/>
      <c r="B53" s="4"/>
      <c r="C53" s="1">
        <v>14</v>
      </c>
      <c r="D53" s="1">
        <f>CEILING(Demon!$B16/ IF(Demon!$D16&lt; 10.8, $F$7, $F$7 / (Demon!$D16 / 10.8)),1)</f>
        <v>10</v>
      </c>
      <c r="E53" s="1">
        <f>CEILING(Elf!B16 / IF(Elf!$D16&lt; 10.8, $F$7,$F$7 / (Elf!$D16 / 10.8)),1)</f>
        <v>10</v>
      </c>
      <c r="F53" s="1">
        <f>CEILING(Beastgirl!$B16 / IF(Beastgirl!$D16&lt; 10.8, $F$7, $F$7 / (Beastgirl!$D16 / 10.8)),1)</f>
        <v>19</v>
      </c>
      <c r="G53" s="1">
        <f>CEILING(Warrior!$B16 / IF(Warrior!$D16&lt; 10.8, $F$7, $F$7 / (Warrior!$D16 / 10.8)),1)</f>
        <v>13</v>
      </c>
      <c r="H53" s="4"/>
      <c r="I53" s="4"/>
      <c r="J53" s="4"/>
      <c r="K53" s="4"/>
      <c r="L53" s="4"/>
      <c r="N53" s="1">
        <v>14</v>
      </c>
      <c r="O53" s="1">
        <f>CEILING(Demon!$B16 / IF(Demon!$D16&lt; 10.8, $Q$7, $Q$7 / (Demon!$D16/ 10.8)),1)</f>
        <v>7</v>
      </c>
      <c r="P53" s="1">
        <f>CEILING(Elf!$B16/ IF(Elf!$D16 &lt; 10.8, $Q$7, $Q$7 / (Elf!$D16 / 10.8)),1)</f>
        <v>7</v>
      </c>
      <c r="Q53" s="1">
        <f>CEILING(Beastgirl!$B16/ IF(Beastgirl!$D16&lt; 10.8, $Q$7, $Q$7 / (Beastgirl!$D16 / 10.8)),1)</f>
        <v>13</v>
      </c>
      <c r="R53" s="1">
        <f>CEILING(Warrior!$B16 / IF(Warrior!$D16&lt; 10.8, $Q$7, $Q$7 / (Warrior!$D16 / 10.8)),1)</f>
        <v>9</v>
      </c>
      <c r="T53" s="4"/>
      <c r="U53" s="4"/>
      <c r="V53" s="4"/>
      <c r="W53" s="4"/>
      <c r="X53" s="4"/>
      <c r="Y53" s="1">
        <v>14</v>
      </c>
      <c r="Z53" s="1">
        <f>CEILING(Demon!$B16 / IF(Demon!$D16&lt; 10.8, $AB$7, $AB$7 / (Demon!$D16 / 10.8)),1)</f>
        <v>5</v>
      </c>
      <c r="AA53" s="1">
        <f>CEILING(Elf!$B16/ IF(Elf!$D16 &lt; 10.8, $AB$7, $AB$7 / (Elf!$D16 / 10.8)),1)</f>
        <v>5</v>
      </c>
      <c r="AB53" s="1">
        <f>CEILING(Beastgirl!$B16 / IF(Beastgirl!$D16&lt; 10.8, $AB$7, $AB$7 / (Beastgirl!$D16 / 10.8)),1)</f>
        <v>10</v>
      </c>
      <c r="AC53" s="1">
        <f>CEILING(Warrior!$B16 / IF(Warrior!$D16&lt; 10.8, $AB$7, $AB$7 / (Warrior!$D16 / 10.8)),1)</f>
        <v>7</v>
      </c>
      <c r="AD53" s="4"/>
      <c r="AE53" s="4"/>
    </row>
    <row r="54" spans="1:31" s="1" customFormat="1" x14ac:dyDescent="0.3">
      <c r="A54" s="4"/>
      <c r="B54" s="4"/>
      <c r="C54" s="1">
        <v>15</v>
      </c>
      <c r="D54" s="1">
        <f>CEILING(Demon!$B17/ IF(Demon!$D17&lt; 10.8, $F$7, $F$7 / (Demon!$D17 / 10.8)),1)</f>
        <v>16</v>
      </c>
      <c r="E54" s="1">
        <f>CEILING(Elf!B17 / IF(Elf!$D17&lt; 10.8, $F$7,$F$7 / (Elf!$D17 / 10.8)),1)</f>
        <v>17</v>
      </c>
      <c r="F54" s="1">
        <f>CEILING(Beastgirl!$B17 / IF(Beastgirl!$D17&lt; 10.8, $F$7, $F$7 / (Beastgirl!$D17 / 10.8)),1)</f>
        <v>30</v>
      </c>
      <c r="G54" s="1">
        <f>CEILING(Warrior!$B17 / IF(Warrior!$D17&lt; 10.8, $F$7, $F$7 / (Warrior!$D17 / 10.8)),1)</f>
        <v>21</v>
      </c>
      <c r="H54" s="4"/>
      <c r="I54" s="4"/>
      <c r="J54" s="4"/>
      <c r="K54" s="4"/>
      <c r="L54" s="4"/>
      <c r="N54" s="1">
        <v>15</v>
      </c>
      <c r="O54" s="1">
        <f>CEILING(Demon!$B17 / IF(Demon!$D17&lt; 10.8, $Q$7, $Q$7 / (Demon!$D17/ 10.8)),1)</f>
        <v>11</v>
      </c>
      <c r="P54" s="1">
        <f>CEILING(Elf!$B17/ IF(Elf!$D17 &lt; 10.8, $Q$7, $Q$7 / (Elf!$D17 / 10.8)),1)</f>
        <v>11</v>
      </c>
      <c r="Q54" s="1">
        <f>CEILING(Beastgirl!$B17/ IF(Beastgirl!$D17&lt; 10.8, $Q$7, $Q$7 / (Beastgirl!$D17 / 10.8)),1)</f>
        <v>20</v>
      </c>
      <c r="R54" s="1">
        <f>CEILING(Warrior!$B17 / IF(Warrior!$D17&lt; 10.8, $Q$7, $Q$7 / (Warrior!$D17 / 10.8)),1)</f>
        <v>14</v>
      </c>
      <c r="T54" s="4"/>
      <c r="U54" s="4"/>
      <c r="V54" s="4"/>
      <c r="W54" s="4"/>
      <c r="X54" s="4"/>
      <c r="Y54" s="1">
        <v>15</v>
      </c>
      <c r="Z54" s="1">
        <f>CEILING(Demon!$B17 / IF(Demon!$D17&lt; 10.8, $AB$7, $AB$7 / (Demon!$D17 / 10.8)),1)</f>
        <v>8</v>
      </c>
      <c r="AA54" s="1">
        <f>CEILING(Elf!$B17/ IF(Elf!$D17 &lt; 10.8, $AB$7, $AB$7 / (Elf!$D17 / 10.8)),1)</f>
        <v>9</v>
      </c>
      <c r="AB54" s="1">
        <f>CEILING(Beastgirl!$B17 / IF(Beastgirl!$D17&lt; 10.8, $AB$7, $AB$7 / (Beastgirl!$D17 / 10.8)),1)</f>
        <v>15</v>
      </c>
      <c r="AC54" s="1">
        <f>CEILING(Warrior!$B17 / IF(Warrior!$D17&lt; 10.8, $AB$7, $AB$7 / (Warrior!$D17 / 10.8)),1)</f>
        <v>11</v>
      </c>
      <c r="AD54" s="4"/>
      <c r="AE54" s="4"/>
    </row>
    <row r="55" spans="1:31" s="1" customFormat="1" x14ac:dyDescent="0.3">
      <c r="A55" s="4"/>
      <c r="B55" s="4"/>
      <c r="C55" s="1">
        <v>16</v>
      </c>
      <c r="D55" s="1">
        <f>CEILING(Demon!$B18/ IF(Demon!$D18&lt; 10.8, $F$7, $F$7 / (Demon!$D18 / 10.8)),1)</f>
        <v>17</v>
      </c>
      <c r="E55" s="1">
        <f>CEILING(Elf!B18 / IF(Elf!$D18&lt; 10.8, $F$7,$F$7 / (Elf!$D18 / 10.8)),1)</f>
        <v>18</v>
      </c>
      <c r="F55" s="1">
        <f>CEILING(Beastgirl!$B18 / IF(Beastgirl!$D18&lt; 10.8, $F$7, $F$7 / (Beastgirl!$D18 / 10.8)),1)</f>
        <v>33</v>
      </c>
      <c r="G55" s="1">
        <f>CEILING(Warrior!$B18 / IF(Warrior!$D18&lt; 10.8, $F$7, $F$7 / (Warrior!$D18 / 10.8)),1)</f>
        <v>23</v>
      </c>
      <c r="H55" s="4"/>
      <c r="I55" s="4"/>
      <c r="J55" s="4"/>
      <c r="K55" s="4"/>
      <c r="L55" s="4"/>
      <c r="N55" s="1">
        <v>16</v>
      </c>
      <c r="O55" s="1">
        <f>CEILING(Demon!$B18 / IF(Demon!$D18&lt; 10.8, $Q$7, $Q$7 / (Demon!$D18/ 10.8)),1)</f>
        <v>12</v>
      </c>
      <c r="P55" s="1">
        <f>CEILING(Elf!$B18/ IF(Elf!$D18 &lt; 10.8, $Q$7, $Q$7 / (Elf!$D18 / 10.8)),1)</f>
        <v>12</v>
      </c>
      <c r="Q55" s="1">
        <f>CEILING(Beastgirl!$B18/ IF(Beastgirl!$D18&lt; 10.8, $Q$7, $Q$7 / (Beastgirl!$D18 / 10.8)),1)</f>
        <v>22</v>
      </c>
      <c r="R55" s="1">
        <f>CEILING(Warrior!$B18 / IF(Warrior!$D18&lt; 10.8, $Q$7, $Q$7 / (Warrior!$D18 / 10.8)),1)</f>
        <v>16</v>
      </c>
      <c r="T55" s="4"/>
      <c r="U55" s="4"/>
      <c r="V55" s="4"/>
      <c r="W55" s="4"/>
      <c r="X55" s="4"/>
      <c r="Y55" s="1">
        <v>16</v>
      </c>
      <c r="Z55" s="1">
        <f>CEILING(Demon!$B18 / IF(Demon!$D18&lt; 10.8, $AB$7, $AB$7 / (Demon!$D18 / 10.8)),1)</f>
        <v>9</v>
      </c>
      <c r="AA55" s="1">
        <f>CEILING(Elf!$B18/ IF(Elf!$D18 &lt; 10.8, $AB$7, $AB$7 / (Elf!$D18 / 10.8)),1)</f>
        <v>9</v>
      </c>
      <c r="AB55" s="1">
        <f>CEILING(Beastgirl!$B18 / IF(Beastgirl!$D18&lt; 10.8, $AB$7, $AB$7 / (Beastgirl!$D18 / 10.8)),1)</f>
        <v>17</v>
      </c>
      <c r="AC55" s="1">
        <f>CEILING(Warrior!$B18 / IF(Warrior!$D18&lt; 10.8, $AB$7, $AB$7 / (Warrior!$D18 / 10.8)),1)</f>
        <v>12</v>
      </c>
      <c r="AD55" s="4"/>
      <c r="AE55" s="4"/>
    </row>
    <row r="56" spans="1:31" s="1" customFormat="1" x14ac:dyDescent="0.3">
      <c r="A56" s="4"/>
      <c r="B56" s="4"/>
      <c r="C56" s="1">
        <v>17</v>
      </c>
      <c r="D56" s="1">
        <f>CEILING(Demon!$B19/ IF(Demon!$D19&lt; 10.8, $F$7, $F$7 / (Demon!$D19 / 10.8)),1)</f>
        <v>19</v>
      </c>
      <c r="E56" s="1">
        <f>CEILING(Elf!B19 / IF(Elf!$D19&lt; 10.8, $F$7,$F$7 / (Elf!$D19 / 10.8)),1)</f>
        <v>20</v>
      </c>
      <c r="F56" s="1">
        <f>CEILING(Beastgirl!$B19 / IF(Beastgirl!$D19&lt; 10.8, $F$7, $F$7 / (Beastgirl!$D19 / 10.8)),1)</f>
        <v>36</v>
      </c>
      <c r="G56" s="1">
        <f>CEILING(Warrior!$B19 / IF(Warrior!$D19&lt; 10.8, $F$7, $F$7 / (Warrior!$D19 / 10.8)),1)</f>
        <v>25</v>
      </c>
      <c r="H56" s="4"/>
      <c r="I56" s="4"/>
      <c r="J56" s="4"/>
      <c r="K56" s="4"/>
      <c r="L56" s="4"/>
      <c r="N56" s="1">
        <v>17</v>
      </c>
      <c r="O56" s="1">
        <f>CEILING(Demon!$B19 / IF(Demon!$D19&lt; 10.8, $Q$7, $Q$7 / (Demon!$D19/ 10.8)),1)</f>
        <v>13</v>
      </c>
      <c r="P56" s="1">
        <f>CEILING(Elf!$B19/ IF(Elf!$D19 &lt; 10.8, $Q$7, $Q$7 / (Elf!$D19 / 10.8)),1)</f>
        <v>14</v>
      </c>
      <c r="Q56" s="1">
        <f>CEILING(Beastgirl!$B19/ IF(Beastgirl!$D19&lt; 10.8, $Q$7, $Q$7 / (Beastgirl!$D19 / 10.8)),1)</f>
        <v>24</v>
      </c>
      <c r="R56" s="1">
        <f>CEILING(Warrior!$B19 / IF(Warrior!$D19&lt; 10.8, $Q$7, $Q$7 / (Warrior!$D19 / 10.8)),1)</f>
        <v>17</v>
      </c>
      <c r="T56" s="4"/>
      <c r="U56" s="4"/>
      <c r="V56" s="4"/>
      <c r="W56" s="4"/>
      <c r="X56" s="4"/>
      <c r="Y56" s="1">
        <v>17</v>
      </c>
      <c r="Z56" s="1">
        <f>CEILING(Demon!$B19 / IF(Demon!$D19&lt; 10.8, $AB$7, $AB$7 / (Demon!$D19 / 10.8)),1)</f>
        <v>10</v>
      </c>
      <c r="AA56" s="1">
        <f>CEILING(Elf!$B19/ IF(Elf!$D19 &lt; 10.8, $AB$7, $AB$7 / (Elf!$D19 / 10.8)),1)</f>
        <v>10</v>
      </c>
      <c r="AB56" s="1">
        <f>CEILING(Beastgirl!$B19 / IF(Beastgirl!$D19&lt; 10.8, $AB$7, $AB$7 / (Beastgirl!$D19 / 10.8)),1)</f>
        <v>18</v>
      </c>
      <c r="AC56" s="1">
        <f>CEILING(Warrior!$B19 / IF(Warrior!$D19&lt; 10.8, $AB$7, $AB$7 / (Warrior!$D19 / 10.8)),1)</f>
        <v>13</v>
      </c>
      <c r="AD56" s="4"/>
      <c r="AE56" s="4"/>
    </row>
    <row r="57" spans="1:31" s="1" customFormat="1" x14ac:dyDescent="0.3">
      <c r="A57" s="4"/>
      <c r="B57" s="4"/>
      <c r="C57" s="1">
        <v>18</v>
      </c>
      <c r="D57" s="1">
        <f>CEILING(Demon!$B20/ IF(Demon!$D20&lt; 10.8, $F$7, $F$7 / (Demon!$D20 / 10.8)),1)</f>
        <v>21</v>
      </c>
      <c r="E57" s="1">
        <f>CEILING(Elf!B20 / IF(Elf!$D20&lt; 10.8, $F$7,$F$7 / (Elf!$D20 / 10.8)),1)</f>
        <v>22</v>
      </c>
      <c r="F57" s="1">
        <f>CEILING(Beastgirl!$B20 / IF(Beastgirl!$D20&lt; 10.8, $F$7, $F$7 / (Beastgirl!$D20 / 10.8)),1)</f>
        <v>40</v>
      </c>
      <c r="G57" s="1">
        <f>CEILING(Warrior!$B20 / IF(Warrior!$D20&lt; 10.8, $F$7, $F$7 / (Warrior!$D20 / 10.8)),1)</f>
        <v>28</v>
      </c>
      <c r="H57" s="4"/>
      <c r="I57" s="4"/>
      <c r="J57" s="4"/>
      <c r="K57" s="4"/>
      <c r="L57" s="4"/>
      <c r="N57" s="1">
        <v>18</v>
      </c>
      <c r="O57" s="1">
        <f>CEILING(Demon!$B20 / IF(Demon!$D20&lt; 10.8, $Q$7, $Q$7 / (Demon!$D20/ 10.8)),1)</f>
        <v>14</v>
      </c>
      <c r="P57" s="1">
        <f>CEILING(Elf!$B20/ IF(Elf!$D20 &lt; 10.8, $Q$7, $Q$7 / (Elf!$D20 / 10.8)),1)</f>
        <v>15</v>
      </c>
      <c r="Q57" s="1">
        <f>CEILING(Beastgirl!$B20/ IF(Beastgirl!$D20&lt; 10.8, $Q$7, $Q$7 / (Beastgirl!$D20 / 10.8)),1)</f>
        <v>27</v>
      </c>
      <c r="R57" s="1">
        <f>CEILING(Warrior!$B20 / IF(Warrior!$D20&lt; 10.8, $Q$7, $Q$7 / (Warrior!$D20 / 10.8)),1)</f>
        <v>19</v>
      </c>
      <c r="T57" s="4"/>
      <c r="U57" s="4"/>
      <c r="V57" s="4"/>
      <c r="W57" s="4"/>
      <c r="X57" s="4"/>
      <c r="Y57" s="1">
        <v>18</v>
      </c>
      <c r="Z57" s="1">
        <f>CEILING(Demon!$B20 / IF(Demon!$D20&lt; 10.8, $AB$7, $AB$7 / (Demon!$D20 / 10.8)),1)</f>
        <v>11</v>
      </c>
      <c r="AA57" s="1">
        <f>CEILING(Elf!$B20/ IF(Elf!$D20 &lt; 10.8, $AB$7, $AB$7 / (Elf!$D20 / 10.8)),1)</f>
        <v>11</v>
      </c>
      <c r="AB57" s="1">
        <f>CEILING(Beastgirl!$B20 / IF(Beastgirl!$D20&lt; 10.8, $AB$7, $AB$7 / (Beastgirl!$D20 / 10.8)),1)</f>
        <v>20</v>
      </c>
      <c r="AC57" s="1">
        <f>CEILING(Warrior!$B20 / IF(Warrior!$D20&lt; 10.8, $AB$7, $AB$7 / (Warrior!$D20 / 10.8)),1)</f>
        <v>14</v>
      </c>
      <c r="AD57" s="4"/>
      <c r="AE57" s="4"/>
    </row>
    <row r="58" spans="1:31" s="1" customFormat="1" x14ac:dyDescent="0.3">
      <c r="A58" s="4"/>
      <c r="B58" s="4"/>
      <c r="C58" s="1">
        <v>19</v>
      </c>
      <c r="D58" s="1">
        <f>CEILING(Demon!$B21/ IF(Demon!$D21&lt; 10.8, $F$7, $F$7 / (Demon!$D21 / 10.8)),1)</f>
        <v>23</v>
      </c>
      <c r="E58" s="1">
        <f>CEILING(Elf!B21 / IF(Elf!$D21&lt; 10.8, $F$7,$F$7 / (Elf!$D21 / 10.8)),1)</f>
        <v>25</v>
      </c>
      <c r="F58" s="1">
        <f>CEILING(Beastgirl!$B21 / IF(Beastgirl!$D21&lt; 10.8, $F$7, $F$7 / (Beastgirl!$D21 / 10.8)),1)</f>
        <v>43</v>
      </c>
      <c r="G58" s="1">
        <f>CEILING(Warrior!$B21 / IF(Warrior!$D21&lt; 10.8, $F$7, $F$7 / (Warrior!$D21 / 10.8)),1)</f>
        <v>30</v>
      </c>
      <c r="H58" s="4"/>
      <c r="I58" s="4"/>
      <c r="J58" s="4"/>
      <c r="K58" s="4"/>
      <c r="L58" s="4"/>
      <c r="N58" s="1">
        <v>19</v>
      </c>
      <c r="O58" s="1">
        <f>CEILING(Demon!$B21 / IF(Demon!$D21&lt; 10.8, $Q$7, $Q$7 / (Demon!$D21/ 10.8)),1)</f>
        <v>15</v>
      </c>
      <c r="P58" s="1">
        <f>CEILING(Elf!$B21/ IF(Elf!$D21 &lt; 10.8, $Q$7, $Q$7 / (Elf!$D21 / 10.8)),1)</f>
        <v>17</v>
      </c>
      <c r="Q58" s="1">
        <f>CEILING(Beastgirl!$B21/ IF(Beastgirl!$D21&lt; 10.8, $Q$7, $Q$7 / (Beastgirl!$D21 / 10.8)),1)</f>
        <v>29</v>
      </c>
      <c r="R58" s="1">
        <f>CEILING(Warrior!$B21 / IF(Warrior!$D21&lt; 10.8, $Q$7, $Q$7 / (Warrior!$D21 / 10.8)),1)</f>
        <v>20</v>
      </c>
      <c r="T58" s="4"/>
      <c r="U58" s="4"/>
      <c r="V58" s="4"/>
      <c r="W58" s="4"/>
      <c r="X58" s="4"/>
      <c r="Y58" s="1">
        <v>19</v>
      </c>
      <c r="Z58" s="1">
        <f>CEILING(Demon!$B21 / IF(Demon!$D21&lt; 10.8, $AB$7, $AB$7 / (Demon!$D21 / 10.8)),1)</f>
        <v>12</v>
      </c>
      <c r="AA58" s="1">
        <f>CEILING(Elf!$B21/ IF(Elf!$D21 &lt; 10.8, $AB$7, $AB$7 / (Elf!$D21 / 10.8)),1)</f>
        <v>13</v>
      </c>
      <c r="AB58" s="1">
        <f>CEILING(Beastgirl!$B21 / IF(Beastgirl!$D21&lt; 10.8, $AB$7, $AB$7 / (Beastgirl!$D21 / 10.8)),1)</f>
        <v>22</v>
      </c>
      <c r="AC58" s="1">
        <f>CEILING(Warrior!$B21 / IF(Warrior!$D21&lt; 10.8, $AB$7, $AB$7 / (Warrior!$D21 / 10.8)),1)</f>
        <v>15</v>
      </c>
      <c r="AD58" s="4"/>
      <c r="AE58" s="4"/>
    </row>
    <row r="59" spans="1:31" s="1" customFormat="1" x14ac:dyDescent="0.3">
      <c r="A59" s="4"/>
      <c r="B59" s="4"/>
      <c r="C59" s="1">
        <v>20</v>
      </c>
      <c r="D59" s="1">
        <f>CEILING(Demon!$B22/ IF(Demon!$D22&lt; 10.8, $F$7, $F$7 / (Demon!$D22 / 10.8)),1)</f>
        <v>25</v>
      </c>
      <c r="E59" s="1">
        <f>CEILING(Elf!B22 / IF(Elf!$D22&lt; 10.8, $F$7,$F$7 / (Elf!$D22 / 10.8)),1)</f>
        <v>27</v>
      </c>
      <c r="F59" s="1">
        <f>CEILING(Beastgirl!$B22 / IF(Beastgirl!$D22&lt; 10.8, $F$7, $F$7 / (Beastgirl!$D22 / 10.8)),1)</f>
        <v>47</v>
      </c>
      <c r="G59" s="1">
        <f>CEILING(Warrior!$B22 / IF(Warrior!$D22&lt; 10.8, $F$7, $F$7 / (Warrior!$D22 / 10.8)),1)</f>
        <v>33</v>
      </c>
      <c r="H59" s="4"/>
      <c r="I59" s="4"/>
      <c r="J59" s="4"/>
      <c r="K59" s="4"/>
      <c r="L59" s="4"/>
      <c r="N59" s="1">
        <v>20</v>
      </c>
      <c r="O59" s="1">
        <f>CEILING(Demon!$B22 / IF(Demon!$D22&lt; 10.8, $Q$7, $Q$7 / (Demon!$D22/ 10.8)),1)</f>
        <v>17</v>
      </c>
      <c r="P59" s="1">
        <f>CEILING(Elf!$B22/ IF(Elf!$D22 &lt; 10.8, $Q$7, $Q$7 / (Elf!$D22 / 10.8)),1)</f>
        <v>18</v>
      </c>
      <c r="Q59" s="1">
        <f>CEILING(Beastgirl!$B22/ IF(Beastgirl!$D22&lt; 10.8, $Q$7, $Q$7 / (Beastgirl!$D22 / 10.8)),1)</f>
        <v>32</v>
      </c>
      <c r="R59" s="1">
        <f>CEILING(Warrior!$B22 / IF(Warrior!$D22&lt; 10.8, $Q$7, $Q$7 / (Warrior!$D22 / 10.8)),1)</f>
        <v>22</v>
      </c>
      <c r="T59" s="4"/>
      <c r="U59" s="4"/>
      <c r="V59" s="4"/>
      <c r="W59" s="4"/>
      <c r="X59" s="4"/>
      <c r="Y59" s="1">
        <v>20</v>
      </c>
      <c r="Z59" s="1">
        <f>CEILING(Demon!$B22 / IF(Demon!$D22&lt; 10.8, $AB$7, $AB$7 / (Demon!$D22 / 10.8)),1)</f>
        <v>13</v>
      </c>
      <c r="AA59" s="1">
        <f>CEILING(Elf!$B22/ IF(Elf!$D22 &lt; 10.8, $AB$7, $AB$7 / (Elf!$D22 / 10.8)),1)</f>
        <v>14</v>
      </c>
      <c r="AB59" s="1">
        <f>CEILING(Beastgirl!$B22 / IF(Beastgirl!$D22&lt; 10.8, $AB$7, $AB$7 / (Beastgirl!$D22 / 10.8)),1)</f>
        <v>24</v>
      </c>
      <c r="AC59" s="1">
        <f>CEILING(Warrior!$B22 / IF(Warrior!$D22&lt; 10.8, $AB$7, $AB$7 / (Warrior!$D22 / 10.8)),1)</f>
        <v>17</v>
      </c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N60" s="4"/>
      <c r="O60" s="4"/>
      <c r="P60" s="4"/>
      <c r="Q60" s="4"/>
      <c r="R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5" ht="21" customHeight="1" x14ac:dyDescent="0.3"/>
  </sheetData>
  <mergeCells count="15">
    <mergeCell ref="C48:G48"/>
    <mergeCell ref="N48:R48"/>
    <mergeCell ref="Y48:AC48"/>
    <mergeCell ref="C22:G22"/>
    <mergeCell ref="N22:R22"/>
    <mergeCell ref="Y22:AC22"/>
    <mergeCell ref="C35:G35"/>
    <mergeCell ref="N35:R35"/>
    <mergeCell ref="Y35:AC35"/>
    <mergeCell ref="A1:K1"/>
    <mergeCell ref="L1:V1"/>
    <mergeCell ref="W1:AF1"/>
    <mergeCell ref="C9:G9"/>
    <mergeCell ref="N9:R9"/>
    <mergeCell ref="Y9:AC9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Demon</vt:lpstr>
      <vt:lpstr>Elf</vt:lpstr>
      <vt:lpstr>Beastgirl</vt:lpstr>
      <vt:lpstr>Warrior</vt:lpstr>
      <vt:lpstr>Blue Slime</vt:lpstr>
      <vt:lpstr>Green Slime</vt:lpstr>
      <vt:lpstr>Wolf</vt:lpstr>
      <vt:lpstr>Horned Wolf</vt:lpstr>
      <vt:lpstr>Spider</vt:lpstr>
      <vt:lpstr>Evolved Spider</vt:lpstr>
      <vt:lpstr>Arachne</vt:lpstr>
      <vt:lpstr>Earth Elemental</vt:lpstr>
      <vt:lpstr>Wind Elemental</vt:lpstr>
      <vt:lpstr>Water Elemental</vt:lpstr>
      <vt:lpstr>Fire Elemental</vt:lpstr>
      <vt:lpstr>Wyvern</vt:lpstr>
      <vt:lpstr>Evolved Wyvern</vt:lpstr>
      <vt:lpstr>Dragon</vt:lpstr>
      <vt:lpstr>Quests</vt:lpstr>
      <vt:lpstr>Equipment</vt:lpstr>
      <vt:lpstr>Items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Opria</dc:creator>
  <cp:lastModifiedBy>Ionut</cp:lastModifiedBy>
  <dcterms:created xsi:type="dcterms:W3CDTF">2015-06-05T18:17:20Z</dcterms:created>
  <dcterms:modified xsi:type="dcterms:W3CDTF">2019-09-11T14:26:31Z</dcterms:modified>
</cp:coreProperties>
</file>