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092025783e9a3e/excel automated dashboard project/Advanced Excel Dashboard/Maven Toys/"/>
    </mc:Choice>
  </mc:AlternateContent>
  <xr:revisionPtr revIDLastSave="1410" documentId="8_{3B92F362-FAA3-4B70-B64C-987FCCB188FA}" xr6:coauthVersionLast="47" xr6:coauthVersionMax="47" xr10:uidLastSave="{36C7E77D-9FA4-664A-95F6-E0999237407A}"/>
  <bookViews>
    <workbookView xWindow="0" yWindow="0" windowWidth="28800" windowHeight="18000" activeTab="2" xr2:uid="{EA944FB1-DE3F-40F9-BBAA-0980B1568DEE}"/>
  </bookViews>
  <sheets>
    <sheet name="Data" sheetId="16" r:id="rId1"/>
    <sheet name="Data Prep" sheetId="22" r:id="rId2"/>
    <sheet name="Dashboard" sheetId="24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/>
  <c r="B10" i="22" s="1"/>
  <c r="I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12" i="22" l="1"/>
  <c r="J2" i="22"/>
  <c r="B9" i="22"/>
  <c r="B13" i="22" s="1"/>
  <c r="E7" i="24" s="1"/>
  <c r="B11" i="22" l="1"/>
  <c r="K4" i="22"/>
  <c r="K5" i="22"/>
  <c r="K14" i="22"/>
  <c r="K3" i="22"/>
  <c r="K6" i="22"/>
  <c r="K7" i="22"/>
  <c r="K13" i="22"/>
  <c r="K8" i="22"/>
  <c r="K12" i="22"/>
  <c r="AY36" i="16"/>
  <c r="E2" i="22"/>
  <c r="AY50" i="16"/>
  <c r="AY45" i="16"/>
  <c r="E3" i="22"/>
  <c r="AY30" i="16"/>
  <c r="AY12" i="16"/>
  <c r="AY37" i="16"/>
  <c r="AY49" i="16"/>
  <c r="AY47" i="16"/>
  <c r="AY15" i="16"/>
  <c r="AY23" i="16"/>
  <c r="AY6" i="16"/>
  <c r="AY38" i="16"/>
  <c r="AY21" i="16"/>
  <c r="N11" i="22"/>
  <c r="N7" i="22"/>
  <c r="AB32" i="22"/>
  <c r="AB5" i="22"/>
  <c r="AB31" i="22"/>
  <c r="AB34" i="22"/>
  <c r="AY19" i="16"/>
  <c r="AB24" i="22"/>
  <c r="AB36" i="22"/>
  <c r="AB7" i="22"/>
  <c r="AB26" i="22"/>
  <c r="AY22" i="16"/>
  <c r="N6" i="22"/>
  <c r="N4" i="22"/>
  <c r="AB16" i="22"/>
  <c r="AB20" i="22"/>
  <c r="AB22" i="22"/>
  <c r="AB18" i="22"/>
  <c r="AY46" i="16"/>
  <c r="AY43" i="16"/>
  <c r="AY51" i="16"/>
  <c r="AY48" i="16"/>
  <c r="AY17" i="16"/>
  <c r="AY4" i="16"/>
  <c r="AY9" i="16"/>
  <c r="AY24" i="16"/>
  <c r="AY20" i="16"/>
  <c r="AY40" i="16"/>
  <c r="AY3" i="16"/>
  <c r="AY31" i="16"/>
  <c r="AY34" i="16"/>
  <c r="AY41" i="16"/>
  <c r="AY18" i="16"/>
  <c r="J13" i="22"/>
  <c r="N9" i="22"/>
  <c r="AB15" i="22"/>
  <c r="AB8" i="22"/>
  <c r="AB4" i="22"/>
  <c r="AB6" i="22"/>
  <c r="AB10" i="22"/>
  <c r="AY52" i="16"/>
  <c r="AY26" i="16"/>
  <c r="AY32" i="16"/>
  <c r="J10" i="22"/>
  <c r="K10" i="22" s="1"/>
  <c r="AY42" i="16"/>
  <c r="AY44" i="16"/>
  <c r="AY28" i="16"/>
  <c r="AY10" i="16"/>
  <c r="AY16" i="16"/>
  <c r="AY25" i="16"/>
  <c r="N10" i="22"/>
  <c r="N8" i="22"/>
  <c r="AB33" i="22"/>
  <c r="AB23" i="22"/>
  <c r="AB35" i="22"/>
  <c r="AB29" i="22"/>
  <c r="AY35" i="16"/>
  <c r="AY14" i="16"/>
  <c r="AY27" i="16"/>
  <c r="AY11" i="16"/>
  <c r="AY33" i="16"/>
  <c r="AY5" i="16"/>
  <c r="J12" i="22"/>
  <c r="N3" i="22"/>
  <c r="AB25" i="22"/>
  <c r="AB30" i="22"/>
  <c r="AB27" i="22"/>
  <c r="AB13" i="22"/>
  <c r="AY39" i="16"/>
  <c r="AY13" i="16"/>
  <c r="AY7" i="16"/>
  <c r="N12" i="22"/>
  <c r="N5" i="22"/>
  <c r="AB17" i="22"/>
  <c r="AB14" i="22"/>
  <c r="AB19" i="22"/>
  <c r="AB28" i="22"/>
  <c r="AY8" i="16"/>
  <c r="AY29" i="16"/>
  <c r="J11" i="22"/>
  <c r="K11" i="22" s="1"/>
  <c r="J14" i="22"/>
  <c r="AB9" i="22"/>
  <c r="AB21" i="22"/>
  <c r="AB11" i="22"/>
  <c r="AB12" i="22"/>
  <c r="AB3" i="22"/>
  <c r="AC4" i="22"/>
  <c r="AC12" i="22"/>
  <c r="AC20" i="22"/>
  <c r="AC28" i="22"/>
  <c r="AC36" i="22"/>
  <c r="AD36" i="22" s="1"/>
  <c r="AC14" i="22"/>
  <c r="AC30" i="22"/>
  <c r="AC15" i="22"/>
  <c r="AC31" i="22"/>
  <c r="AC16" i="22"/>
  <c r="AC24" i="22"/>
  <c r="AD24" i="22" s="1"/>
  <c r="AC9" i="22"/>
  <c r="AD9" i="22" s="1"/>
  <c r="AC25" i="22"/>
  <c r="AC5" i="22"/>
  <c r="AD5" i="22" s="1"/>
  <c r="AC13" i="22"/>
  <c r="AC21" i="22"/>
  <c r="AC29" i="22"/>
  <c r="AC3" i="22"/>
  <c r="AC6" i="22"/>
  <c r="AC22" i="22"/>
  <c r="AC7" i="22"/>
  <c r="AD7" i="22" s="1"/>
  <c r="AC23" i="22"/>
  <c r="AC8" i="22"/>
  <c r="AC32" i="22"/>
  <c r="AC17" i="22"/>
  <c r="AC33" i="22"/>
  <c r="AC10" i="22"/>
  <c r="AC18" i="22"/>
  <c r="AC26" i="22"/>
  <c r="AC34" i="22"/>
  <c r="AC11" i="22"/>
  <c r="AC19" i="22"/>
  <c r="AC27" i="22"/>
  <c r="AC35" i="22"/>
  <c r="E4" i="22"/>
  <c r="E6" i="22" s="1"/>
  <c r="B19" i="24" s="1"/>
  <c r="O3" i="22"/>
  <c r="O8" i="22"/>
  <c r="O9" i="22"/>
  <c r="O4" i="22"/>
  <c r="O6" i="22"/>
  <c r="O11" i="22"/>
  <c r="P11" i="22" s="1"/>
  <c r="O12" i="22"/>
  <c r="O10" i="22"/>
  <c r="O7" i="22"/>
  <c r="P7" i="22" s="1"/>
  <c r="O5" i="22"/>
  <c r="J6" i="22"/>
  <c r="J8" i="22"/>
  <c r="J5" i="22"/>
  <c r="J7" i="22"/>
  <c r="J4" i="22"/>
  <c r="J3" i="22"/>
  <c r="J9" i="22"/>
  <c r="K9" i="22" s="1"/>
  <c r="I5" i="22"/>
  <c r="I7" i="22"/>
  <c r="I8" i="22"/>
  <c r="I12" i="22"/>
  <c r="I13" i="22"/>
  <c r="I11" i="22"/>
  <c r="I4" i="22"/>
  <c r="I10" i="22"/>
  <c r="I6" i="22"/>
  <c r="I14" i="22"/>
  <c r="I3" i="22"/>
  <c r="I9" i="22"/>
  <c r="E5" i="22" l="1"/>
  <c r="C19" i="24" s="1"/>
  <c r="AD8" i="22"/>
  <c r="AD26" i="22"/>
  <c r="AD18" i="22"/>
  <c r="AD23" i="22"/>
  <c r="P12" i="22"/>
  <c r="P3" i="22"/>
  <c r="AD20" i="22"/>
  <c r="P9" i="22"/>
  <c r="P10" i="22"/>
  <c r="AD4" i="22"/>
  <c r="P6" i="22"/>
  <c r="AD32" i="22"/>
  <c r="Q10" i="22"/>
  <c r="P5" i="22"/>
  <c r="AD22" i="22"/>
  <c r="Q9" i="22"/>
  <c r="Q5" i="22"/>
  <c r="AD27" i="22"/>
  <c r="AD17" i="22"/>
  <c r="AD14" i="22"/>
  <c r="AD10" i="22"/>
  <c r="AD29" i="22"/>
  <c r="AD31" i="22"/>
  <c r="AD25" i="22"/>
  <c r="AD33" i="22"/>
  <c r="AD12" i="22"/>
  <c r="AD21" i="22"/>
  <c r="AD28" i="22"/>
  <c r="Q11" i="22"/>
  <c r="P4" i="22"/>
  <c r="AD6" i="22"/>
  <c r="AD34" i="22"/>
  <c r="Q3" i="22"/>
  <c r="AD35" i="22"/>
  <c r="AD3" i="22"/>
  <c r="AD16" i="22"/>
  <c r="Q8" i="22"/>
  <c r="AD19" i="22"/>
  <c r="AD15" i="22"/>
  <c r="AD11" i="22"/>
  <c r="AD13" i="22"/>
  <c r="AD30" i="22"/>
  <c r="P8" i="22"/>
  <c r="Q12" i="22"/>
  <c r="Q6" i="22"/>
  <c r="Q4" i="22"/>
  <c r="Q7" i="22"/>
  <c r="AF11" i="22" l="1"/>
  <c r="AF10" i="22"/>
  <c r="AE28" i="22"/>
  <c r="AE30" i="22"/>
  <c r="AE36" i="22"/>
  <c r="AE31" i="22"/>
  <c r="AE26" i="22"/>
  <c r="AE23" i="22"/>
  <c r="AE8" i="22"/>
  <c r="AF3" i="22"/>
  <c r="AE21" i="22"/>
  <c r="AF8" i="22"/>
  <c r="AE35" i="22"/>
  <c r="AE13" i="22"/>
  <c r="AE11" i="22"/>
  <c r="AE17" i="22"/>
  <c r="AE22" i="22"/>
  <c r="AF22" i="22"/>
  <c r="AE10" i="22"/>
  <c r="AF15" i="22"/>
  <c r="AF23" i="22"/>
  <c r="AF35" i="22"/>
  <c r="AE14" i="22"/>
  <c r="AE27" i="22"/>
  <c r="AF19" i="22"/>
  <c r="AE34" i="22"/>
  <c r="AE4" i="22"/>
  <c r="AF5" i="22"/>
  <c r="AF34" i="22"/>
  <c r="AF20" i="22"/>
  <c r="AE7" i="22"/>
  <c r="AF30" i="22"/>
  <c r="AF9" i="22"/>
  <c r="AF14" i="22"/>
  <c r="AF17" i="22"/>
  <c r="AF21" i="22"/>
  <c r="AF4" i="22"/>
  <c r="AF18" i="22"/>
  <c r="AE32" i="22"/>
  <c r="AE33" i="22"/>
  <c r="AE20" i="22"/>
  <c r="AE18" i="22"/>
  <c r="AF12" i="22"/>
  <c r="AE16" i="22"/>
  <c r="AE12" i="22"/>
  <c r="AE24" i="22"/>
  <c r="AF13" i="22"/>
  <c r="AF16" i="22"/>
  <c r="AF7" i="22"/>
  <c r="AE25" i="22"/>
  <c r="AF25" i="22"/>
  <c r="AE9" i="22"/>
  <c r="AE15" i="22"/>
  <c r="AF33" i="22"/>
  <c r="AE5" i="22"/>
  <c r="W4" i="22"/>
  <c r="W5" i="22"/>
  <c r="W3" i="22"/>
  <c r="V11" i="22"/>
  <c r="T9" i="22"/>
  <c r="U9" i="22" s="1"/>
  <c r="V5" i="22"/>
  <c r="V3" i="22"/>
  <c r="V6" i="22"/>
  <c r="T4" i="22"/>
  <c r="U4" i="22" s="1"/>
  <c r="T12" i="22"/>
  <c r="U12" i="22" s="1"/>
  <c r="W6" i="22"/>
  <c r="V4" i="22"/>
  <c r="V12" i="22"/>
  <c r="T10" i="22"/>
  <c r="U10" i="22" s="1"/>
  <c r="W7" i="22"/>
  <c r="T11" i="22"/>
  <c r="U11" i="22" s="1"/>
  <c r="V7" i="22"/>
  <c r="T5" i="22"/>
  <c r="U5" i="22" s="1"/>
  <c r="W8" i="22"/>
  <c r="W9" i="22"/>
  <c r="W10" i="22"/>
  <c r="V8" i="22"/>
  <c r="T6" i="22"/>
  <c r="U6" i="22" s="1"/>
  <c r="V9" i="22"/>
  <c r="T7" i="22"/>
  <c r="U7" i="22" s="1"/>
  <c r="W12" i="22"/>
  <c r="V10" i="22"/>
  <c r="T8" i="22"/>
  <c r="U8" i="22" s="1"/>
  <c r="T3" i="22"/>
  <c r="U3" i="22" s="1"/>
  <c r="W11" i="22"/>
  <c r="AF27" i="22"/>
  <c r="AE19" i="22"/>
  <c r="AF32" i="22"/>
  <c r="AE29" i="22"/>
  <c r="AF6" i="22"/>
  <c r="AF29" i="22"/>
  <c r="AE6" i="22"/>
  <c r="AF36" i="22"/>
  <c r="AF31" i="22"/>
  <c r="AE3" i="22"/>
  <c r="AF24" i="22"/>
  <c r="AF28" i="22"/>
  <c r="AF26" i="22"/>
  <c r="Y7" i="22" l="1"/>
  <c r="X7" i="22"/>
  <c r="X4" i="22"/>
  <c r="Y4" i="22"/>
  <c r="Y6" i="22"/>
  <c r="X6" i="22"/>
  <c r="X11" i="22"/>
  <c r="Y11" i="22"/>
  <c r="X10" i="22"/>
  <c r="Y10" i="22"/>
  <c r="X9" i="22"/>
  <c r="Y9" i="22"/>
  <c r="Y8" i="22"/>
  <c r="X8" i="22"/>
  <c r="X3" i="22"/>
  <c r="Y3" i="22"/>
  <c r="X5" i="22"/>
  <c r="Y5" i="22"/>
  <c r="X12" i="22"/>
  <c r="Y12" i="22"/>
  <c r="AJ5" i="22"/>
  <c r="Q19" i="24" s="1"/>
  <c r="AK15" i="22"/>
  <c r="R30" i="24" s="1"/>
  <c r="AI13" i="22"/>
  <c r="P28" i="24" s="1"/>
  <c r="AJ4" i="22"/>
  <c r="Q18" i="24" s="1"/>
  <c r="AI14" i="22"/>
  <c r="P29" i="24" s="1"/>
  <c r="AJ6" i="22"/>
  <c r="Q20" i="24" s="1"/>
  <c r="AJ14" i="22"/>
  <c r="Q29" i="24" s="1"/>
  <c r="AK4" i="22"/>
  <c r="R18" i="24" s="1"/>
  <c r="AJ7" i="22"/>
  <c r="Q21" i="24" s="1"/>
  <c r="AK13" i="22"/>
  <c r="R28" i="24" s="1"/>
  <c r="AI7" i="22"/>
  <c r="P21" i="24" s="1"/>
  <c r="AI3" i="22"/>
  <c r="P17" i="24" s="1"/>
  <c r="AK16" i="22"/>
  <c r="R31" i="24" s="1"/>
  <c r="AK7" i="22"/>
  <c r="R21" i="24" s="1"/>
  <c r="AJ15" i="22"/>
  <c r="Q30" i="24" s="1"/>
  <c r="AI16" i="22"/>
  <c r="P31" i="24" s="1"/>
  <c r="AK6" i="22"/>
  <c r="R20" i="24" s="1"/>
  <c r="AI12" i="22"/>
  <c r="P27" i="24" s="1"/>
  <c r="AK12" i="22"/>
  <c r="R27" i="24" s="1"/>
  <c r="AK14" i="22"/>
  <c r="R29" i="24" s="1"/>
  <c r="AK5" i="22"/>
  <c r="R19" i="24" s="1"/>
  <c r="AI15" i="22"/>
  <c r="P30" i="24" s="1"/>
  <c r="AJ12" i="22"/>
  <c r="Q27" i="24" s="1"/>
  <c r="AI4" i="22"/>
  <c r="P18" i="24" s="1"/>
  <c r="AI6" i="22"/>
  <c r="P20" i="24" s="1"/>
  <c r="AJ16" i="22"/>
  <c r="Q31" i="24" s="1"/>
  <c r="AK3" i="22"/>
  <c r="R17" i="24" s="1"/>
  <c r="AI5" i="22"/>
  <c r="P19" i="24" s="1"/>
  <c r="AJ3" i="22"/>
  <c r="Q17" i="24" s="1"/>
  <c r="AJ13" i="22"/>
  <c r="Q28" i="24" s="1"/>
  <c r="R22" i="24" l="1"/>
  <c r="R32" i="24"/>
</calcChain>
</file>

<file path=xl/sharedStrings.xml><?xml version="1.0" encoding="utf-8"?>
<sst xmlns="http://schemas.openxmlformats.org/spreadsheetml/2006/main" count="26863" uniqueCount="129">
  <si>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</si>
  <si>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</si>
  <si>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</si>
  <si>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</si>
  <si>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</si>
  <si>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</si>
  <si>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</si>
  <si>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</si>
  <si>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</si>
  <si>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</si>
  <si>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</si>
  <si>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</si>
  <si>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</si>
  <si>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</si>
  <si>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</si>
  <si>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</si>
  <si>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</si>
  <si>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</si>
  <si>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</si>
  <si>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</si>
  <si>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</si>
  <si>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</si>
  <si>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</si>
  <si>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</si>
  <si>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</si>
  <si>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</si>
  <si>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</si>
  <si>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</si>
  <si>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</si>
  <si>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</si>
  <si>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</si>
  <si>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</si>
  <si>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</si>
  <si>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</si>
  <si>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</si>
  <si>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</si>
  <si>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</si>
  <si>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</si>
  <si>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</si>
  <si>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</si>
  <si>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</si>
  <si>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</si>
  <si>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</si>
  <si>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</si>
  <si>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</si>
  <si>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</si>
  <si>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</si>
  <si>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</si>
  <si>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</si>
  <si>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</si>
  <si>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</si>
  <si>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</si>
  <si>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</si>
  <si>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</si>
  <si>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</si>
  <si>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</si>
  <si>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</si>
  <si>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</si>
  <si>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</si>
  <si>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</si>
  <si>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</si>
  <si>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</si>
  <si>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</si>
  <si>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</si>
  <si>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</si>
  <si>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</si>
  <si>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</si>
  <si>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</si>
  <si>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</si>
  <si>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</si>
  <si>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</si>
  <si>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</si>
  <si>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</si>
  <si>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</si>
  <si>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</si>
  <si>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Selection</t>
  </si>
  <si>
    <t>REGION FILTER</t>
  </si>
  <si>
    <t>DATE FILTER</t>
  </si>
  <si>
    <t>Current Year:</t>
  </si>
  <si>
    <t>Current Month:</t>
  </si>
  <si>
    <t>Previous Year:</t>
  </si>
  <si>
    <t>Previous Month:</t>
  </si>
  <si>
    <t>KPI's</t>
  </si>
  <si>
    <t>Total Revenue:</t>
  </si>
  <si>
    <t>PY Revenue:</t>
  </si>
  <si>
    <t>PM Revenue:</t>
  </si>
  <si>
    <t>PM Year:</t>
  </si>
  <si>
    <t>YoY %△:</t>
  </si>
  <si>
    <t>REVENUE TREND</t>
  </si>
  <si>
    <t>Month Num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</si>
  <si>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</si>
  <si>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</si>
  <si>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</si>
  <si>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</si>
  <si>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</si>
  <si>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</si>
  <si>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</si>
  <si>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</si>
  <si>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</si>
  <si>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</si>
  <si>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</si>
  <si>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</si>
  <si>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PERFORMANCE</t>
  </si>
  <si>
    <t>PM Revenue</t>
  </si>
  <si>
    <t>Rank</t>
  </si>
  <si>
    <t>STORE PERFORMANCE (SORTED)</t>
  </si>
  <si>
    <t>PRODUCT PERFORMANCE</t>
  </si>
  <si>
    <t>MoM △</t>
  </si>
  <si>
    <t>Product</t>
  </si>
  <si>
    <t>Rank(+)</t>
  </si>
  <si>
    <t>Rank(-)</t>
  </si>
  <si>
    <t>TOP PERFORMING PRODUCTS</t>
  </si>
  <si>
    <t>BOTTOM PERFORMING PRODUCTS</t>
  </si>
  <si>
    <t>MoM Revenue △</t>
  </si>
  <si>
    <t>How</t>
  </si>
  <si>
    <t>Current Period:</t>
  </si>
  <si>
    <t>Month #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</si>
  <si>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</si>
  <si>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</si>
  <si>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</si>
  <si>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</si>
  <si>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</si>
  <si>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</si>
  <si>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</si>
  <si>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</si>
  <si>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</si>
  <si>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</si>
  <si>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</si>
  <si>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Perfomed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</si>
</sst>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"/>
    <numFmt numFmtId="170" formatCode="_([$$-409]* #,##0_);_([$$-409]* \(#,##0\);_([$$-409]* &quot;-&quot;??_);_(@_)"/>
    <numFmt numFmtId="171" formatCode="0.0%"/>
    <numFmt numFmtId="176" formatCode="[$$-409]#,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sz val="2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0E2D7"/>
        <bgColor indexed="64"/>
      </patternFill>
    </fill>
    <fill>
      <patternFill patternType="solid">
        <fgColor rgb="FFDC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5" fillId="5" borderId="0" xfId="0" applyFont="1" applyFill="1" applyAlignment="1">
      <alignment horizontal="centerContinuous"/>
    </xf>
    <xf numFmtId="0" fontId="0" fillId="0" borderId="0" xfId="0" applyAlignment="1">
      <alignment horizontal="left"/>
    </xf>
    <xf numFmtId="170" fontId="0" fillId="0" borderId="0" xfId="1" applyNumberFormat="1" applyFont="1"/>
    <xf numFmtId="9" fontId="0" fillId="0" borderId="0" xfId="2" applyFont="1"/>
    <xf numFmtId="0" fontId="5" fillId="7" borderId="0" xfId="0" applyFont="1" applyFill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8" borderId="0" xfId="0" applyFont="1" applyFill="1"/>
    <xf numFmtId="0" fontId="0" fillId="0" borderId="0" xfId="0" applyAlignment="1">
      <alignment horizontal="right"/>
    </xf>
    <xf numFmtId="170" fontId="0" fillId="0" borderId="0" xfId="0" applyNumberFormat="1"/>
    <xf numFmtId="171" fontId="0" fillId="0" borderId="0" xfId="2" applyNumberFormat="1" applyFont="1" applyAlignment="1">
      <alignment horizontal="center" vertical="center"/>
    </xf>
    <xf numFmtId="0" fontId="7" fillId="0" borderId="0" xfId="0" applyFont="1"/>
    <xf numFmtId="176" fontId="7" fillId="0" borderId="0" xfId="0" applyNumberFormat="1" applyFont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176" fontId="7" fillId="0" borderId="1" xfId="0" applyNumberFormat="1" applyFont="1" applyBorder="1"/>
    <xf numFmtId="176" fontId="10" fillId="0" borderId="2" xfId="0" applyNumberFormat="1" applyFont="1" applyBorder="1"/>
    <xf numFmtId="176" fontId="11" fillId="0" borderId="2" xfId="0" applyNumberFormat="1" applyFont="1" applyBorder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9" fillId="9" borderId="0" xfId="0" applyFont="1" applyFill="1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12"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ill>
        <patternFill>
          <fgColor theme="9" tint="-0.24994659260841701"/>
        </patternFill>
      </fill>
    </dxf>
    <dxf>
      <fill>
        <patternFill>
          <fgColor rgb="FFFF0000"/>
        </patternFill>
      </fill>
    </dxf>
    <dxf>
      <font>
        <color theme="9" tint="-0.24994659260841701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 val="0"/>
        <i val="0"/>
        <u val="none"/>
        <color theme="0"/>
      </font>
      <fill>
        <patternFill patternType="gray0625">
          <bgColor rgb="FF92D050"/>
        </patternFill>
      </fill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E4542"/>
      <color rgb="FFFF0000"/>
      <color rgb="FF000000"/>
      <color rgb="FFDCFFFF"/>
      <color rgb="FF20E2D7"/>
      <color rgb="FFFF6565"/>
      <color rgb="FFF98386"/>
      <color rgb="FFF9777A"/>
      <color rgb="FFFF4343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83955197089724"/>
          <c:y val="4.4176706827309238E-2"/>
          <c:w val="0.69547279994256039"/>
          <c:h val="0.75456503178066592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Prep'!$I$3:$I$14</c:f>
              <c:numCache>
                <c:formatCode>_([$$-409]* #,##0_);_([$$-409]* \(#,##0\);_([$$-409]* "-"??_);_(@_)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0B-714F-A7C5-067F7ACCF40E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Prep'!$J$3:$J$14</c:f>
              <c:numCache>
                <c:formatCode>_([$$-409]* #,##0_);_([$$-409]* \(#,##0\);_([$$-409]* "-"??_);_(@_)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0B-714F-A7C5-067F7ACCF40E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Prep'!$K$3:$K$14</c:f>
              <c:numCache>
                <c:formatCode>_([$$-409]* #,##0_);_([$$-409]* \(#,##0\);_([$$-409]* "-"??_);_(@_)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B-714F-A7C5-067F7ACCF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987872"/>
        <c:axId val="372646063"/>
      </c:lineChart>
      <c:catAx>
        <c:axId val="123698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46063"/>
        <c:crosses val="autoZero"/>
        <c:auto val="1"/>
        <c:lblAlgn val="ctr"/>
        <c:lblOffset val="100"/>
        <c:noMultiLvlLbl val="0"/>
      </c:catAx>
      <c:valAx>
        <c:axId val="372646063"/>
        <c:scaling>
          <c:orientation val="minMax"/>
          <c:max val="12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Revenue</a:t>
                </a:r>
              </a:p>
            </c:rich>
          </c:tx>
          <c:layout>
            <c:manualLayout>
              <c:xMode val="edge"/>
              <c:yMode val="edge"/>
              <c:x val="4.0136897781394343E-2"/>
              <c:y val="0.34514404072984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8787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_([$$-409]* #,##0_);_([$$-409]* \(#,##0\);_([$$-409]* "-"??_);_(@_)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D-6543-8651-36C3C8990B29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\$#,##0;;" sourceLinked="0"/>
            <c:spPr>
              <a:solidFill>
                <a:schemeClr val="bg1">
                  <a:alpha val="12125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Prep'!$X$3:$X$12</c:f>
              <c:numCache>
                <c:formatCode>_([$$-409]* #,##0_);_([$$-409]* \(#,##0\);_([$$-409]* "-"??_);_(@_)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D-6543-8651-36C3C899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100"/>
        <c:axId val="2025427184"/>
        <c:axId val="2025793632"/>
      </c:barChart>
      <c:catAx>
        <c:axId val="202542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93632"/>
        <c:crosses val="autoZero"/>
        <c:auto val="1"/>
        <c:lblAlgn val="ctr"/>
        <c:lblOffset val="100"/>
        <c:noMultiLvlLbl val="0"/>
      </c:catAx>
      <c:valAx>
        <c:axId val="20257936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Revenue</a:t>
                </a:r>
              </a:p>
            </c:rich>
          </c:tx>
          <c:layout>
            <c:manualLayout>
              <c:xMode val="edge"/>
              <c:yMode val="edge"/>
              <c:x val="0.29039682262682226"/>
              <c:y val="0.94693974970741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??_);_(@_)" sourceLinked="1"/>
        <c:majorTickMark val="out"/>
        <c:minorTickMark val="none"/>
        <c:tickLblPos val="nextTo"/>
        <c:crossAx val="202542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04653110486347E-2"/>
          <c:y val="2.2727272727272728E-2"/>
          <c:w val="0.91869535591323537"/>
          <c:h val="0.923130083946118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△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4-D944-B551-55E959F11B76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D54-D944-B551-55E959F11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100"/>
        <c:axId val="2025427184"/>
        <c:axId val="2025793632"/>
      </c:barChart>
      <c:catAx>
        <c:axId val="202542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93632"/>
        <c:crosses val="autoZero"/>
        <c:auto val="1"/>
        <c:lblAlgn val="ctr"/>
        <c:lblOffset val="100"/>
        <c:noMultiLvlLbl val="0"/>
      </c:catAx>
      <c:valAx>
        <c:axId val="20257936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MoM %△</a:t>
                </a:r>
              </a:p>
            </c:rich>
          </c:tx>
          <c:layout>
            <c:manualLayout>
              <c:xMode val="edge"/>
              <c:yMode val="edge"/>
              <c:x val="0.40406901601606965"/>
              <c:y val="0.95171276111147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202542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18</xdr:row>
      <xdr:rowOff>88900</xdr:rowOff>
    </xdr:from>
    <xdr:to>
      <xdr:col>2</xdr:col>
      <xdr:colOff>1130300</xdr:colOff>
      <xdr:row>20</xdr:row>
      <xdr:rowOff>25400</xdr:rowOff>
    </xdr:to>
    <xdr:sp macro="" textlink="'Data Prep'!$E$6">
      <xdr:nvSpPr>
        <xdr:cNvPr id="37" name="TextBox 36">
          <a:extLst>
            <a:ext uri="{FF2B5EF4-FFF2-40B4-BE49-F238E27FC236}">
              <a16:creationId xmlns:a16="http://schemas.microsoft.com/office/drawing/2014/main" id="{4727C698-0901-295E-44AF-28AA3D41E437}"/>
            </a:ext>
          </a:extLst>
        </xdr:cNvPr>
        <xdr:cNvSpPr txBox="1"/>
      </xdr:nvSpPr>
      <xdr:spPr>
        <a:xfrm>
          <a:off x="812800" y="3873500"/>
          <a:ext cx="1371600" cy="622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4EEB24B-2559-1C46-930D-F357FD758D59}" type="TxLink">
            <a:rPr lang="en-US" sz="3200" b="1" i="0" u="none" strike="noStrike">
              <a:solidFill>
                <a:srgbClr val="000000"/>
              </a:solidFill>
              <a:latin typeface="Calibri"/>
              <a:cs typeface="Calibri"/>
            </a:rPr>
            <a:t>6.7%</a:t>
          </a:fld>
          <a:endParaRPr lang="en-GB" sz="3200" b="1"/>
        </a:p>
      </xdr:txBody>
    </xdr:sp>
    <xdr:clientData/>
  </xdr:twoCellAnchor>
  <xdr:twoCellAnchor>
    <xdr:from>
      <xdr:col>2</xdr:col>
      <xdr:colOff>1485900</xdr:colOff>
      <xdr:row>18</xdr:row>
      <xdr:rowOff>50800</xdr:rowOff>
    </xdr:from>
    <xdr:to>
      <xdr:col>3</xdr:col>
      <xdr:colOff>1257300</xdr:colOff>
      <xdr:row>19</xdr:row>
      <xdr:rowOff>330200</xdr:rowOff>
    </xdr:to>
    <xdr:sp macro="" textlink="'Data Prep'!$E$5">
      <xdr:nvSpPr>
        <xdr:cNvPr id="38" name="TextBox 37">
          <a:extLst>
            <a:ext uri="{FF2B5EF4-FFF2-40B4-BE49-F238E27FC236}">
              <a16:creationId xmlns:a16="http://schemas.microsoft.com/office/drawing/2014/main" id="{E5DDAC04-FB5D-12F3-8CE6-A420A7D4944D}"/>
            </a:ext>
          </a:extLst>
        </xdr:cNvPr>
        <xdr:cNvSpPr txBox="1"/>
      </xdr:nvSpPr>
      <xdr:spPr>
        <a:xfrm>
          <a:off x="2540000" y="3835400"/>
          <a:ext cx="1371600" cy="622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36ECEF8-A771-124C-BFB2-6FB24F67A654}" type="TxLink">
            <a:rPr lang="en-US" sz="3200" b="1" i="0" u="none" strike="noStrike">
              <a:solidFill>
                <a:srgbClr val="000000"/>
              </a:solidFill>
              <a:latin typeface="Calibri"/>
              <a:cs typeface="Calibri"/>
            </a:rPr>
            <a:t>26.3%</a:t>
          </a:fld>
          <a:endParaRPr lang="en-GB" sz="7200" b="1"/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7</xdr:col>
      <xdr:colOff>533400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B22D1A-FDE0-49BD-B00A-E6121A7B4CC0}"/>
            </a:ext>
          </a:extLst>
        </xdr:cNvPr>
        <xdr:cNvSpPr txBox="1"/>
      </xdr:nvSpPr>
      <xdr:spPr>
        <a:xfrm>
          <a:off x="190500" y="190500"/>
          <a:ext cx="7505700" cy="673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600" b="1"/>
            <a:t>REGINAL REVENUE </a:t>
          </a:r>
          <a:r>
            <a:rPr lang="en-GB" sz="4000" b="1"/>
            <a:t>DASHBOARD</a:t>
          </a:r>
        </a:p>
      </xdr:txBody>
    </xdr:sp>
    <xdr:clientData/>
  </xdr:twoCellAnchor>
  <xdr:twoCellAnchor editAs="absolute">
    <xdr:from>
      <xdr:col>1</xdr:col>
      <xdr:colOff>152400</xdr:colOff>
      <xdr:row>8</xdr:row>
      <xdr:rowOff>127000</xdr:rowOff>
    </xdr:from>
    <xdr:to>
      <xdr:col>18</xdr:col>
      <xdr:colOff>63500</xdr:colOff>
      <xdr:row>8</xdr:row>
      <xdr:rowOff>127000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A7823CF-1EC8-89F3-8FE0-E85846796342}"/>
            </a:ext>
          </a:extLst>
        </xdr:cNvPr>
        <xdr:cNvCxnSpPr/>
      </xdr:nvCxnSpPr>
      <xdr:spPr>
        <a:xfrm>
          <a:off x="342900" y="1549400"/>
          <a:ext cx="17399000" cy="0"/>
        </a:xfrm>
        <a:prstGeom prst="line">
          <a:avLst/>
        </a:prstGeom>
        <a:ln w="9525">
          <a:solidFill>
            <a:schemeClr val="bg1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25400</xdr:colOff>
      <xdr:row>11</xdr:row>
      <xdr:rowOff>25400</xdr:rowOff>
    </xdr:from>
    <xdr:to>
      <xdr:col>3</xdr:col>
      <xdr:colOff>1549400</xdr:colOff>
      <xdr:row>13</xdr:row>
      <xdr:rowOff>88900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639FD92-4AF1-9B41-68CA-67F253353C63}"/>
            </a:ext>
          </a:extLst>
        </xdr:cNvPr>
        <xdr:cNvSpPr txBox="1"/>
      </xdr:nvSpPr>
      <xdr:spPr>
        <a:xfrm>
          <a:off x="215900" y="2019300"/>
          <a:ext cx="39878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/>
            <a:t>Total</a:t>
          </a:r>
          <a:r>
            <a:rPr lang="en-GB" sz="1600" b="1" baseline="0"/>
            <a:t> </a:t>
          </a:r>
          <a:r>
            <a:rPr lang="en-GB" sz="1600" b="1" baseline="0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GB" sz="1600" b="1" baseline="0"/>
            <a:t> we drove in:</a:t>
          </a:r>
          <a:endParaRPr lang="en-GB" sz="1600" b="1"/>
        </a:p>
      </xdr:txBody>
    </xdr:sp>
    <xdr:clientData/>
  </xdr:twoCellAnchor>
  <xdr:twoCellAnchor editAs="absolute">
    <xdr:from>
      <xdr:col>0</xdr:col>
      <xdr:colOff>116106</xdr:colOff>
      <xdr:row>20</xdr:row>
      <xdr:rowOff>12700</xdr:rowOff>
    </xdr:from>
    <xdr:to>
      <xdr:col>2</xdr:col>
      <xdr:colOff>979706</xdr:colOff>
      <xdr:row>21</xdr:row>
      <xdr:rowOff>114300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6D38C77-7047-9D0F-D2EF-312461C819B7}"/>
            </a:ext>
          </a:extLst>
        </xdr:cNvPr>
        <xdr:cNvSpPr txBox="1"/>
      </xdr:nvSpPr>
      <xdr:spPr>
        <a:xfrm>
          <a:off x="116106" y="4483100"/>
          <a:ext cx="19177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/>
            <a:t>vs Last Month</a:t>
          </a:r>
        </a:p>
      </xdr:txBody>
    </xdr:sp>
    <xdr:clientData/>
  </xdr:twoCellAnchor>
  <xdr:twoCellAnchor editAs="absolute">
    <xdr:from>
      <xdr:col>2</xdr:col>
      <xdr:colOff>1271008</xdr:colOff>
      <xdr:row>19</xdr:row>
      <xdr:rowOff>330200</xdr:rowOff>
    </xdr:from>
    <xdr:to>
      <xdr:col>3</xdr:col>
      <xdr:colOff>1588508</xdr:colOff>
      <xdr:row>21</xdr:row>
      <xdr:rowOff>165100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EBBD58-9F7A-7223-ADEE-F8B333DD1C58}"/>
            </a:ext>
          </a:extLst>
        </xdr:cNvPr>
        <xdr:cNvSpPr txBox="1"/>
      </xdr:nvSpPr>
      <xdr:spPr>
        <a:xfrm>
          <a:off x="2325108" y="4457700"/>
          <a:ext cx="1917700" cy="520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/>
            <a:t>vs Last Year</a:t>
          </a:r>
        </a:p>
      </xdr:txBody>
    </xdr:sp>
    <xdr:clientData/>
  </xdr:twoCellAnchor>
  <xdr:twoCellAnchor editAs="absolute">
    <xdr:from>
      <xdr:col>5</xdr:col>
      <xdr:colOff>101600</xdr:colOff>
      <xdr:row>11</xdr:row>
      <xdr:rowOff>127000</xdr:rowOff>
    </xdr:from>
    <xdr:to>
      <xdr:col>13</xdr:col>
      <xdr:colOff>114300</xdr:colOff>
      <xdr:row>14</xdr:row>
      <xdr:rowOff>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944C08F-63E8-9880-2728-B97B2B648314}"/>
            </a:ext>
          </a:extLst>
        </xdr:cNvPr>
        <xdr:cNvSpPr txBox="1"/>
      </xdr:nvSpPr>
      <xdr:spPr>
        <a:xfrm>
          <a:off x="5905500" y="2120900"/>
          <a:ext cx="58801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/>
            <a:t>Store</a:t>
          </a:r>
          <a:r>
            <a:rPr lang="en-GB" sz="1600" b="1" baseline="0"/>
            <a:t> </a:t>
          </a:r>
          <a:r>
            <a:rPr lang="en-GB" sz="1600" b="1" baseline="0">
              <a:solidFill>
                <a:schemeClr val="accent1"/>
              </a:solidFill>
            </a:rPr>
            <a:t>rank</a:t>
          </a:r>
          <a:r>
            <a:rPr lang="en-GB" sz="1600" b="1" baseline="0"/>
            <a:t> compared to </a:t>
          </a:r>
          <a:r>
            <a:rPr lang="en-GB" sz="1600" b="1" baseline="0">
              <a:solidFill>
                <a:schemeClr val="accent3"/>
              </a:solidFill>
            </a:rPr>
            <a:t>other regions</a:t>
          </a:r>
          <a:endParaRPr lang="en-GB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</xdr:col>
      <xdr:colOff>127000</xdr:colOff>
      <xdr:row>22</xdr:row>
      <xdr:rowOff>127000</xdr:rowOff>
    </xdr:from>
    <xdr:to>
      <xdr:col>3</xdr:col>
      <xdr:colOff>1397000</xdr:colOff>
      <xdr:row>23</xdr:row>
      <xdr:rowOff>228600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DF6E2AE-3388-98CD-D999-95F070EA0F31}"/>
            </a:ext>
          </a:extLst>
        </xdr:cNvPr>
        <xdr:cNvSpPr txBox="1"/>
      </xdr:nvSpPr>
      <xdr:spPr>
        <a:xfrm>
          <a:off x="317500" y="5283200"/>
          <a:ext cx="37338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/>
            <a:t>Revenue</a:t>
          </a:r>
          <a:r>
            <a:rPr lang="en-GB" sz="1600" b="1" baseline="0"/>
            <a:t> trend in </a:t>
          </a:r>
          <a:r>
            <a:rPr lang="en-GB" sz="1600" b="1" baseline="0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GB" sz="1600" b="1" baseline="0"/>
            <a:t> vs </a:t>
          </a:r>
          <a:r>
            <a:rPr lang="en-GB" sz="1600" b="1" baseline="0">
              <a:solidFill>
                <a:schemeClr val="accent3"/>
              </a:solidFill>
            </a:rPr>
            <a:t>2020</a:t>
          </a:r>
          <a:endParaRPr lang="en-GB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15</xdr:col>
      <xdr:colOff>304800</xdr:colOff>
      <xdr:row>12</xdr:row>
      <xdr:rowOff>0</xdr:rowOff>
    </xdr:from>
    <xdr:to>
      <xdr:col>17</xdr:col>
      <xdr:colOff>1016000</xdr:colOff>
      <xdr:row>14</xdr:row>
      <xdr:rowOff>63500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AA5602E-FE51-292A-8560-7911D4637C92}"/>
            </a:ext>
          </a:extLst>
        </xdr:cNvPr>
        <xdr:cNvSpPr txBox="1"/>
      </xdr:nvSpPr>
      <xdr:spPr>
        <a:xfrm>
          <a:off x="13335000" y="2184400"/>
          <a:ext cx="35814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/>
            <a:t>Top</a:t>
          </a:r>
          <a:r>
            <a:rPr lang="en-GB" sz="1600" b="1" baseline="0"/>
            <a:t> products that </a:t>
          </a:r>
          <a:r>
            <a:rPr lang="en-GB" sz="1600" b="1" baseline="0">
              <a:solidFill>
                <a:schemeClr val="accent6"/>
              </a:solidFill>
            </a:rPr>
            <a:t>drove growth</a:t>
          </a:r>
          <a:r>
            <a:rPr lang="en-GB" sz="1600" b="1" baseline="0"/>
            <a:t>:</a:t>
          </a:r>
          <a:endParaRPr lang="en-GB" sz="1600" b="1"/>
        </a:p>
      </xdr:txBody>
    </xdr:sp>
    <xdr:clientData/>
  </xdr:twoCellAnchor>
  <xdr:twoCellAnchor editAs="absolute">
    <xdr:from>
      <xdr:col>15</xdr:col>
      <xdr:colOff>482600</xdr:colOff>
      <xdr:row>23</xdr:row>
      <xdr:rowOff>279400</xdr:rowOff>
    </xdr:from>
    <xdr:to>
      <xdr:col>17</xdr:col>
      <xdr:colOff>901700</xdr:colOff>
      <xdr:row>24</xdr:row>
      <xdr:rowOff>254000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9940BEA-BA5F-A748-C131-40DCC3DC239D}"/>
            </a:ext>
          </a:extLst>
        </xdr:cNvPr>
        <xdr:cNvSpPr txBox="1"/>
      </xdr:nvSpPr>
      <xdr:spPr>
        <a:xfrm>
          <a:off x="13512800" y="5778500"/>
          <a:ext cx="32893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/>
            <a:t>Bottom</a:t>
          </a:r>
          <a:r>
            <a:rPr lang="en-GB" sz="1600" b="1" baseline="0"/>
            <a:t> products that </a:t>
          </a:r>
          <a:r>
            <a:rPr lang="en-GB" sz="1600" b="1" baseline="0">
              <a:solidFill>
                <a:srgbClr val="FF0000"/>
              </a:solidFill>
            </a:rPr>
            <a:t>caused losses</a:t>
          </a:r>
          <a:r>
            <a:rPr lang="en-GB" sz="1600" b="1" baseline="0"/>
            <a:t>:</a:t>
          </a:r>
          <a:endParaRPr lang="en-GB" sz="1600" b="1"/>
        </a:p>
      </xdr:txBody>
    </xdr:sp>
    <xdr:clientData/>
  </xdr:twoCellAnchor>
  <xdr:twoCellAnchor editAs="absolute">
    <xdr:from>
      <xdr:col>0</xdr:col>
      <xdr:colOff>165100</xdr:colOff>
      <xdr:row>23</xdr:row>
      <xdr:rowOff>241300</xdr:rowOff>
    </xdr:from>
    <xdr:to>
      <xdr:col>3</xdr:col>
      <xdr:colOff>1600200</xdr:colOff>
      <xdr:row>32</xdr:row>
      <xdr:rowOff>254000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7DC55CE-868B-0DFD-EDB3-B22FB84D72F7}"/>
            </a:ext>
          </a:extLst>
        </xdr:cNvPr>
        <xdr:cNvSpPr/>
      </xdr:nvSpPr>
      <xdr:spPr>
        <a:xfrm>
          <a:off x="165100" y="5740400"/>
          <a:ext cx="4089400" cy="313690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44450</xdr:colOff>
      <xdr:row>14</xdr:row>
      <xdr:rowOff>63500</xdr:rowOff>
    </xdr:from>
    <xdr:to>
      <xdr:col>3</xdr:col>
      <xdr:colOff>1517650</xdr:colOff>
      <xdr:row>17</xdr:row>
      <xdr:rowOff>275771</xdr:rowOff>
    </xdr:to>
    <xdr:sp macro="" textlink="'Data Prep'!E2">
      <xdr:nvSpPr>
        <xdr:cNvPr id="24" name="TextBox 23">
          <a:extLst>
            <a:ext uri="{FF2B5EF4-FFF2-40B4-BE49-F238E27FC236}">
              <a16:creationId xmlns:a16="http://schemas.microsoft.com/office/drawing/2014/main" id="{91B39123-F579-8A4E-BFA8-8048EE16E1A4}"/>
            </a:ext>
          </a:extLst>
        </xdr:cNvPr>
        <xdr:cNvSpPr txBox="1"/>
      </xdr:nvSpPr>
      <xdr:spPr>
        <a:xfrm>
          <a:off x="234950" y="2628900"/>
          <a:ext cx="3949700" cy="1143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8E28A312-EA28-0541-A2D7-CEFDCD62207E}" type="TxLink">
            <a:rPr lang="en-US" sz="8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 $44,041 </a:t>
          </a:fld>
          <a:endParaRPr lang="en-GB" sz="239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254000</xdr:colOff>
      <xdr:row>18</xdr:row>
      <xdr:rowOff>114300</xdr:rowOff>
    </xdr:from>
    <xdr:to>
      <xdr:col>3</xdr:col>
      <xdr:colOff>1371600</xdr:colOff>
      <xdr:row>18</xdr:row>
      <xdr:rowOff>127000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8B8F3FB1-EF00-E9BA-3B07-0E3B1522ACDC}"/>
            </a:ext>
          </a:extLst>
        </xdr:cNvPr>
        <xdr:cNvCxnSpPr/>
      </xdr:nvCxnSpPr>
      <xdr:spPr>
        <a:xfrm>
          <a:off x="444500" y="3898900"/>
          <a:ext cx="3581400" cy="127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1181100</xdr:colOff>
      <xdr:row>18</xdr:row>
      <xdr:rowOff>114300</xdr:rowOff>
    </xdr:from>
    <xdr:to>
      <xdr:col>2</xdr:col>
      <xdr:colOff>1181100</xdr:colOff>
      <xdr:row>21</xdr:row>
      <xdr:rowOff>88900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B6B1706-3098-88EA-F94B-6F75BCA1D412}"/>
            </a:ext>
          </a:extLst>
        </xdr:cNvPr>
        <xdr:cNvCxnSpPr/>
      </xdr:nvCxnSpPr>
      <xdr:spPr>
        <a:xfrm>
          <a:off x="2235200" y="3898900"/>
          <a:ext cx="0" cy="10033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152400</xdr:colOff>
      <xdr:row>23</xdr:row>
      <xdr:rowOff>228600</xdr:rowOff>
    </xdr:from>
    <xdr:to>
      <xdr:col>3</xdr:col>
      <xdr:colOff>1676400</xdr:colOff>
      <xdr:row>32</xdr:row>
      <xdr:rowOff>266700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111C5D6-843D-5D4E-8BAC-962F71F5D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1054100</xdr:colOff>
      <xdr:row>13</xdr:row>
      <xdr:rowOff>152400</xdr:rowOff>
    </xdr:from>
    <xdr:to>
      <xdr:col>11</xdr:col>
      <xdr:colOff>9434</xdr:colOff>
      <xdr:row>32</xdr:row>
      <xdr:rowOff>128489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AE13639-2057-E347-8D1E-1DF3B1875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9</xdr:col>
      <xdr:colOff>361951</xdr:colOff>
      <xdr:row>14</xdr:row>
      <xdr:rowOff>0</xdr:rowOff>
    </xdr:from>
    <xdr:to>
      <xdr:col>13</xdr:col>
      <xdr:colOff>482600</xdr:colOff>
      <xdr:row>32</xdr:row>
      <xdr:rowOff>101600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1148F6-F3D4-EC4A-ADE7-CEF473AC9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698500</xdr:colOff>
      <xdr:row>1</xdr:row>
      <xdr:rowOff>127000</xdr:rowOff>
    </xdr:from>
    <xdr:to>
      <xdr:col>17</xdr:col>
      <xdr:colOff>1689100</xdr:colOff>
      <xdr:row>7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3404318-200C-BAF0-2497-F5DD697D8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0" y="317500"/>
          <a:ext cx="2425700" cy="914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2D262F-7F2C-0342-B83B-C1A8355E5CBA}" name="Data" displayName="Data" ref="A1:J4795" totalsRowShown="0" headerRowDxfId="11">
  <autoFilter ref="A1:J4795" xr:uid="{D42D262F-7F2C-0342-B83B-C1A8355E5CBA}"/>
  <tableColumns count="10">
    <tableColumn id="1" xr3:uid="{1AEA5B5D-B381-B046-9E3E-45E847276B22}" name="Year"/>
    <tableColumn id="2" xr3:uid="{358ACBC1-831A-504A-A045-D8C9DB14B399}" name="Month"/>
    <tableColumn id="3" xr3:uid="{BA45BCF4-6F76-A245-BCDC-12C134A277C1}" name="Store Name"/>
    <tableColumn id="4" xr3:uid="{12F500FE-47DE-0B4A-8CF8-75EF0FFD5C8F}" name="Region"/>
    <tableColumn id="5" xr3:uid="{E4DCB45C-0D35-194A-B1A4-131745C79228}" name="Store Type"/>
    <tableColumn id="6" xr3:uid="{61E326A1-E2B6-754E-AF1D-5A2527DB39CC}" name="Product Name"/>
    <tableColumn id="7" xr3:uid="{C9C05915-5307-0A46-AC76-E7CB22D44A4C}" name="Product Category"/>
    <tableColumn id="8" xr3:uid="{9B522B4C-9373-0E4A-B011-8A7F6631266F}" name="Units Sold"/>
    <tableColumn id="9" xr3:uid="{7262B304-A195-BF40-BE6A-91434B5DC2F4}" name="Revenue" dataDxfId="10"/>
    <tableColumn id="10" xr3:uid="{863F1287-27E8-544F-9698-E10A30875BE1}" name="Profit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zoomScaleNormal="100" workbookViewId="0"/>
  </sheetViews>
  <sheetFormatPr baseColWidth="10" defaultColWidth="8.83203125" defaultRowHeight="15" x14ac:dyDescent="0.2"/>
  <cols>
    <col min="1" max="1" width="7.1640625" customWidth="1"/>
    <col min="2" max="2" width="9.1640625" customWidth="1"/>
    <col min="3" max="3" width="14.33203125" customWidth="1"/>
    <col min="4" max="4" width="15" customWidth="1"/>
    <col min="5" max="5" width="16.33203125" customWidth="1"/>
    <col min="6" max="6" width="20.5" bestFit="1" customWidth="1"/>
    <col min="7" max="7" width="18.83203125" customWidth="1"/>
    <col min="8" max="8" width="12.1640625" customWidth="1"/>
    <col min="9" max="9" width="11" customWidth="1"/>
    <col min="12" max="13" width="11.5" bestFit="1" customWidth="1"/>
    <col min="16" max="16" width="15.5" bestFit="1" customWidth="1"/>
    <col min="18" max="18" width="18.33203125" bestFit="1" customWidth="1"/>
    <col min="27" max="27" width="14.33203125" customWidth="1"/>
    <col min="28" max="28" width="11.5" customWidth="1"/>
    <col min="32" max="33" width="14.33203125" customWidth="1"/>
    <col min="34" max="34" width="11.5" customWidth="1"/>
    <col min="37" max="37" width="12.33203125" bestFit="1" customWidth="1"/>
    <col min="38" max="38" width="17.6640625" bestFit="1" customWidth="1"/>
    <col min="48" max="49" width="14.33203125" customWidth="1"/>
    <col min="50" max="50" width="17.5" bestFit="1" customWidth="1"/>
    <col min="51" max="51" width="11.5" customWidth="1"/>
  </cols>
  <sheetData>
    <row r="1" spans="1:51" x14ac:dyDescent="0.2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>_xlfn.XLOOKUP(AW3,C:C,D:D)</f>
        <v>Los Angeles</v>
      </c>
      <c r="AW3" t="s">
        <v>56</v>
      </c>
      <c r="AX3" t="s">
        <v>14</v>
      </c>
      <c r="AY3" s="3">
        <f>SUMIFS(I:I,D:D,_xlfn.SINGLE(Region),C:C,AW3,G:G,AX3,A:A,_xlfn.SINGLE(CurYear),B:B,_xlfn.SINGLE(CurMonth))</f>
        <v>4004.3199999999997</v>
      </c>
    </row>
    <row r="4" spans="1:51" x14ac:dyDescent="0.2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>_xlfn.XLOOKUP(AW4,C:C,D:D)</f>
        <v>Los Angeles</v>
      </c>
      <c r="AW4" t="s">
        <v>56</v>
      </c>
      <c r="AX4" t="s">
        <v>9</v>
      </c>
      <c r="AY4" s="3">
        <f>SUMIFS(I:I,D:D,_xlfn.SINGLE(Region),C:C,AW4,G:G,AX4,A:A,_xlfn.SINGLE(CurYear),B:B,_xlfn.SINGLE(CurMonth))</f>
        <v>1343.6100000000001</v>
      </c>
    </row>
    <row r="5" spans="1:51" x14ac:dyDescent="0.2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>_xlfn.XLOOKUP(AW5,C:C,D:D)</f>
        <v>Los Angeles</v>
      </c>
      <c r="AW5" t="s">
        <v>56</v>
      </c>
      <c r="AX5" t="s">
        <v>21</v>
      </c>
      <c r="AY5" s="3">
        <f>SUMIFS(I:I,D:D,_xlfn.SINGLE(Region),C:C,AW5,G:G,AX5,A:A,_xlfn.SINGLE(CurYear),B:B,_xlfn.SINGLE(CurMonth))</f>
        <v>2989.38</v>
      </c>
    </row>
    <row r="6" spans="1:51" x14ac:dyDescent="0.2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>_xlfn.XLOOKUP(AW6,C:C,D:D)</f>
        <v>Los Angeles</v>
      </c>
      <c r="AW6" t="s">
        <v>56</v>
      </c>
      <c r="AX6" t="s">
        <v>7</v>
      </c>
      <c r="AY6" s="3">
        <f>SUMIFS(I:I,D:D,_xlfn.SINGLE(Region),C:C,AW6,G:G,AX6,A:A,_xlfn.SINGLE(CurYear),B:B,_xlfn.SINGLE(CurMonth))</f>
        <v>2509.21</v>
      </c>
    </row>
    <row r="7" spans="1:51" x14ac:dyDescent="0.2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>_xlfn.XLOOKUP(AW7,C:C,D:D)</f>
        <v>Los Angeles</v>
      </c>
      <c r="AW7" t="s">
        <v>56</v>
      </c>
      <c r="AX7" t="s">
        <v>12</v>
      </c>
      <c r="AY7" s="3">
        <f>SUMIFS(I:I,D:D,_xlfn.SINGLE(Region),C:C,AW7,G:G,AX7,A:A,_xlfn.SINGLE(CurYear),B:B,_xlfn.SINGLE(CurMonth))</f>
        <v>4919.3100000000004</v>
      </c>
    </row>
    <row r="8" spans="1:51" x14ac:dyDescent="0.2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>_xlfn.XLOOKUP(AW8,C:C,D:D)</f>
        <v>New York</v>
      </c>
      <c r="AW8" t="s">
        <v>58</v>
      </c>
      <c r="AX8" t="s">
        <v>14</v>
      </c>
      <c r="AY8" s="3">
        <f>SUMIFS(I:I,D:D,_xlfn.SINGLE(Region),C:C,AW8,G:G,AX8,A:A,_xlfn.SINGLE(CurYear),B:B,_xlfn.SINGLE(CurMonth))</f>
        <v>0</v>
      </c>
    </row>
    <row r="9" spans="1:51" x14ac:dyDescent="0.2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>_xlfn.XLOOKUP(AW9,C:C,D:D)</f>
        <v>New York</v>
      </c>
      <c r="AW9" t="s">
        <v>58</v>
      </c>
      <c r="AX9" t="s">
        <v>9</v>
      </c>
      <c r="AY9" s="3">
        <f>SUMIFS(I:I,D:D,_xlfn.SINGLE(Region),C:C,AW9,G:G,AX9,A:A,_xlfn.SINGLE(CurYear),B:B,_xlfn.SINGLE(CurMonth))</f>
        <v>0</v>
      </c>
    </row>
    <row r="10" spans="1:51" x14ac:dyDescent="0.2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>_xlfn.XLOOKUP(AW10,C:C,D:D)</f>
        <v>New York</v>
      </c>
      <c r="AW10" t="s">
        <v>58</v>
      </c>
      <c r="AX10" t="s">
        <v>21</v>
      </c>
      <c r="AY10" s="3">
        <f>SUMIFS(I:I,D:D,_xlfn.SINGLE(Region),C:C,AW10,G:G,AX10,A:A,_xlfn.SINGLE(CurYear),B:B,_xlfn.SINGLE(CurMonth))</f>
        <v>0</v>
      </c>
    </row>
    <row r="11" spans="1:51" x14ac:dyDescent="0.2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>_xlfn.XLOOKUP(AW11,C:C,D:D)</f>
        <v>New York</v>
      </c>
      <c r="AW11" t="s">
        <v>58</v>
      </c>
      <c r="AX11" t="s">
        <v>7</v>
      </c>
      <c r="AY11" s="3">
        <f>SUMIFS(I:I,D:D,_xlfn.SINGLE(Region),C:C,AW11,G:G,AX11,A:A,_xlfn.SINGLE(CurYear),B:B,_xlfn.SINGLE(CurMonth))</f>
        <v>0</v>
      </c>
    </row>
    <row r="12" spans="1:51" x14ac:dyDescent="0.2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>_xlfn.XLOOKUP(AW12,C:C,D:D)</f>
        <v>New York</v>
      </c>
      <c r="AW12" t="s">
        <v>58</v>
      </c>
      <c r="AX12" t="s">
        <v>12</v>
      </c>
      <c r="AY12" s="3">
        <f>SUMIFS(I:I,D:D,_xlfn.SINGLE(Region),C:C,AW12,G:G,AX12,A:A,_xlfn.SINGLE(CurYear),B:B,_xlfn.SINGLE(CurMonth))</f>
        <v>0</v>
      </c>
    </row>
    <row r="13" spans="1:51" x14ac:dyDescent="0.2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>_xlfn.XLOOKUP(AW13,C:C,D:D)</f>
        <v>Los Angeles</v>
      </c>
      <c r="AW13" t="s">
        <v>59</v>
      </c>
      <c r="AX13" t="s">
        <v>14</v>
      </c>
      <c r="AY13" s="3">
        <f>SUMIFS(I:I,D:D,_xlfn.SINGLE(Region),C:C,AW13,G:G,AX13,A:A,_xlfn.SINGLE(CurYear),B:B,_xlfn.SINGLE(CurMonth))</f>
        <v>3117.4900000000002</v>
      </c>
    </row>
    <row r="14" spans="1:51" x14ac:dyDescent="0.2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>_xlfn.XLOOKUP(AW14,C:C,D:D)</f>
        <v>Los Angeles</v>
      </c>
      <c r="AW14" t="s">
        <v>59</v>
      </c>
      <c r="AX14" t="s">
        <v>9</v>
      </c>
      <c r="AY14" s="3">
        <f>SUMIFS(I:I,D:D,_xlfn.SINGLE(Region),C:C,AW14,G:G,AX14,A:A,_xlfn.SINGLE(CurYear),B:B,_xlfn.SINGLE(CurMonth))</f>
        <v>1624.23</v>
      </c>
    </row>
    <row r="15" spans="1:51" x14ac:dyDescent="0.2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>_xlfn.XLOOKUP(AW15,C:C,D:D)</f>
        <v>Los Angeles</v>
      </c>
      <c r="AW15" t="s">
        <v>59</v>
      </c>
      <c r="AX15" t="s">
        <v>21</v>
      </c>
      <c r="AY15" s="3">
        <f>SUMIFS(I:I,D:D,_xlfn.SINGLE(Region),C:C,AW15,G:G,AX15,A:A,_xlfn.SINGLE(CurYear),B:B,_xlfn.SINGLE(CurMonth))</f>
        <v>650.57000000000005</v>
      </c>
    </row>
    <row r="16" spans="1:51" x14ac:dyDescent="0.2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>_xlfn.XLOOKUP(AW16,C:C,D:D)</f>
        <v>Los Angeles</v>
      </c>
      <c r="AW16" t="s">
        <v>59</v>
      </c>
      <c r="AX16" t="s">
        <v>7</v>
      </c>
      <c r="AY16" s="3">
        <f>SUMIFS(I:I,D:D,_xlfn.SINGLE(Region),C:C,AW16,G:G,AX16,A:A,_xlfn.SINGLE(CurYear),B:B,_xlfn.SINGLE(CurMonth))</f>
        <v>1062.1399999999999</v>
      </c>
    </row>
    <row r="17" spans="1:51" x14ac:dyDescent="0.2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>_xlfn.XLOOKUP(AW17,C:C,D:D)</f>
        <v>Los Angeles</v>
      </c>
      <c r="AW17" t="s">
        <v>59</v>
      </c>
      <c r="AX17" t="s">
        <v>12</v>
      </c>
      <c r="AY17" s="3">
        <f>SUMIFS(I:I,D:D,_xlfn.SINGLE(Region),C:C,AW17,G:G,AX17,A:A,_xlfn.SINGLE(CurYear),B:B,_xlfn.SINGLE(CurMonth))</f>
        <v>3649.11</v>
      </c>
    </row>
    <row r="18" spans="1:51" x14ac:dyDescent="0.2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>_xlfn.XLOOKUP(AW18,C:C,D:D)</f>
        <v>New York</v>
      </c>
      <c r="AW18" t="s">
        <v>60</v>
      </c>
      <c r="AX18" t="s">
        <v>14</v>
      </c>
      <c r="AY18" s="3">
        <f>SUMIFS(I:I,D:D,_xlfn.SINGLE(Region),C:C,AW18,G:G,AX18,A:A,_xlfn.SINGLE(CurYear),B:B,_xlfn.SINGLE(CurMonth))</f>
        <v>0</v>
      </c>
    </row>
    <row r="19" spans="1:51" x14ac:dyDescent="0.2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>_xlfn.XLOOKUP(AW19,C:C,D:D)</f>
        <v>New York</v>
      </c>
      <c r="AW19" t="s">
        <v>60</v>
      </c>
      <c r="AX19" t="s">
        <v>9</v>
      </c>
      <c r="AY19" s="3">
        <f>SUMIFS(I:I,D:D,_xlfn.SINGLE(Region),C:C,AW19,G:G,AX19,A:A,_xlfn.SINGLE(CurYear),B:B,_xlfn.SINGLE(CurMonth))</f>
        <v>0</v>
      </c>
    </row>
    <row r="20" spans="1:51" x14ac:dyDescent="0.2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>_xlfn.XLOOKUP(AW20,C:C,D:D)</f>
        <v>New York</v>
      </c>
      <c r="AW20" t="s">
        <v>60</v>
      </c>
      <c r="AX20" t="s">
        <v>21</v>
      </c>
      <c r="AY20" s="3">
        <f>SUMIFS(I:I,D:D,_xlfn.SINGLE(Region),C:C,AW20,G:G,AX20,A:A,_xlfn.SINGLE(CurYear),B:B,_xlfn.SINGLE(CurMonth))</f>
        <v>0</v>
      </c>
    </row>
    <row r="21" spans="1:51" x14ac:dyDescent="0.2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>_xlfn.XLOOKUP(AW21,C:C,D:D)</f>
        <v>New York</v>
      </c>
      <c r="AW21" t="s">
        <v>60</v>
      </c>
      <c r="AX21" t="s">
        <v>7</v>
      </c>
      <c r="AY21" s="3">
        <f>SUMIFS(I:I,D:D,_xlfn.SINGLE(Region),C:C,AW21,G:G,AX21,A:A,_xlfn.SINGLE(CurYear),B:B,_xlfn.SINGLE(CurMonth))</f>
        <v>0</v>
      </c>
    </row>
    <row r="22" spans="1:51" x14ac:dyDescent="0.2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>_xlfn.XLOOKUP(AW22,C:C,D:D)</f>
        <v>New York</v>
      </c>
      <c r="AW22" t="s">
        <v>60</v>
      </c>
      <c r="AX22" t="s">
        <v>12</v>
      </c>
      <c r="AY22" s="3">
        <f>SUMIFS(I:I,D:D,_xlfn.SINGLE(Region),C:C,AW22,G:G,AX22,A:A,_xlfn.SINGLE(CurYear),B:B,_xlfn.SINGLE(CurMonth))</f>
        <v>0</v>
      </c>
    </row>
    <row r="23" spans="1:51" x14ac:dyDescent="0.2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>_xlfn.XLOOKUP(AW23,C:C,D:D)</f>
        <v>Los Angeles</v>
      </c>
      <c r="AW23" t="s">
        <v>61</v>
      </c>
      <c r="AX23" t="s">
        <v>14</v>
      </c>
      <c r="AY23" s="3">
        <f>SUMIFS(I:I,D:D,_xlfn.SINGLE(Region),C:C,AW23,G:G,AX23,A:A,_xlfn.SINGLE(CurYear),B:B,_xlfn.SINGLE(CurMonth))</f>
        <v>6425.0400000000009</v>
      </c>
    </row>
    <row r="24" spans="1:51" x14ac:dyDescent="0.2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>_xlfn.XLOOKUP(AW24,C:C,D:D)</f>
        <v>Los Angeles</v>
      </c>
      <c r="AW24" t="s">
        <v>61</v>
      </c>
      <c r="AX24" t="s">
        <v>9</v>
      </c>
      <c r="AY24" s="3">
        <f>SUMIFS(I:I,D:D,_xlfn.SINGLE(Region),C:C,AW24,G:G,AX24,A:A,_xlfn.SINGLE(CurYear),B:B,_xlfn.SINGLE(CurMonth))</f>
        <v>2839.35</v>
      </c>
    </row>
    <row r="25" spans="1:51" x14ac:dyDescent="0.2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>_xlfn.XLOOKUP(AW25,C:C,D:D)</f>
        <v>Los Angeles</v>
      </c>
      <c r="AW25" t="s">
        <v>61</v>
      </c>
      <c r="AX25" t="s">
        <v>21</v>
      </c>
      <c r="AY25" s="3">
        <f>SUMIFS(I:I,D:D,_xlfn.SINGLE(Region),C:C,AW25,G:G,AX25,A:A,_xlfn.SINGLE(CurYear),B:B,_xlfn.SINGLE(CurMonth))</f>
        <v>2885.23</v>
      </c>
    </row>
    <row r="26" spans="1:51" x14ac:dyDescent="0.2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>_xlfn.XLOOKUP(AW26,C:C,D:D)</f>
        <v>Los Angeles</v>
      </c>
      <c r="AW26" t="s">
        <v>61</v>
      </c>
      <c r="AX26" t="s">
        <v>7</v>
      </c>
      <c r="AY26" s="3">
        <f>SUMIFS(I:I,D:D,_xlfn.SINGLE(Region),C:C,AW26,G:G,AX26,A:A,_xlfn.SINGLE(CurYear),B:B,_xlfn.SINGLE(CurMonth))</f>
        <v>1833.58</v>
      </c>
    </row>
    <row r="27" spans="1:51" x14ac:dyDescent="0.2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>_xlfn.XLOOKUP(AW27,C:C,D:D)</f>
        <v>Los Angeles</v>
      </c>
      <c r="AW27" t="s">
        <v>61</v>
      </c>
      <c r="AX27" t="s">
        <v>12</v>
      </c>
      <c r="AY27" s="3">
        <f>SUMIFS(I:I,D:D,_xlfn.SINGLE(Region),C:C,AW27,G:G,AX27,A:A,_xlfn.SINGLE(CurYear),B:B,_xlfn.SINGLE(CurMonth))</f>
        <v>4188.5600000000004</v>
      </c>
    </row>
    <row r="28" spans="1:51" x14ac:dyDescent="0.2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>_xlfn.XLOOKUP(AW28,C:C,D:D)</f>
        <v>Chicago</v>
      </c>
      <c r="AW28" t="s">
        <v>53</v>
      </c>
      <c r="AX28" t="s">
        <v>14</v>
      </c>
      <c r="AY28" s="3">
        <f>SUMIFS(I:I,D:D,_xlfn.SINGLE(Region),C:C,AW28,G:G,AX28,A:A,_xlfn.SINGLE(CurYear),B:B,_xlfn.SINGLE(CurMonth))</f>
        <v>0</v>
      </c>
    </row>
    <row r="29" spans="1:51" x14ac:dyDescent="0.2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>_xlfn.XLOOKUP(AW29,C:C,D:D)</f>
        <v>Chicago</v>
      </c>
      <c r="AW29" t="s">
        <v>53</v>
      </c>
      <c r="AX29" t="s">
        <v>9</v>
      </c>
      <c r="AY29" s="3">
        <f>SUMIFS(I:I,D:D,_xlfn.SINGLE(Region),C:C,AW29,G:G,AX29,A:A,_xlfn.SINGLE(CurYear),B:B,_xlfn.SINGLE(CurMonth))</f>
        <v>0</v>
      </c>
    </row>
    <row r="30" spans="1:51" x14ac:dyDescent="0.2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>_xlfn.XLOOKUP(AW30,C:C,D:D)</f>
        <v>Chicago</v>
      </c>
      <c r="AW30" t="s">
        <v>53</v>
      </c>
      <c r="AX30" t="s">
        <v>21</v>
      </c>
      <c r="AY30" s="3">
        <f>SUMIFS(I:I,D:D,_xlfn.SINGLE(Region),C:C,AW30,G:G,AX30,A:A,_xlfn.SINGLE(CurYear),B:B,_xlfn.SINGLE(CurMonth))</f>
        <v>0</v>
      </c>
    </row>
    <row r="31" spans="1:51" x14ac:dyDescent="0.2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>_xlfn.XLOOKUP(AW31,C:C,D:D)</f>
        <v>Chicago</v>
      </c>
      <c r="AW31" t="s">
        <v>53</v>
      </c>
      <c r="AX31" t="s">
        <v>7</v>
      </c>
      <c r="AY31" s="3">
        <f>SUMIFS(I:I,D:D,_xlfn.SINGLE(Region),C:C,AW31,G:G,AX31,A:A,_xlfn.SINGLE(CurYear),B:B,_xlfn.SINGLE(CurMonth))</f>
        <v>0</v>
      </c>
    </row>
    <row r="32" spans="1:51" x14ac:dyDescent="0.2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>_xlfn.XLOOKUP(AW32,C:C,D:D)</f>
        <v>Chicago</v>
      </c>
      <c r="AW32" t="s">
        <v>53</v>
      </c>
      <c r="AX32" t="s">
        <v>12</v>
      </c>
      <c r="AY32" s="3">
        <f>SUMIFS(I:I,D:D,_xlfn.SINGLE(Region),C:C,AW32,G:G,AX32,A:A,_xlfn.SINGLE(CurYear),B:B,_xlfn.SINGLE(CurMonth))</f>
        <v>0</v>
      </c>
    </row>
    <row r="33" spans="1:51" x14ac:dyDescent="0.2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>_xlfn.XLOOKUP(AW33,C:C,D:D)</f>
        <v>Chicago</v>
      </c>
      <c r="AW33" t="s">
        <v>54</v>
      </c>
      <c r="AX33" t="s">
        <v>14</v>
      </c>
      <c r="AY33" s="3">
        <f>SUMIFS(I:I,D:D,_xlfn.SINGLE(Region),C:C,AW33,G:G,AX33,A:A,_xlfn.SINGLE(CurYear),B:B,_xlfn.SINGLE(CurMonth))</f>
        <v>0</v>
      </c>
    </row>
    <row r="34" spans="1:51" x14ac:dyDescent="0.2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>_xlfn.XLOOKUP(AW34,C:C,D:D)</f>
        <v>Chicago</v>
      </c>
      <c r="AW34" t="s">
        <v>54</v>
      </c>
      <c r="AX34" t="s">
        <v>9</v>
      </c>
      <c r="AY34" s="3">
        <f>SUMIFS(I:I,D:D,_xlfn.SINGLE(Region),C:C,AW34,G:G,AX34,A:A,_xlfn.SINGLE(CurYear),B:B,_xlfn.SINGLE(CurMonth))</f>
        <v>0</v>
      </c>
    </row>
    <row r="35" spans="1:51" x14ac:dyDescent="0.2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>_xlfn.XLOOKUP(AW35,C:C,D:D)</f>
        <v>Chicago</v>
      </c>
      <c r="AW35" t="s">
        <v>54</v>
      </c>
      <c r="AX35" t="s">
        <v>21</v>
      </c>
      <c r="AY35" s="3">
        <f>SUMIFS(I:I,D:D,_xlfn.SINGLE(Region),C:C,AW35,G:G,AX35,A:A,_xlfn.SINGLE(CurYear),B:B,_xlfn.SINGLE(CurMonth))</f>
        <v>0</v>
      </c>
    </row>
    <row r="36" spans="1:51" x14ac:dyDescent="0.2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>_xlfn.XLOOKUP(AW36,C:C,D:D)</f>
        <v>Chicago</v>
      </c>
      <c r="AW36" t="s">
        <v>54</v>
      </c>
      <c r="AX36" t="s">
        <v>7</v>
      </c>
      <c r="AY36" s="3">
        <f>SUMIFS(I:I,D:D,_xlfn.SINGLE(Region),C:C,AW36,G:G,AX36,A:A,_xlfn.SINGLE(CurYear),B:B,_xlfn.SINGLE(CurMonth))</f>
        <v>0</v>
      </c>
    </row>
    <row r="37" spans="1:51" x14ac:dyDescent="0.2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>_xlfn.XLOOKUP(AW37,C:C,D:D)</f>
        <v>Chicago</v>
      </c>
      <c r="AW37" t="s">
        <v>54</v>
      </c>
      <c r="AX37" t="s">
        <v>12</v>
      </c>
      <c r="AY37" s="3">
        <f>SUMIFS(I:I,D:D,_xlfn.SINGLE(Region),C:C,AW37,G:G,AX37,A:A,_xlfn.SINGLE(CurYear),B:B,_xlfn.SINGLE(CurMonth))</f>
        <v>0</v>
      </c>
    </row>
    <row r="38" spans="1:51" x14ac:dyDescent="0.2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>_xlfn.XLOOKUP(AW38,C:C,D:D)</f>
        <v>Chicago</v>
      </c>
      <c r="AW38" t="s">
        <v>55</v>
      </c>
      <c r="AX38" t="s">
        <v>14</v>
      </c>
      <c r="AY38" s="3">
        <f>SUMIFS(I:I,D:D,_xlfn.SINGLE(Region),C:C,AW38,G:G,AX38,A:A,_xlfn.SINGLE(CurYear),B:B,_xlfn.SINGLE(CurMonth))</f>
        <v>0</v>
      </c>
    </row>
    <row r="39" spans="1:51" x14ac:dyDescent="0.2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>_xlfn.XLOOKUP(AW39,C:C,D:D)</f>
        <v>Chicago</v>
      </c>
      <c r="AW39" t="s">
        <v>55</v>
      </c>
      <c r="AX39" t="s">
        <v>9</v>
      </c>
      <c r="AY39" s="3">
        <f>SUMIFS(I:I,D:D,_xlfn.SINGLE(Region),C:C,AW39,G:G,AX39,A:A,_xlfn.SINGLE(CurYear),B:B,_xlfn.SINGLE(CurMonth))</f>
        <v>0</v>
      </c>
    </row>
    <row r="40" spans="1:51" x14ac:dyDescent="0.2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>_xlfn.XLOOKUP(AW40,C:C,D:D)</f>
        <v>Chicago</v>
      </c>
      <c r="AW40" t="s">
        <v>55</v>
      </c>
      <c r="AX40" t="s">
        <v>21</v>
      </c>
      <c r="AY40" s="3">
        <f>SUMIFS(I:I,D:D,_xlfn.SINGLE(Region),C:C,AW40,G:G,AX40,A:A,_xlfn.SINGLE(CurYear),B:B,_xlfn.SINGLE(CurMonth))</f>
        <v>0</v>
      </c>
    </row>
    <row r="41" spans="1:51" x14ac:dyDescent="0.2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>_xlfn.XLOOKUP(AW41,C:C,D:D)</f>
        <v>Chicago</v>
      </c>
      <c r="AW41" t="s">
        <v>55</v>
      </c>
      <c r="AX41" t="s">
        <v>7</v>
      </c>
      <c r="AY41" s="3">
        <f>SUMIFS(I:I,D:D,_xlfn.SINGLE(Region),C:C,AW41,G:G,AX41,A:A,_xlfn.SINGLE(CurYear),B:B,_xlfn.SINGLE(CurMonth))</f>
        <v>0</v>
      </c>
    </row>
    <row r="42" spans="1:51" x14ac:dyDescent="0.2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>_xlfn.XLOOKUP(AW42,C:C,D:D)</f>
        <v>Chicago</v>
      </c>
      <c r="AW42" t="s">
        <v>55</v>
      </c>
      <c r="AX42" t="s">
        <v>12</v>
      </c>
      <c r="AY42" s="3">
        <f>SUMIFS(I:I,D:D,_xlfn.SINGLE(Region),C:C,AW42,G:G,AX42,A:A,_xlfn.SINGLE(CurYear),B:B,_xlfn.SINGLE(CurMonth))</f>
        <v>0</v>
      </c>
    </row>
    <row r="43" spans="1:51" x14ac:dyDescent="0.2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>_xlfn.XLOOKUP(AW43,C:C,D:D)</f>
        <v>Chicago</v>
      </c>
      <c r="AW43" t="s">
        <v>57</v>
      </c>
      <c r="AX43" t="s">
        <v>14</v>
      </c>
      <c r="AY43" s="3">
        <f>SUMIFS(I:I,D:D,_xlfn.SINGLE(Region),C:C,AW43,G:G,AX43,A:A,_xlfn.SINGLE(CurYear),B:B,_xlfn.SINGLE(CurMonth))</f>
        <v>0</v>
      </c>
    </row>
    <row r="44" spans="1:51" x14ac:dyDescent="0.2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>_xlfn.XLOOKUP(AW44,C:C,D:D)</f>
        <v>Chicago</v>
      </c>
      <c r="AW44" t="s">
        <v>57</v>
      </c>
      <c r="AX44" t="s">
        <v>9</v>
      </c>
      <c r="AY44" s="3">
        <f>SUMIFS(I:I,D:D,_xlfn.SINGLE(Region),C:C,AW44,G:G,AX44,A:A,_xlfn.SINGLE(CurYear),B:B,_xlfn.SINGLE(CurMonth))</f>
        <v>0</v>
      </c>
    </row>
    <row r="45" spans="1:51" x14ac:dyDescent="0.2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>_xlfn.XLOOKUP(AW45,C:C,D:D)</f>
        <v>Chicago</v>
      </c>
      <c r="AW45" t="s">
        <v>57</v>
      </c>
      <c r="AX45" t="s">
        <v>21</v>
      </c>
      <c r="AY45" s="3">
        <f>SUMIFS(I:I,D:D,_xlfn.SINGLE(Region),C:C,AW45,G:G,AX45,A:A,_xlfn.SINGLE(CurYear),B:B,_xlfn.SINGLE(CurMonth))</f>
        <v>0</v>
      </c>
    </row>
    <row r="46" spans="1:51" x14ac:dyDescent="0.2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>_xlfn.XLOOKUP(AW46,C:C,D:D)</f>
        <v>Chicago</v>
      </c>
      <c r="AW46" t="s">
        <v>57</v>
      </c>
      <c r="AX46" t="s">
        <v>7</v>
      </c>
      <c r="AY46" s="3">
        <f>SUMIFS(I:I,D:D,_xlfn.SINGLE(Region),C:C,AW46,G:G,AX46,A:A,_xlfn.SINGLE(CurYear),B:B,_xlfn.SINGLE(CurMonth))</f>
        <v>0</v>
      </c>
    </row>
    <row r="47" spans="1:51" x14ac:dyDescent="0.2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>_xlfn.XLOOKUP(AW47,C:C,D:D)</f>
        <v>Chicago</v>
      </c>
      <c r="AW47" t="s">
        <v>57</v>
      </c>
      <c r="AX47" t="s">
        <v>12</v>
      </c>
      <c r="AY47" s="3">
        <f>SUMIFS(I:I,D:D,_xlfn.SINGLE(Region),C:C,AW47,G:G,AX47,A:A,_xlfn.SINGLE(CurYear),B:B,_xlfn.SINGLE(CurMonth))</f>
        <v>0</v>
      </c>
    </row>
    <row r="48" spans="1:51" x14ac:dyDescent="0.2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>_xlfn.XLOOKUP(AW48,C:C,D:D)</f>
        <v>New York</v>
      </c>
      <c r="AW48" t="s">
        <v>62</v>
      </c>
      <c r="AX48" t="s">
        <v>14</v>
      </c>
      <c r="AY48" s="3">
        <f>SUMIFS(I:I,D:D,_xlfn.SINGLE(Region),C:C,AW48,G:G,AX48,A:A,_xlfn.SINGLE(CurYear),B:B,_xlfn.SINGLE(CurMonth))</f>
        <v>0</v>
      </c>
    </row>
    <row r="49" spans="1:51" x14ac:dyDescent="0.2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>_xlfn.XLOOKUP(AW49,C:C,D:D)</f>
        <v>New York</v>
      </c>
      <c r="AW49" t="s">
        <v>62</v>
      </c>
      <c r="AX49" t="s">
        <v>9</v>
      </c>
      <c r="AY49" s="3">
        <f>SUMIFS(I:I,D:D,_xlfn.SINGLE(Region),C:C,AW49,G:G,AX49,A:A,_xlfn.SINGLE(CurYear),B:B,_xlfn.SINGLE(CurMonth))</f>
        <v>0</v>
      </c>
    </row>
    <row r="50" spans="1:51" x14ac:dyDescent="0.2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>_xlfn.XLOOKUP(AW50,C:C,D:D)</f>
        <v>New York</v>
      </c>
      <c r="AW50" t="s">
        <v>62</v>
      </c>
      <c r="AX50" t="s">
        <v>21</v>
      </c>
      <c r="AY50" s="3">
        <f>SUMIFS(I:I,D:D,_xlfn.SINGLE(Region),C:C,AW50,G:G,AX50,A:A,_xlfn.SINGLE(CurYear),B:B,_xlfn.SINGLE(CurMonth))</f>
        <v>0</v>
      </c>
    </row>
    <row r="51" spans="1:51" x14ac:dyDescent="0.2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>_xlfn.XLOOKUP(AW51,C:C,D:D)</f>
        <v>New York</v>
      </c>
      <c r="AW51" t="s">
        <v>62</v>
      </c>
      <c r="AX51" t="s">
        <v>7</v>
      </c>
      <c r="AY51" s="3">
        <f>SUMIFS(I:I,D:D,_xlfn.SINGLE(Region),C:C,AW51,G:G,AX51,A:A,_xlfn.SINGLE(CurYear),B:B,_xlfn.SINGLE(CurMonth))</f>
        <v>0</v>
      </c>
    </row>
    <row r="52" spans="1:51" x14ac:dyDescent="0.2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>_xlfn.XLOOKUP(AW52,C:C,D:D)</f>
        <v>New York</v>
      </c>
      <c r="AW52" t="s">
        <v>62</v>
      </c>
      <c r="AX52" t="s">
        <v>12</v>
      </c>
      <c r="AY52" s="3">
        <f>SUMIFS(I:I,D:D,_xlfn.SINGLE(Region),C:C,AW52,G:G,AX52,A:A,_xlfn.SINGLE(CurYear),B:B,_xlfn.SINGLE(CurMonth))</f>
        <v>0</v>
      </c>
    </row>
    <row r="53" spans="1:51" x14ac:dyDescent="0.2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2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2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2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2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2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2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2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2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2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2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2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2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2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2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2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2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2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2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2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2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2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2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2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2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2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2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2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2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2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2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2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2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2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2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2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2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2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2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2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2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2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2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2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2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2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2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2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2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2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2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2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2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2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2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2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2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2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2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2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2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2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2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2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2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2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2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2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2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2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2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2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2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2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2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2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2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2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2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2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2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2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2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2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2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2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2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2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2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2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2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2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2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2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2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2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2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2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2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2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2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2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2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2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2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2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2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2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2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2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2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2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2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2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2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2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2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2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2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2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2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2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2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2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2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2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2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2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2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2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2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2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2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2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2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2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2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2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2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2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2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2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2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2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2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2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2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2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2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2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2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2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2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2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2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2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2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2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2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2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2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2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2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2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2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2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2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2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2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2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2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2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2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2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2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2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2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2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2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2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2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2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2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2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2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2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2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2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2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2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2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2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2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2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2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2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2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2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2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2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2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2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2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2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2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2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2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2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2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2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2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2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2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2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2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2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2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2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2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2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2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2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2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2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2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2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2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2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2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2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2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2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2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2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2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2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2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2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2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2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2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2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2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2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2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2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2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2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2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2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2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2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2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2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2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2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2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2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2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2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2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2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2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2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2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2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2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2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2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2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2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2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2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2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2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2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2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2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2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2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2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2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2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2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2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2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2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2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2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2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2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2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2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2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2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2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2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2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2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2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2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2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2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2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2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2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2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2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2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2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2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2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2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2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2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2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2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2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2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2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2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2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2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2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2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2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2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2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2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2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2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2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2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2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2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2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2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2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2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2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2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2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2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2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2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2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2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2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2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2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2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2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2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2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2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2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2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2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2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2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2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2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2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2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2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2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2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2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2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2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2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2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2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2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2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2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2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2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2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2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2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2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2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2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2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2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2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2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2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2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2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2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2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2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2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2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2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2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2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2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2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2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2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2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2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2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2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2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2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2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2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2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2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2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2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2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2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2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2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2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2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2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2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2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2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2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2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2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2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2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2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2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2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2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2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2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2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2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2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2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2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2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2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2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2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2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2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2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2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2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2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2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2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2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2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2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2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2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2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2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2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2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2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2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2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2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2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2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2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2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2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2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2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2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2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2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2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2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2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2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2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2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2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2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2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2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2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2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2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2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2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2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2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2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2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2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2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2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2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2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2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2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2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2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2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2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2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2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2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2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2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2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2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2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2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2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2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2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2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2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2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2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2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2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2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2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2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2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2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2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ADD74-A9C8-FD4B-9DC2-126CA00B34A0}">
  <dimension ref="A1:AK36"/>
  <sheetViews>
    <sheetView zoomScale="140" zoomScaleNormal="140" workbookViewId="0">
      <selection activeCell="K10" sqref="K10"/>
    </sheetView>
  </sheetViews>
  <sheetFormatPr baseColWidth="10" defaultRowHeight="15" x14ac:dyDescent="0.2"/>
  <cols>
    <col min="1" max="1" width="15.83203125" customWidth="1"/>
    <col min="4" max="4" width="12.6640625" customWidth="1"/>
    <col min="5" max="5" width="11.1640625" bestFit="1" customWidth="1"/>
    <col min="27" max="29" width="10.83203125" customWidth="1"/>
    <col min="32" max="32" width="16.6640625" customWidth="1"/>
    <col min="33" max="33" width="15" customWidth="1"/>
    <col min="35" max="35" width="13" customWidth="1"/>
  </cols>
  <sheetData>
    <row r="1" spans="1:37" x14ac:dyDescent="0.2">
      <c r="A1" s="8" t="s">
        <v>76</v>
      </c>
      <c r="B1" s="6"/>
      <c r="D1" s="12" t="s">
        <v>82</v>
      </c>
      <c r="E1" s="12"/>
      <c r="G1" s="12" t="s">
        <v>88</v>
      </c>
      <c r="H1" s="12"/>
      <c r="I1" s="12"/>
      <c r="J1" s="12"/>
      <c r="K1" s="12"/>
      <c r="L1" s="16"/>
      <c r="M1" s="12" t="s">
        <v>102</v>
      </c>
      <c r="N1" s="12"/>
      <c r="O1" s="12"/>
      <c r="P1" s="12"/>
      <c r="Q1" s="12"/>
      <c r="S1" s="12" t="s">
        <v>105</v>
      </c>
      <c r="T1" s="12"/>
      <c r="U1" s="12"/>
      <c r="V1" s="12"/>
      <c r="W1" s="12"/>
      <c r="X1" s="12"/>
      <c r="Y1" s="12"/>
      <c r="AA1" s="12" t="s">
        <v>106</v>
      </c>
      <c r="AB1" s="12"/>
      <c r="AC1" s="12"/>
      <c r="AD1" s="12"/>
      <c r="AE1" s="12"/>
      <c r="AF1" s="12"/>
      <c r="AH1" s="12" t="s">
        <v>111</v>
      </c>
      <c r="AI1" s="12"/>
      <c r="AJ1" s="12"/>
      <c r="AK1" s="12"/>
    </row>
    <row r="2" spans="1:37" x14ac:dyDescent="0.2">
      <c r="A2" s="7" t="s">
        <v>52</v>
      </c>
      <c r="B2" s="7" t="s">
        <v>75</v>
      </c>
      <c r="D2" s="14" t="s">
        <v>83</v>
      </c>
      <c r="E2" s="10">
        <f>SUMIFS(Data[Revenue],Data[Region],Region,Data[Month],CurMonth,Data[Year],CurYear)</f>
        <v>44041.12999999999</v>
      </c>
      <c r="G2" s="15" t="s">
        <v>89</v>
      </c>
      <c r="H2" s="15" t="s">
        <v>49</v>
      </c>
      <c r="I2" s="15">
        <f>PrevYear</f>
        <v>2020</v>
      </c>
      <c r="J2" s="15">
        <f>CurYear</f>
        <v>2021</v>
      </c>
      <c r="K2" s="15" t="s">
        <v>75</v>
      </c>
      <c r="L2" s="16"/>
      <c r="M2" s="15" t="s">
        <v>63</v>
      </c>
      <c r="N2" s="15" t="s">
        <v>46</v>
      </c>
      <c r="O2" s="15" t="s">
        <v>103</v>
      </c>
      <c r="P2" s="15" t="s">
        <v>107</v>
      </c>
      <c r="Q2" s="15" t="s">
        <v>104</v>
      </c>
      <c r="S2" s="15" t="s">
        <v>104</v>
      </c>
      <c r="T2" s="15" t="s">
        <v>63</v>
      </c>
      <c r="U2" s="15" t="s">
        <v>52</v>
      </c>
      <c r="V2" s="15" t="s">
        <v>46</v>
      </c>
      <c r="W2" s="15" t="s">
        <v>107</v>
      </c>
      <c r="X2" s="15" t="s">
        <v>75</v>
      </c>
      <c r="Y2" s="15" t="s">
        <v>75</v>
      </c>
      <c r="AA2" s="15" t="s">
        <v>108</v>
      </c>
      <c r="AB2" s="15" t="s">
        <v>46</v>
      </c>
      <c r="AC2" s="15" t="s">
        <v>103</v>
      </c>
      <c r="AD2" s="15" t="s">
        <v>107</v>
      </c>
      <c r="AE2" s="15" t="s">
        <v>109</v>
      </c>
      <c r="AF2" s="15" t="s">
        <v>110</v>
      </c>
      <c r="AH2" s="15" t="s">
        <v>104</v>
      </c>
      <c r="AI2" s="15" t="s">
        <v>108</v>
      </c>
      <c r="AJ2" s="15" t="s">
        <v>46</v>
      </c>
      <c r="AK2" s="15" t="s">
        <v>107</v>
      </c>
    </row>
    <row r="3" spans="1:37" x14ac:dyDescent="0.2">
      <c r="A3" t="s">
        <v>4</v>
      </c>
      <c r="B3" t="str">
        <f>Dashboard!C7</f>
        <v>Los Angeles</v>
      </c>
      <c r="D3" s="14" t="s">
        <v>84</v>
      </c>
      <c r="E3" s="10">
        <f>SUMIFS(Data[Revenue],Data[Region],Region,Data[Month],CurMonth,Data[Year],PrevYear)</f>
        <v>34881.53</v>
      </c>
      <c r="G3">
        <v>1</v>
      </c>
      <c r="H3" t="s">
        <v>90</v>
      </c>
      <c r="I3" s="10">
        <f>SUMIFS(Data[[Revenue]:[Revenue]],Data[[Region]:[Region]],Region,Data[[Month]:[Month]],'Data Prep'!$G3,Data[[Year]:[Year]],'Data Prep'!I$2)</f>
        <v>37135.47</v>
      </c>
      <c r="J3" s="10">
        <f>IF(G3&gt;CurMonth,NA(),SUMIFS(Data[[Revenue]:[Revenue]],Data[[Region]:[Region]],Region,Data[[Month]:[Month]],'Data Prep'!$G3,Data[[Year]:[Year]],'Data Prep'!J$2))</f>
        <v>51959.660000000011</v>
      </c>
      <c r="K3" s="10" t="e">
        <f>IF(G3=CurMonth,J3,NA())</f>
        <v>#N/A</v>
      </c>
      <c r="L3" s="16"/>
      <c r="M3" t="s">
        <v>59</v>
      </c>
      <c r="N3" s="10">
        <f>SUMIFS(Data[Revenue],Data[Store Name],M3,Data[Month],CurMonth,Data[Year],CurYear)</f>
        <v>10103.540000000001</v>
      </c>
      <c r="O3" s="10">
        <f>SUMIFS(Data[Revenue],Data[Store Name],M3,Data[Month],PrevMonth,Data[Year],PMYear)</f>
        <v>7938.76</v>
      </c>
      <c r="P3" s="11">
        <f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INDEX($M$3:$P$12,MATCH($S3,$Q$3:$Q$12,0),MATCH(T$2,$M$2:$Q$2,0))</f>
        <v>Michigan Ave</v>
      </c>
      <c r="U3" t="str">
        <f>VLOOKUP(T3,Data[[Store Name]:[Region]],2,0)</f>
        <v>Chicago</v>
      </c>
      <c r="V3" s="10">
        <f>INDEX($M$3:$P$12,MATCH($S3,$Q$3:$Q$12,0),MATCH(V$2,$M$2:$Q$2,0))</f>
        <v>7721.8800000000019</v>
      </c>
      <c r="W3" s="11">
        <f>INDEX($M$3:$P$12,MATCH($S3,$Q$3:$Q$12,0),MATCH(W$2,$M$2:$Q$2,0))</f>
        <v>-0.23788412342481746</v>
      </c>
      <c r="X3" s="10">
        <f>IF($U3=Region,V3,0)</f>
        <v>0</v>
      </c>
      <c r="Y3" s="11">
        <f>IF($U3=Region,W3,0)</f>
        <v>0</v>
      </c>
      <c r="AA3" t="s">
        <v>13</v>
      </c>
      <c r="AB3" s="10">
        <f>SUMIFS(Data[Revenue],Data[Region],Region,Data[Month],CurMonth,Data[Year],CurYear,Data[Product Name],'Data Prep'!AA3)</f>
        <v>1662.96</v>
      </c>
      <c r="AC3" s="10">
        <f>SUMIFS(Data[Revenue],Data[Region],Region,Data[Month],PrevMonth,Data[Year],PrevYear,Data[Product Name],'Data Prep'!AA3)</f>
        <v>2494.44</v>
      </c>
      <c r="AD3" s="17">
        <f>AB3-AC3</f>
        <v>-831.48</v>
      </c>
      <c r="AE3">
        <f>_xlfn.RANK.AVG(AD3,$AD$3:$AD$36,0)</f>
        <v>30</v>
      </c>
      <c r="AF3">
        <f>_xlfn.RANK.AVG(AD3,$AD$3:$AD$36,1)</f>
        <v>5</v>
      </c>
      <c r="AH3">
        <v>1</v>
      </c>
      <c r="AI3" t="str">
        <f>INDEX($AA$3:$AD$36,MATCH($AH3,$AE$3:$AE$36,0),MATCH(AI$2,$AA$2:$AD$2,0))</f>
        <v>Magic Sand</v>
      </c>
      <c r="AJ3" s="10">
        <f t="shared" ref="AJ3:AK7" si="0">INDEX($AA$3:$AD$36,MATCH($AH3,$AE$3:$AE$36,0),MATCH(AJ$2,$AA$2:$AD$2,0))</f>
        <v>6523.92</v>
      </c>
      <c r="AK3" s="10">
        <f t="shared" si="0"/>
        <v>6523.92</v>
      </c>
    </row>
    <row r="4" spans="1:37" x14ac:dyDescent="0.2">
      <c r="A4" t="s">
        <v>5</v>
      </c>
      <c r="D4" s="14" t="s">
        <v>85</v>
      </c>
      <c r="E4" s="10">
        <f>SUMIFS(Data[Revenue],Data[Month],PrevMonth,Data[Region],Region,Data[Year],PMYear)</f>
        <v>41270.179999999986</v>
      </c>
      <c r="G4">
        <v>2</v>
      </c>
      <c r="H4" t="s">
        <v>91</v>
      </c>
      <c r="I4" s="10">
        <f>SUMIFS(Data[[Revenue]:[Revenue]],Data[[Region]:[Region]],Region,Data[[Month]:[Month]],'Data Prep'!$G4,Data[[Year]:[Year]],'Data Prep'!I$2)</f>
        <v>31324.390000000007</v>
      </c>
      <c r="J4" s="10">
        <f>IF(G4&gt;CurMonth,NA(),SUMIFS(Data[[Revenue]:[Revenue]],Data[[Region]:[Region]],Region,Data[[Month]:[Month]],'Data Prep'!$G4,Data[[Year]:[Year]],'Data Prep'!J$2))</f>
        <v>53726.850000000006</v>
      </c>
      <c r="K4" s="10" t="e">
        <f>IF(G4=CurMonth,J4,NA())</f>
        <v>#N/A</v>
      </c>
      <c r="L4" s="16"/>
      <c r="M4" t="s">
        <v>56</v>
      </c>
      <c r="N4" s="10">
        <f>SUMIFS(Data[Revenue],Data[Store Name],M4,Data[Month],CurMonth,Data[Year],CurYear)</f>
        <v>15765.830000000002</v>
      </c>
      <c r="O4" s="10">
        <f>SUMIFS(Data[Revenue],Data[Store Name],M4,Data[Month],PrevMonth,Data[Year],PMYear)</f>
        <v>11411.519999999999</v>
      </c>
      <c r="P4" s="11">
        <f>N4/O4-1</f>
        <v>0.38157142957292312</v>
      </c>
      <c r="Q4">
        <f t="shared" ref="Q4:Q12" si="1">_xlfn.RANK.AVG(N4,$N$3:$N$12,1)</f>
        <v>4</v>
      </c>
      <c r="S4">
        <v>2</v>
      </c>
      <c r="T4" t="str">
        <f t="shared" ref="T4:W12" si="2">INDEX($M$3:$P$12,MATCH($S4,$Q$3:$Q$12,0),MATCH(T$2,$M$2:$Q$2,0))</f>
        <v>Hollywood</v>
      </c>
      <c r="U4" t="str">
        <f>VLOOKUP(T4,Data[[Store Name]:[Region]],2,0)</f>
        <v>Los Angeles</v>
      </c>
      <c r="V4" s="10">
        <f t="shared" si="2"/>
        <v>10103.540000000001</v>
      </c>
      <c r="W4" s="11">
        <f t="shared" si="2"/>
        <v>0.27268490293194403</v>
      </c>
      <c r="X4" s="10">
        <f>IF($U4=Region,V4,0)</f>
        <v>10103.540000000001</v>
      </c>
      <c r="Y4" s="11">
        <f>IF($U4=Region,W4,0)</f>
        <v>0.27268490293194403</v>
      </c>
      <c r="AA4" t="s">
        <v>24</v>
      </c>
      <c r="AB4" s="10">
        <f>SUMIFS(Data[Revenue],Data[Region],Region,Data[Month],CurMonth,Data[Year],CurYear,Data[Product Name],'Data Prep'!AA4)</f>
        <v>1675.71</v>
      </c>
      <c r="AC4" s="10">
        <f>SUMIFS(Data[Revenue],Data[Region],Region,Data[Month],PrevMonth,Data[Year],PrevYear,Data[Product Name],'Data Prep'!AA4)</f>
        <v>1610.7600000000002</v>
      </c>
      <c r="AD4" s="17">
        <f t="shared" ref="AD4:AD36" si="3">AB4-AC4</f>
        <v>64.949999999999818</v>
      </c>
      <c r="AE4">
        <f t="shared" ref="AE4:AE36" si="4">_xlfn.RANK.AVG(AD4,$AD$3:$AD$36,0)</f>
        <v>14</v>
      </c>
      <c r="AF4">
        <f t="shared" ref="AF4:AF36" si="5">_xlfn.RANK.AVG(AD4,$AD$3:$AD$36,1)</f>
        <v>21</v>
      </c>
      <c r="AH4">
        <v>2</v>
      </c>
      <c r="AI4" t="str">
        <f t="shared" ref="AI4:AI7" si="6">INDEX($AA$3:$AD$36,MATCH($AH4,$AE$3:$AE$36,0),MATCH(AI$2,$AA$2:$AD$2,0))</f>
        <v>Lego Bricks</v>
      </c>
      <c r="AJ4" s="10">
        <f t="shared" si="0"/>
        <v>4918.7700000000004</v>
      </c>
      <c r="AK4" s="10">
        <f t="shared" si="0"/>
        <v>3119.2200000000003</v>
      </c>
    </row>
    <row r="5" spans="1:37" x14ac:dyDescent="0.2">
      <c r="A5" t="s">
        <v>48</v>
      </c>
      <c r="D5" s="14" t="s">
        <v>87</v>
      </c>
      <c r="E5" s="18">
        <f>E2/E3-1</f>
        <v>0.26259169250890069</v>
      </c>
      <c r="G5">
        <v>3</v>
      </c>
      <c r="H5" t="s">
        <v>92</v>
      </c>
      <c r="I5" s="10">
        <f>SUMIFS(Data[[Revenue]:[Revenue]],Data[[Region]:[Region]],Region,Data[[Month]:[Month]],'Data Prep'!$G5,Data[[Year]:[Year]],'Data Prep'!I$2)</f>
        <v>38310.149999999987</v>
      </c>
      <c r="J5" s="10">
        <f>IF(G5&gt;CurMonth,NA(),SUMIFS(Data[[Revenue]:[Revenue]],Data[[Region]:[Region]],Region,Data[[Month]:[Month]],'Data Prep'!$G5,Data[[Year]:[Year]],'Data Prep'!J$2))</f>
        <v>53604.229999999989</v>
      </c>
      <c r="K5" s="10" t="e">
        <f>IF(G5=CurMonth,J5,NA())</f>
        <v>#N/A</v>
      </c>
      <c r="L5" s="16"/>
      <c r="M5" t="s">
        <v>54</v>
      </c>
      <c r="N5" s="10">
        <f>SUMIFS(Data[Revenue],Data[Store Name],M5,Data[Month],CurMonth,Data[Year],CurYear)</f>
        <v>7721.8800000000019</v>
      </c>
      <c r="O5" s="10">
        <f>SUMIFS(Data[Revenue],Data[Store Name],M5,Data[Month],PrevMonth,Data[Year],PMYear)</f>
        <v>10132.16</v>
      </c>
      <c r="P5" s="11">
        <f>N5/O5-1</f>
        <v>-0.23788412342481746</v>
      </c>
      <c r="Q5">
        <f t="shared" si="1"/>
        <v>1</v>
      </c>
      <c r="S5">
        <v>3</v>
      </c>
      <c r="T5" t="str">
        <f t="shared" si="2"/>
        <v>JFK</v>
      </c>
      <c r="U5" t="str">
        <f>VLOOKUP(T5,Data[[Store Name]:[Region]],2,0)</f>
        <v>New York</v>
      </c>
      <c r="V5" s="10">
        <f t="shared" si="2"/>
        <v>13879.13</v>
      </c>
      <c r="W5" s="11">
        <f t="shared" si="2"/>
        <v>5.7257752439920262E-2</v>
      </c>
      <c r="X5" s="10">
        <f>IF($U5=Region,V5,0)</f>
        <v>0</v>
      </c>
      <c r="Y5" s="11">
        <f>IF($U5=Region,W5,0)</f>
        <v>0</v>
      </c>
      <c r="AA5" t="s">
        <v>18</v>
      </c>
      <c r="AB5" s="10">
        <f>SUMIFS(Data[Revenue],Data[Region],Region,Data[Month],CurMonth,Data[Year],CurYear,Data[Product Name],'Data Prep'!AA5)</f>
        <v>233.82</v>
      </c>
      <c r="AC5" s="10">
        <f>SUMIFS(Data[Revenue],Data[Region],Region,Data[Month],PrevMonth,Data[Year],PrevYear,Data[Product Name],'Data Prep'!AA5)</f>
        <v>25.98</v>
      </c>
      <c r="AD5" s="17">
        <f t="shared" si="3"/>
        <v>207.84</v>
      </c>
      <c r="AE5">
        <f t="shared" si="4"/>
        <v>11</v>
      </c>
      <c r="AF5">
        <f t="shared" si="5"/>
        <v>24</v>
      </c>
      <c r="AH5">
        <v>3</v>
      </c>
      <c r="AI5" t="str">
        <f t="shared" si="6"/>
        <v>Dino Egg</v>
      </c>
      <c r="AJ5" s="10">
        <f t="shared" si="0"/>
        <v>2659.58</v>
      </c>
      <c r="AK5" s="10">
        <f t="shared" si="0"/>
        <v>2659.58</v>
      </c>
    </row>
    <row r="6" spans="1:37" x14ac:dyDescent="0.2">
      <c r="D6" s="14" t="s">
        <v>107</v>
      </c>
      <c r="E6" s="18">
        <f>E2/E4-1</f>
        <v>6.7141698921594273E-2</v>
      </c>
      <c r="G6">
        <v>4</v>
      </c>
      <c r="H6" t="s">
        <v>93</v>
      </c>
      <c r="I6" s="10">
        <f>SUMIFS(Data[[Revenue]:[Revenue]],Data[[Region]:[Region]],Region,Data[[Month]:[Month]],'Data Prep'!$G6,Data[[Year]:[Year]],'Data Prep'!I$2)</f>
        <v>43124.819999999992</v>
      </c>
      <c r="J6" s="10">
        <f>IF(G6&gt;CurMonth,NA(),SUMIFS(Data[[Revenue]:[Revenue]],Data[[Region]:[Region]],Region,Data[[Month]:[Month]],'Data Prep'!$G6,Data[[Year]:[Year]],'Data Prep'!J$2))</f>
        <v>50597.080000000009</v>
      </c>
      <c r="K6" s="10" t="e">
        <f>IF(G6=CurMonth,J6,NA())</f>
        <v>#N/A</v>
      </c>
      <c r="L6" s="16"/>
      <c r="M6" t="s">
        <v>55</v>
      </c>
      <c r="N6" s="10">
        <f>SUMIFS(Data[Revenue],Data[Store Name],M6,Data[Month],CurMonth,Data[Year],CurYear)</f>
        <v>18238.46</v>
      </c>
      <c r="O6" s="10">
        <f>SUMIFS(Data[Revenue],Data[Store Name],M6,Data[Month],PrevMonth,Data[Year],PMYear)</f>
        <v>15332.379999999996</v>
      </c>
      <c r="P6" s="11">
        <f>N6/O6-1</f>
        <v>0.18953874088693379</v>
      </c>
      <c r="Q6">
        <f t="shared" si="1"/>
        <v>9</v>
      </c>
      <c r="S6">
        <v>4</v>
      </c>
      <c r="T6" t="str">
        <f t="shared" si="2"/>
        <v>Beverly Hills</v>
      </c>
      <c r="U6" t="str">
        <f>VLOOKUP(T6,Data[[Store Name]:[Region]],2,0)</f>
        <v>Los Angeles</v>
      </c>
      <c r="V6" s="10">
        <f t="shared" si="2"/>
        <v>15765.830000000002</v>
      </c>
      <c r="W6" s="11">
        <f t="shared" si="2"/>
        <v>0.38157142957292312</v>
      </c>
      <c r="X6" s="10">
        <f>IF($U6=Region,V6,0)</f>
        <v>15765.830000000002</v>
      </c>
      <c r="Y6" s="11">
        <f>IF($U6=Region,W6,0)</f>
        <v>0.38157142957292312</v>
      </c>
      <c r="AA6" t="s">
        <v>30</v>
      </c>
      <c r="AB6" s="10">
        <f>SUMIFS(Data[Revenue],Data[Region],Region,Data[Month],CurMonth,Data[Year],CurYear,Data[Product Name],'Data Prep'!AA6)</f>
        <v>249.75</v>
      </c>
      <c r="AC6" s="10">
        <f>SUMIFS(Data[Revenue],Data[Region],Region,Data[Month],PrevMonth,Data[Year],PrevYear,Data[Product Name],'Data Prep'!AA6)</f>
        <v>259.74</v>
      </c>
      <c r="AD6" s="17">
        <f t="shared" si="3"/>
        <v>-9.9900000000000091</v>
      </c>
      <c r="AE6">
        <f t="shared" si="4"/>
        <v>17</v>
      </c>
      <c r="AF6">
        <f t="shared" si="5"/>
        <v>18</v>
      </c>
      <c r="AH6">
        <v>4</v>
      </c>
      <c r="AI6" t="str">
        <f t="shared" si="6"/>
        <v>Nerf Gun</v>
      </c>
      <c r="AJ6" s="10">
        <f t="shared" si="0"/>
        <v>2018.9899999999998</v>
      </c>
      <c r="AK6" s="10">
        <f t="shared" si="0"/>
        <v>1659.1699999999998</v>
      </c>
    </row>
    <row r="7" spans="1:37" x14ac:dyDescent="0.2">
      <c r="A7" s="8" t="s">
        <v>77</v>
      </c>
      <c r="B7" s="6"/>
      <c r="G7">
        <v>5</v>
      </c>
      <c r="H7" t="s">
        <v>94</v>
      </c>
      <c r="I7" s="10">
        <f>SUMIFS(Data[[Revenue]:[Revenue]],Data[[Region]:[Region]],Region,Data[[Month]:[Month]],'Data Prep'!$G7,Data[[Year]:[Year]],'Data Prep'!I$2)</f>
        <v>48602.219999999994</v>
      </c>
      <c r="J7" s="10">
        <f>IF(G7&gt;CurMonth,NA(),SUMIFS(Data[[Revenue]:[Revenue]],Data[[Region]:[Region]],Region,Data[[Month]:[Month]],'Data Prep'!$G7,Data[[Year]:[Year]],'Data Prep'!J$2))</f>
        <v>66944.169999999984</v>
      </c>
      <c r="K7" s="10" t="e">
        <f>IF(G7=CurMonth,J7,NA())</f>
        <v>#N/A</v>
      </c>
      <c r="L7" s="16"/>
      <c r="M7" t="s">
        <v>53</v>
      </c>
      <c r="N7" s="10">
        <f>SUMIFS(Data[Revenue],Data[Store Name],M7,Data[Month],CurMonth,Data[Year],CurYear)</f>
        <v>17505.330000000002</v>
      </c>
      <c r="O7" s="10">
        <f>SUMIFS(Data[Revenue],Data[Store Name],M7,Data[Month],PrevMonth,Data[Year],PMYear)</f>
        <v>17049.52</v>
      </c>
      <c r="P7" s="11">
        <f>N7/O7-1</f>
        <v>2.6734476982343214E-2</v>
      </c>
      <c r="Q7">
        <f t="shared" si="1"/>
        <v>6</v>
      </c>
      <c r="S7">
        <v>5</v>
      </c>
      <c r="T7" t="str">
        <f t="shared" si="2"/>
        <v>Fifth Avenue</v>
      </c>
      <c r="U7" t="str">
        <f>VLOOKUP(T7,Data[[Store Name]:[Region]],2,0)</f>
        <v>New York</v>
      </c>
      <c r="V7" s="10">
        <f t="shared" si="2"/>
        <v>16255.230000000001</v>
      </c>
      <c r="W7" s="11">
        <f t="shared" si="2"/>
        <v>-0.13607835613264074</v>
      </c>
      <c r="X7" s="10">
        <f>IF($U7=Region,V7,0)</f>
        <v>0</v>
      </c>
      <c r="Y7" s="11">
        <f>IF($U7=Region,W7,0)</f>
        <v>0</v>
      </c>
      <c r="AA7" t="s">
        <v>20</v>
      </c>
      <c r="AB7" s="10">
        <f>SUMIFS(Data[Revenue],Data[Region],Region,Data[Month],CurMonth,Data[Year],CurYear,Data[Product Name],'Data Prep'!AA7)</f>
        <v>4467.0200000000004</v>
      </c>
      <c r="AC7" s="10">
        <f>SUMIFS(Data[Revenue],Data[Region],Region,Data[Month],PrevMonth,Data[Year],PrevYear,Data[Product Name],'Data Prep'!AA7)</f>
        <v>8034.6399999999994</v>
      </c>
      <c r="AD7" s="17">
        <f t="shared" si="3"/>
        <v>-3567.619999999999</v>
      </c>
      <c r="AE7">
        <f t="shared" si="4"/>
        <v>34</v>
      </c>
      <c r="AF7">
        <f t="shared" si="5"/>
        <v>1</v>
      </c>
      <c r="AH7">
        <v>5</v>
      </c>
      <c r="AI7" t="str">
        <f t="shared" si="6"/>
        <v>Toy Robot</v>
      </c>
      <c r="AJ7" s="10">
        <f t="shared" si="0"/>
        <v>1533.4099999999999</v>
      </c>
      <c r="AK7" s="10">
        <f t="shared" si="0"/>
        <v>883.65999999999985</v>
      </c>
    </row>
    <row r="8" spans="1:37" x14ac:dyDescent="0.2">
      <c r="A8" s="13" t="s">
        <v>78</v>
      </c>
      <c r="B8" s="9">
        <f>MAX(Data[Year])</f>
        <v>2021</v>
      </c>
      <c r="G8">
        <v>6</v>
      </c>
      <c r="H8" t="s">
        <v>95</v>
      </c>
      <c r="I8" s="10">
        <f>SUMIFS(Data[[Revenue]:[Revenue]],Data[[Region]:[Region]],Region,Data[[Month]:[Month]],'Data Prep'!$G8,Data[[Year]:[Year]],'Data Prep'!I$2)</f>
        <v>42487.139999999992</v>
      </c>
      <c r="J8" s="10">
        <f>IF(G8&gt;CurMonth,NA(),SUMIFS(Data[[Revenue]:[Revenue]],Data[[Region]:[Region]],Region,Data[[Month]:[Month]],'Data Prep'!$G8,Data[[Year]:[Year]],'Data Prep'!J$2))</f>
        <v>46196.220000000008</v>
      </c>
      <c r="K8" s="10" t="e">
        <f>IF(G8=CurMonth,J8,NA())</f>
        <v>#N/A</v>
      </c>
      <c r="L8" s="16"/>
      <c r="M8" t="s">
        <v>58</v>
      </c>
      <c r="N8" s="10">
        <f>SUMIFS(Data[Revenue],Data[Store Name],M8,Data[Month],CurMonth,Data[Year],CurYear)</f>
        <v>16255.230000000001</v>
      </c>
      <c r="O8" s="10">
        <f>SUMIFS(Data[Revenue],Data[Store Name],M8,Data[Month],PrevMonth,Data[Year],PMYear)</f>
        <v>18815.63</v>
      </c>
      <c r="P8" s="11">
        <f>N8/O8-1</f>
        <v>-0.13607835613264074</v>
      </c>
      <c r="Q8">
        <f t="shared" si="1"/>
        <v>5</v>
      </c>
      <c r="S8">
        <v>6</v>
      </c>
      <c r="T8" t="str">
        <f t="shared" si="2"/>
        <v>Lincoln Park</v>
      </c>
      <c r="U8" t="str">
        <f>VLOOKUP(T8,Data[[Store Name]:[Region]],2,0)</f>
        <v>Chicago</v>
      </c>
      <c r="V8" s="10">
        <f t="shared" si="2"/>
        <v>17505.330000000002</v>
      </c>
      <c r="W8" s="11">
        <f t="shared" si="2"/>
        <v>2.6734476982343214E-2</v>
      </c>
      <c r="X8" s="10">
        <f>IF($U8=Region,V8,0)</f>
        <v>0</v>
      </c>
      <c r="Y8" s="11">
        <f>IF($U8=Region,W8,0)</f>
        <v>0</v>
      </c>
      <c r="AA8" t="s">
        <v>25</v>
      </c>
      <c r="AB8" s="10">
        <f>SUMIFS(Data[Revenue],Data[Region],Region,Data[Month],CurMonth,Data[Year],CurYear,Data[Product Name],'Data Prep'!AA8)</f>
        <v>575.64</v>
      </c>
      <c r="AC8" s="10">
        <f>SUMIFS(Data[Revenue],Data[Region],Region,Data[Month],PrevMonth,Data[Year],PrevYear,Data[Product Name],'Data Prep'!AA8)</f>
        <v>3485.82</v>
      </c>
      <c r="AD8" s="17">
        <f t="shared" si="3"/>
        <v>-2910.1800000000003</v>
      </c>
      <c r="AE8">
        <f t="shared" si="4"/>
        <v>33</v>
      </c>
      <c r="AF8">
        <f t="shared" si="5"/>
        <v>2</v>
      </c>
    </row>
    <row r="9" spans="1:37" x14ac:dyDescent="0.2">
      <c r="A9" s="13" t="s">
        <v>79</v>
      </c>
      <c r="B9" s="9">
        <f>_xlfn.MAXIFS(Data[Month],Data[Year],[0]!CurYear)</f>
        <v>9</v>
      </c>
      <c r="G9">
        <v>7</v>
      </c>
      <c r="H9" t="s">
        <v>96</v>
      </c>
      <c r="I9" s="10">
        <f>SUMIFS(Data[[Revenue]:[Revenue]],Data[[Region]:[Region]],Region,Data[[Month]:[Month]],'Data Prep'!$G9,Data[[Year]:[Year]],'Data Prep'!I$2)</f>
        <v>44643.76</v>
      </c>
      <c r="J9" s="10">
        <f>IF(G9&gt;CurMonth,NA(),SUMIFS(Data[[Revenue]:[Revenue]],Data[[Region]:[Region]],Region,Data[[Month]:[Month]],'Data Prep'!$G9,Data[[Year]:[Year]],'Data Prep'!J$2))</f>
        <v>59782.98000000001</v>
      </c>
      <c r="K9" s="10" t="e">
        <f>IF(G9=CurMonth,J9,NA())</f>
        <v>#N/A</v>
      </c>
      <c r="L9" s="16"/>
      <c r="M9" t="s">
        <v>62</v>
      </c>
      <c r="N9" s="10">
        <f>SUMIFS(Data[Revenue],Data[Store Name],M9,Data[Month],CurMonth,Data[Year],CurYear)</f>
        <v>20484.010000000002</v>
      </c>
      <c r="O9" s="10">
        <f>SUMIFS(Data[Revenue],Data[Store Name],M9,Data[Month],PrevMonth,Data[Year],PMYear)</f>
        <v>17895.43</v>
      </c>
      <c r="P9" s="11">
        <f>N9/O9-1</f>
        <v>0.14465033810308014</v>
      </c>
      <c r="Q9">
        <f t="shared" si="1"/>
        <v>10</v>
      </c>
      <c r="S9">
        <v>7</v>
      </c>
      <c r="T9" t="str">
        <f t="shared" si="2"/>
        <v>LAX</v>
      </c>
      <c r="U9" t="str">
        <f>VLOOKUP(T9,Data[[Store Name]:[Region]],2,0)</f>
        <v>Los Angeles</v>
      </c>
      <c r="V9" s="10">
        <f t="shared" si="2"/>
        <v>18171.759999999995</v>
      </c>
      <c r="W9" s="11">
        <f t="shared" si="2"/>
        <v>-0.17099256839675403</v>
      </c>
      <c r="X9" s="10">
        <f>IF($U9=Region,V9,0)</f>
        <v>18171.759999999995</v>
      </c>
      <c r="Y9" s="11">
        <f>IF($U9=Region,W9,0)</f>
        <v>-0.17099256839675403</v>
      </c>
      <c r="AA9" t="s">
        <v>8</v>
      </c>
      <c r="AB9" s="10">
        <f>SUMIFS(Data[Revenue],Data[Region],Region,Data[Month],CurMonth,Data[Year],CurYear,Data[Product Name],'Data Prep'!AA9)</f>
        <v>2334.66</v>
      </c>
      <c r="AC9" s="10">
        <f>SUMIFS(Data[Revenue],Data[Region],Region,Data[Month],PrevMonth,Data[Year],PrevYear,Data[Product Name],'Data Prep'!AA9)</f>
        <v>1607.7</v>
      </c>
      <c r="AD9" s="17">
        <f t="shared" si="3"/>
        <v>726.95999999999981</v>
      </c>
      <c r="AE9">
        <f t="shared" si="4"/>
        <v>7</v>
      </c>
      <c r="AF9">
        <f t="shared" si="5"/>
        <v>28</v>
      </c>
    </row>
    <row r="10" spans="1:37" x14ac:dyDescent="0.2">
      <c r="A10" s="13" t="s">
        <v>80</v>
      </c>
      <c r="B10" s="9">
        <f>CurYear-1</f>
        <v>2020</v>
      </c>
      <c r="G10">
        <v>8</v>
      </c>
      <c r="H10" t="s">
        <v>97</v>
      </c>
      <c r="I10" s="10">
        <f>SUMIFS(Data[[Revenue]:[Revenue]],Data[[Region]:[Region]],Region,Data[[Month]:[Month]],'Data Prep'!$G10,Data[[Year]:[Year]],'Data Prep'!I$2)</f>
        <v>36202.770000000004</v>
      </c>
      <c r="J10" s="10">
        <f>IF(G10&gt;CurMonth,NA(),SUMIFS(Data[[Revenue]:[Revenue]],Data[[Region]:[Region]],Region,Data[[Month]:[Month]],'Data Prep'!$G10,Data[[Year]:[Year]],'Data Prep'!J$2))</f>
        <v>41270.179999999986</v>
      </c>
      <c r="K10" s="10" t="e">
        <f>IF(G10=CurMonth,J10,NA())</f>
        <v>#N/A</v>
      </c>
      <c r="L10" s="16"/>
      <c r="M10" t="s">
        <v>60</v>
      </c>
      <c r="N10" s="10">
        <f>SUMIFS(Data[Revenue],Data[Store Name],M10,Data[Month],CurMonth,Data[Year],CurYear)</f>
        <v>13879.13</v>
      </c>
      <c r="O10" s="10">
        <f>SUMIFS(Data[Revenue],Data[Store Name],M10,Data[Month],PrevMonth,Data[Year],PMYear)</f>
        <v>13127.479999999996</v>
      </c>
      <c r="P10" s="11">
        <f>N10/O10-1</f>
        <v>5.7257752439920262E-2</v>
      </c>
      <c r="Q10">
        <f t="shared" si="1"/>
        <v>3</v>
      </c>
      <c r="S10">
        <v>8</v>
      </c>
      <c r="T10" t="str">
        <f t="shared" si="2"/>
        <v>O'Hare</v>
      </c>
      <c r="U10" t="str">
        <f>VLOOKUP(T10,Data[[Store Name]:[Region]],2,0)</f>
        <v>Chicago</v>
      </c>
      <c r="V10" s="10">
        <f t="shared" si="2"/>
        <v>18237.980000000003</v>
      </c>
      <c r="W10" s="11">
        <f t="shared" si="2"/>
        <v>-0.3315731431233282</v>
      </c>
      <c r="X10" s="10">
        <f>IF($U10=Region,V10,0)</f>
        <v>0</v>
      </c>
      <c r="Y10" s="11">
        <f>IF($U10=Region,W10,0)</f>
        <v>0</v>
      </c>
      <c r="AA10" t="s">
        <v>17</v>
      </c>
      <c r="AB10" s="10">
        <f>SUMIFS(Data[Revenue],Data[Region],Region,Data[Month],CurMonth,Data[Year],CurYear,Data[Product Name],'Data Prep'!AA10)</f>
        <v>2659.58</v>
      </c>
      <c r="AC10" s="10">
        <f>SUMIFS(Data[Revenue],Data[Region],Region,Data[Month],PrevMonth,Data[Year],PrevYear,Data[Product Name],'Data Prep'!AA10)</f>
        <v>0</v>
      </c>
      <c r="AD10" s="17">
        <f t="shared" si="3"/>
        <v>2659.58</v>
      </c>
      <c r="AE10">
        <f t="shared" si="4"/>
        <v>3</v>
      </c>
      <c r="AF10">
        <f t="shared" si="5"/>
        <v>32</v>
      </c>
      <c r="AH10" s="12" t="s">
        <v>112</v>
      </c>
      <c r="AI10" s="12"/>
      <c r="AJ10" s="12"/>
      <c r="AK10" s="12"/>
    </row>
    <row r="11" spans="1:37" x14ac:dyDescent="0.2">
      <c r="A11" s="13" t="s">
        <v>81</v>
      </c>
      <c r="B11" s="9">
        <f>IF(CurMonth=1,12,CurMonth-1)</f>
        <v>8</v>
      </c>
      <c r="G11">
        <v>9</v>
      </c>
      <c r="H11" t="s">
        <v>98</v>
      </c>
      <c r="I11" s="10">
        <f>SUMIFS(Data[[Revenue]:[Revenue]],Data[[Region]:[Region]],Region,Data[[Month]:[Month]],'Data Prep'!$G11,Data[[Year]:[Year]],'Data Prep'!I$2)</f>
        <v>34881.53</v>
      </c>
      <c r="J11" s="10">
        <f>IF(G11&gt;CurMonth,NA(),SUMIFS(Data[[Revenue]:[Revenue]],Data[[Region]:[Region]],Region,Data[[Month]:[Month]],'Data Prep'!$G11,Data[[Year]:[Year]],'Data Prep'!J$2))</f>
        <v>44041.12999999999</v>
      </c>
      <c r="K11" s="10">
        <f>IF(G11=CurMonth,J11,NA())</f>
        <v>44041.12999999999</v>
      </c>
      <c r="L11" s="16"/>
      <c r="M11" t="s">
        <v>61</v>
      </c>
      <c r="N11" s="10">
        <f>SUMIFS(Data[Revenue],Data[Store Name],M11,Data[Month],CurMonth,Data[Year],CurYear)</f>
        <v>18171.759999999995</v>
      </c>
      <c r="O11" s="10">
        <f>SUMIFS(Data[Revenue],Data[Store Name],M11,Data[Month],PrevMonth,Data[Year],PMYear)</f>
        <v>21919.900000000005</v>
      </c>
      <c r="P11" s="11">
        <f>N11/O11-1</f>
        <v>-0.17099256839675403</v>
      </c>
      <c r="Q11">
        <f t="shared" si="1"/>
        <v>7</v>
      </c>
      <c r="S11">
        <v>9</v>
      </c>
      <c r="T11" t="str">
        <f t="shared" si="2"/>
        <v>Millenium</v>
      </c>
      <c r="U11" t="str">
        <f>VLOOKUP(T11,Data[[Store Name]:[Region]],2,0)</f>
        <v>Chicago</v>
      </c>
      <c r="V11" s="10">
        <f t="shared" si="2"/>
        <v>18238.46</v>
      </c>
      <c r="W11" s="11">
        <f t="shared" si="2"/>
        <v>0.18953874088693379</v>
      </c>
      <c r="X11" s="10">
        <f>IF($U11=Region,V11,0)</f>
        <v>0</v>
      </c>
      <c r="Y11" s="11">
        <f>IF($U11=Region,W11,0)</f>
        <v>0</v>
      </c>
      <c r="AA11" t="s">
        <v>28</v>
      </c>
      <c r="AB11" s="10">
        <f>SUMIFS(Data[Revenue],Data[Region],Region,Data[Month],CurMonth,Data[Year],CurYear,Data[Product Name],'Data Prep'!AA11)</f>
        <v>1424.05</v>
      </c>
      <c r="AC11" s="10">
        <f>SUMIFS(Data[Revenue],Data[Region],Region,Data[Month],PrevMonth,Data[Year],PrevYear,Data[Product Name],'Data Prep'!AA11)</f>
        <v>1708.8600000000001</v>
      </c>
      <c r="AD11" s="17">
        <f t="shared" si="3"/>
        <v>-284.81000000000017</v>
      </c>
      <c r="AE11">
        <f t="shared" si="4"/>
        <v>22</v>
      </c>
      <c r="AF11">
        <f t="shared" si="5"/>
        <v>13</v>
      </c>
      <c r="AH11" s="15" t="s">
        <v>104</v>
      </c>
      <c r="AI11" s="15" t="s">
        <v>108</v>
      </c>
      <c r="AJ11" s="15" t="s">
        <v>46</v>
      </c>
      <c r="AK11" s="15" t="s">
        <v>107</v>
      </c>
    </row>
    <row r="12" spans="1:37" x14ac:dyDescent="0.2">
      <c r="A12" s="13" t="s">
        <v>86</v>
      </c>
      <c r="B12" s="9">
        <f>IF(CurYear=1,PrevYear,CurYear)</f>
        <v>2021</v>
      </c>
      <c r="G12">
        <v>10</v>
      </c>
      <c r="H12" t="s">
        <v>99</v>
      </c>
      <c r="I12" s="10">
        <f>SUMIFS(Data[[Revenue]:[Revenue]],Data[[Region]:[Region]],Region,Data[[Month]:[Month]],'Data Prep'!$G12,Data[[Year]:[Year]],'Data Prep'!I$2)</f>
        <v>43505.939999999995</v>
      </c>
      <c r="J12" s="10" t="e">
        <f>IF(G12&gt;CurMonth,NA(),SUMIFS(Data[[Revenue]:[Revenue]],Data[[Region]:[Region]],Region,Data[[Month]:[Month]],'Data Prep'!$G12,Data[[Year]:[Year]],'Data Prep'!J$2))</f>
        <v>#N/A</v>
      </c>
      <c r="K12" s="10" t="e">
        <f>IF(G12=CurMonth,J12,NA())</f>
        <v>#N/A</v>
      </c>
      <c r="L12" s="16"/>
      <c r="M12" t="s">
        <v>57</v>
      </c>
      <c r="N12" s="10">
        <f>SUMIFS(Data[Revenue],Data[Store Name],M12,Data[Month],CurMonth,Data[Year],CurYear)</f>
        <v>18237.980000000003</v>
      </c>
      <c r="O12" s="10">
        <f>SUMIFS(Data[Revenue],Data[Store Name],M12,Data[Month],PrevMonth,Data[Year],PMYear)</f>
        <v>27284.929999999993</v>
      </c>
      <c r="P12" s="11">
        <f>N12/O12-1</f>
        <v>-0.3315731431233282</v>
      </c>
      <c r="Q12">
        <f t="shared" si="1"/>
        <v>8</v>
      </c>
      <c r="S12">
        <v>10</v>
      </c>
      <c r="T12" t="str">
        <f t="shared" si="2"/>
        <v>Times Square</v>
      </c>
      <c r="U12" t="str">
        <f>VLOOKUP(T12,Data[[Store Name]:[Region]],2,0)</f>
        <v>New York</v>
      </c>
      <c r="V12" s="10">
        <f t="shared" si="2"/>
        <v>20484.010000000002</v>
      </c>
      <c r="W12" s="11">
        <f t="shared" si="2"/>
        <v>0.14465033810308014</v>
      </c>
      <c r="X12" s="10">
        <f>IF($U12=Region,V12,0)</f>
        <v>0</v>
      </c>
      <c r="Y12" s="11">
        <f>IF($U12=Region,W12,0)</f>
        <v>0</v>
      </c>
      <c r="AA12" t="s">
        <v>32</v>
      </c>
      <c r="AB12" s="10">
        <f>SUMIFS(Data[Revenue],Data[Region],Region,Data[Month],CurMonth,Data[Year],CurYear,Data[Product Name],'Data Prep'!AA12)</f>
        <v>1329.79</v>
      </c>
      <c r="AC12" s="10">
        <f>SUMIFS(Data[Revenue],Data[Region],Region,Data[Month],PrevMonth,Data[Year],PrevYear,Data[Product Name],'Data Prep'!AA12)</f>
        <v>1527.61</v>
      </c>
      <c r="AD12" s="17">
        <f t="shared" si="3"/>
        <v>-197.81999999999994</v>
      </c>
      <c r="AE12">
        <f t="shared" si="4"/>
        <v>20</v>
      </c>
      <c r="AF12">
        <f t="shared" si="5"/>
        <v>15</v>
      </c>
      <c r="AH12">
        <v>1</v>
      </c>
      <c r="AI12" t="str">
        <f>INDEX($AA$3:$AD$36,MATCH($AH12,$AF$3:$AF$36,0),MATCH(AI$2,$AA$2:$AD$2,0))</f>
        <v>Colorbuds</v>
      </c>
      <c r="AJ12" s="10">
        <f t="shared" ref="AJ12:AK16" si="7">INDEX($AA$3:$AD$36,MATCH($AH12,$AF$3:$AF$36,0),MATCH(AJ$2,$AA$2:$AD$2,0))</f>
        <v>4467.0200000000004</v>
      </c>
      <c r="AK12" s="10">
        <f t="shared" si="7"/>
        <v>-3567.619999999999</v>
      </c>
    </row>
    <row r="13" spans="1:37" x14ac:dyDescent="0.2">
      <c r="A13" s="13" t="s">
        <v>115</v>
      </c>
      <c r="B13" t="str">
        <f>VLOOKUP(CurMonth,A16:B27,2,0)&amp;" "&amp;CurYear</f>
        <v>September 2021</v>
      </c>
      <c r="G13">
        <v>11</v>
      </c>
      <c r="H13" t="s">
        <v>100</v>
      </c>
      <c r="I13" s="10">
        <f>SUMIFS(Data[[Revenue]:[Revenue]],Data[[Region]:[Region]],Region,Data[[Month]:[Month]],'Data Prep'!$G13,Data[[Year]:[Year]],'Data Prep'!I$2)</f>
        <v>43677.41</v>
      </c>
      <c r="J13" s="10" t="e">
        <f>IF(G13&gt;CurMonth,NA(),SUMIFS(Data[[Revenue]:[Revenue]],Data[[Region]:[Region]],Region,Data[[Month]:[Month]],'Data Prep'!$G13,Data[[Year]:[Year]],'Data Prep'!J$2))</f>
        <v>#N/A</v>
      </c>
      <c r="K13" s="10" t="e">
        <f>IF(G13=CurMonth,J13,NA())</f>
        <v>#N/A</v>
      </c>
      <c r="AA13" t="s">
        <v>31</v>
      </c>
      <c r="AB13" s="10">
        <f>SUMIFS(Data[Revenue],Data[Region],Region,Data[Month],CurMonth,Data[Year],CurYear,Data[Product Name],'Data Prep'!AA13)</f>
        <v>1019.4899999999999</v>
      </c>
      <c r="AC13" s="10">
        <f>SUMIFS(Data[Revenue],Data[Region],Region,Data[Month],PrevMonth,Data[Year],PrevYear,Data[Product Name],'Data Prep'!AA13)</f>
        <v>1439.2799999999997</v>
      </c>
      <c r="AD13" s="17">
        <f t="shared" si="3"/>
        <v>-419.78999999999985</v>
      </c>
      <c r="AE13">
        <f t="shared" si="4"/>
        <v>24</v>
      </c>
      <c r="AF13">
        <f t="shared" si="5"/>
        <v>11</v>
      </c>
      <c r="AH13">
        <v>2</v>
      </c>
      <c r="AI13" t="str">
        <f t="shared" ref="AI13:AI16" si="8">INDEX($AA$3:$AD$36,MATCH($AH13,$AF$3:$AF$36,0),MATCH(AI$2,$AA$2:$AD$2,0))</f>
        <v>Dart Gun</v>
      </c>
      <c r="AJ13" s="10">
        <f t="shared" si="7"/>
        <v>575.64</v>
      </c>
      <c r="AK13" s="10">
        <f t="shared" si="7"/>
        <v>-2910.1800000000003</v>
      </c>
    </row>
    <row r="14" spans="1:37" x14ac:dyDescent="0.2">
      <c r="G14">
        <v>12</v>
      </c>
      <c r="H14" t="s">
        <v>101</v>
      </c>
      <c r="I14" s="10">
        <f>SUMIFS(Data[[Revenue]:[Revenue]],Data[[Region]:[Region]],Region,Data[[Month]:[Month]],'Data Prep'!$G14,Data[[Year]:[Year]],'Data Prep'!I$2)</f>
        <v>61614.720000000001</v>
      </c>
      <c r="J14" s="10" t="e">
        <f>IF(G14&gt;CurMonth,NA(),SUMIFS(Data[[Revenue]:[Revenue]],Data[[Region]:[Region]],Region,Data[[Month]:[Month]],'Data Prep'!$G14,Data[[Year]:[Year]],'Data Prep'!J$2))</f>
        <v>#N/A</v>
      </c>
      <c r="K14" s="10" t="e">
        <f>IF(G14=CurMonth,J14,NA())</f>
        <v>#N/A</v>
      </c>
      <c r="AA14" t="s">
        <v>15</v>
      </c>
      <c r="AB14" s="10">
        <f>SUMIFS(Data[Revenue],Data[Region],Region,Data[Month],CurMonth,Data[Year],CurYear,Data[Product Name],'Data Prep'!AA14)</f>
        <v>4918.7700000000004</v>
      </c>
      <c r="AC14" s="10">
        <f>SUMIFS(Data[Revenue],Data[Region],Region,Data[Month],PrevMonth,Data[Year],PrevYear,Data[Product Name],'Data Prep'!AA14)</f>
        <v>1799.5500000000002</v>
      </c>
      <c r="AD14" s="17">
        <f t="shared" si="3"/>
        <v>3119.2200000000003</v>
      </c>
      <c r="AE14">
        <f t="shared" si="4"/>
        <v>2</v>
      </c>
      <c r="AF14">
        <f t="shared" si="5"/>
        <v>33</v>
      </c>
      <c r="AH14">
        <v>3</v>
      </c>
      <c r="AI14" t="str">
        <f t="shared" si="8"/>
        <v>Rubik's Cube</v>
      </c>
      <c r="AJ14" s="10">
        <f t="shared" si="7"/>
        <v>1479.2599999999998</v>
      </c>
      <c r="AK14" s="10">
        <f t="shared" si="7"/>
        <v>-2278.86</v>
      </c>
    </row>
    <row r="15" spans="1:37" x14ac:dyDescent="0.2">
      <c r="A15" s="7" t="s">
        <v>116</v>
      </c>
      <c r="B15" s="7" t="s">
        <v>49</v>
      </c>
      <c r="AA15" t="s">
        <v>71</v>
      </c>
      <c r="AB15" s="10">
        <f>SUMIFS(Data[Revenue],Data[Region],Region,Data[Month],CurMonth,Data[Year],CurYear,Data[Product Name],'Data Prep'!AA15)</f>
        <v>0</v>
      </c>
      <c r="AC15" s="10">
        <f>SUMIFS(Data[Revenue],Data[Region],Region,Data[Month],PrevMonth,Data[Year],PrevYear,Data[Product Name],'Data Prep'!AA15)</f>
        <v>689.31000000000006</v>
      </c>
      <c r="AD15" s="17">
        <f t="shared" si="3"/>
        <v>-689.31000000000006</v>
      </c>
      <c r="AE15">
        <f t="shared" si="4"/>
        <v>27</v>
      </c>
      <c r="AF15">
        <f t="shared" si="5"/>
        <v>8</v>
      </c>
      <c r="AH15">
        <v>4</v>
      </c>
      <c r="AI15" t="str">
        <f t="shared" si="8"/>
        <v>Jenga</v>
      </c>
      <c r="AJ15" s="10">
        <f t="shared" si="7"/>
        <v>0</v>
      </c>
      <c r="AK15" s="10">
        <f t="shared" si="7"/>
        <v>-949.05</v>
      </c>
    </row>
    <row r="16" spans="1:37" x14ac:dyDescent="0.2">
      <c r="A16">
        <v>1</v>
      </c>
      <c r="B16" t="s">
        <v>117</v>
      </c>
      <c r="AA16" t="s">
        <v>19</v>
      </c>
      <c r="AB16" s="10">
        <f>SUMIFS(Data[Revenue],Data[Region],Region,Data[Month],CurMonth,Data[Year],CurYear,Data[Product Name],'Data Prep'!AA16)</f>
        <v>179.91</v>
      </c>
      <c r="AC16" s="10">
        <f>SUMIFS(Data[Revenue],Data[Region],Region,Data[Month],PrevMonth,Data[Year],PrevYear,Data[Product Name],'Data Prep'!AA16)</f>
        <v>79.959999999999994</v>
      </c>
      <c r="AD16" s="17">
        <f t="shared" si="3"/>
        <v>99.95</v>
      </c>
      <c r="AE16">
        <f t="shared" si="4"/>
        <v>13</v>
      </c>
      <c r="AF16">
        <f t="shared" si="5"/>
        <v>22</v>
      </c>
      <c r="AH16">
        <v>5</v>
      </c>
      <c r="AI16" t="str">
        <f t="shared" si="8"/>
        <v>Action Figure</v>
      </c>
      <c r="AJ16" s="10">
        <f t="shared" si="7"/>
        <v>1662.96</v>
      </c>
      <c r="AK16" s="10">
        <f t="shared" si="7"/>
        <v>-831.48</v>
      </c>
    </row>
    <row r="17" spans="1:32" x14ac:dyDescent="0.2">
      <c r="A17">
        <v>2</v>
      </c>
      <c r="B17" t="s">
        <v>118</v>
      </c>
      <c r="AA17" t="s">
        <v>27</v>
      </c>
      <c r="AB17" s="10">
        <f>SUMIFS(Data[Revenue],Data[Region],Region,Data[Month],CurMonth,Data[Year],CurYear,Data[Product Name],'Data Prep'!AA17)</f>
        <v>741.5200000000001</v>
      </c>
      <c r="AC17" s="10">
        <f>SUMIFS(Data[Revenue],Data[Region],Region,Data[Month],PrevMonth,Data[Year],PrevYear,Data[Product Name],'Data Prep'!AA17)</f>
        <v>517.27</v>
      </c>
      <c r="AD17" s="17">
        <f t="shared" si="3"/>
        <v>224.25000000000011</v>
      </c>
      <c r="AE17">
        <f t="shared" si="4"/>
        <v>10</v>
      </c>
      <c r="AF17">
        <f t="shared" si="5"/>
        <v>25</v>
      </c>
    </row>
    <row r="18" spans="1:32" x14ac:dyDescent="0.2">
      <c r="A18">
        <v>3</v>
      </c>
      <c r="B18" t="s">
        <v>119</v>
      </c>
      <c r="AA18" t="s">
        <v>11</v>
      </c>
      <c r="AB18" s="10">
        <f>SUMIFS(Data[Revenue],Data[Region],Region,Data[Month],CurMonth,Data[Year],CurYear,Data[Product Name],'Data Prep'!AA18)</f>
        <v>469.06</v>
      </c>
      <c r="AC18" s="10">
        <f>SUMIFS(Data[Revenue],Data[Region],Region,Data[Month],PrevMonth,Data[Year],PrevYear,Data[Product Name],'Data Prep'!AA18)</f>
        <v>773.45</v>
      </c>
      <c r="AD18" s="17">
        <f t="shared" si="3"/>
        <v>-304.39000000000004</v>
      </c>
      <c r="AE18">
        <f t="shared" si="4"/>
        <v>23</v>
      </c>
      <c r="AF18">
        <f t="shared" si="5"/>
        <v>12</v>
      </c>
    </row>
    <row r="19" spans="1:32" x14ac:dyDescent="0.2">
      <c r="A19">
        <v>4</v>
      </c>
      <c r="B19" t="s">
        <v>120</v>
      </c>
      <c r="AA19" t="s">
        <v>26</v>
      </c>
      <c r="AB19" s="10">
        <f>SUMIFS(Data[Revenue],Data[Region],Region,Data[Month],CurMonth,Data[Year],CurYear,Data[Product Name],'Data Prep'!AA19)</f>
        <v>1479.2599999999998</v>
      </c>
      <c r="AC19" s="10">
        <f>SUMIFS(Data[Revenue],Data[Region],Region,Data[Month],PrevMonth,Data[Year],PrevYear,Data[Product Name],'Data Prep'!AA19)</f>
        <v>3758.12</v>
      </c>
      <c r="AD19" s="17">
        <f t="shared" si="3"/>
        <v>-2278.86</v>
      </c>
      <c r="AE19">
        <f t="shared" si="4"/>
        <v>32</v>
      </c>
      <c r="AF19">
        <f t="shared" si="5"/>
        <v>3</v>
      </c>
    </row>
    <row r="20" spans="1:32" x14ac:dyDescent="0.2">
      <c r="A20">
        <v>5</v>
      </c>
      <c r="B20" t="s">
        <v>94</v>
      </c>
      <c r="AA20" t="s">
        <v>6</v>
      </c>
      <c r="AB20" s="10">
        <f>SUMIFS(Data[Revenue],Data[Region],Region,Data[Month],CurMonth,Data[Year],CurYear,Data[Product Name],'Data Prep'!AA20)</f>
        <v>836.07</v>
      </c>
      <c r="AC20" s="10">
        <f>SUMIFS(Data[Revenue],Data[Region],Region,Data[Month],PrevMonth,Data[Year],PrevYear,Data[Product Name],'Data Prep'!AA20)</f>
        <v>1330.52</v>
      </c>
      <c r="AD20" s="17">
        <f t="shared" si="3"/>
        <v>-494.44999999999993</v>
      </c>
      <c r="AE20">
        <f t="shared" si="4"/>
        <v>26</v>
      </c>
      <c r="AF20">
        <f t="shared" si="5"/>
        <v>9</v>
      </c>
    </row>
    <row r="21" spans="1:32" x14ac:dyDescent="0.2">
      <c r="A21">
        <v>6</v>
      </c>
      <c r="B21" t="s">
        <v>121</v>
      </c>
      <c r="AA21" t="s">
        <v>16</v>
      </c>
      <c r="AB21" s="10">
        <f>SUMIFS(Data[Revenue],Data[Region],Region,Data[Month],CurMonth,Data[Year],CurYear,Data[Product Name],'Data Prep'!AA21)</f>
        <v>194.85</v>
      </c>
      <c r="AC21" s="10">
        <f>SUMIFS(Data[Revenue],Data[Region],Region,Data[Month],PrevMonth,Data[Year],PrevYear,Data[Product Name],'Data Prep'!AA21)</f>
        <v>0</v>
      </c>
      <c r="AD21" s="17">
        <f t="shared" si="3"/>
        <v>194.85</v>
      </c>
      <c r="AE21">
        <f t="shared" si="4"/>
        <v>12</v>
      </c>
      <c r="AF21">
        <f t="shared" si="5"/>
        <v>23</v>
      </c>
    </row>
    <row r="22" spans="1:32" x14ac:dyDescent="0.2">
      <c r="A22">
        <v>7</v>
      </c>
      <c r="B22" t="s">
        <v>122</v>
      </c>
      <c r="AA22" t="s">
        <v>23</v>
      </c>
      <c r="AB22" s="10">
        <f>SUMIFS(Data[Revenue],Data[Region],Region,Data[Month],CurMonth,Data[Year],CurYear,Data[Product Name],'Data Prep'!AA22)</f>
        <v>1533.4099999999999</v>
      </c>
      <c r="AC22" s="10">
        <f>SUMIFS(Data[Revenue],Data[Region],Region,Data[Month],PrevMonth,Data[Year],PrevYear,Data[Product Name],'Data Prep'!AA22)</f>
        <v>649.75</v>
      </c>
      <c r="AD22" s="17">
        <f t="shared" si="3"/>
        <v>883.65999999999985</v>
      </c>
      <c r="AE22">
        <f t="shared" si="4"/>
        <v>5</v>
      </c>
      <c r="AF22">
        <f t="shared" si="5"/>
        <v>30</v>
      </c>
    </row>
    <row r="23" spans="1:32" x14ac:dyDescent="0.2">
      <c r="A23">
        <v>8</v>
      </c>
      <c r="B23" t="s">
        <v>123</v>
      </c>
      <c r="AA23" t="s">
        <v>10</v>
      </c>
      <c r="AB23" s="10">
        <f>SUMIFS(Data[Revenue],Data[Region],Region,Data[Month],CurMonth,Data[Year],CurYear,Data[Product Name],'Data Prep'!AA23)</f>
        <v>2018.9899999999998</v>
      </c>
      <c r="AC23" s="10">
        <f>SUMIFS(Data[Revenue],Data[Region],Region,Data[Month],PrevMonth,Data[Year],PrevYear,Data[Product Name],'Data Prep'!AA23)</f>
        <v>359.82</v>
      </c>
      <c r="AD23" s="17">
        <f t="shared" si="3"/>
        <v>1659.1699999999998</v>
      </c>
      <c r="AE23">
        <f t="shared" si="4"/>
        <v>4</v>
      </c>
      <c r="AF23">
        <f t="shared" si="5"/>
        <v>31</v>
      </c>
    </row>
    <row r="24" spans="1:32" x14ac:dyDescent="0.2">
      <c r="A24">
        <v>9</v>
      </c>
      <c r="B24" t="s">
        <v>124</v>
      </c>
      <c r="AA24" t="s">
        <v>66</v>
      </c>
      <c r="AB24" s="10">
        <f>SUMIFS(Data[Revenue],Data[Region],Region,Data[Month],CurMonth,Data[Year],CurYear,Data[Product Name],'Data Prep'!AA24)</f>
        <v>0</v>
      </c>
      <c r="AC24" s="10">
        <f>SUMIFS(Data[Revenue],Data[Region],Region,Data[Month],PrevMonth,Data[Year],PrevYear,Data[Product Name],'Data Prep'!AA24)</f>
        <v>249.89999999999998</v>
      </c>
      <c r="AD24" s="17">
        <f t="shared" si="3"/>
        <v>-249.89999999999998</v>
      </c>
      <c r="AE24">
        <f t="shared" si="4"/>
        <v>21</v>
      </c>
      <c r="AF24">
        <f t="shared" si="5"/>
        <v>14</v>
      </c>
    </row>
    <row r="25" spans="1:32" x14ac:dyDescent="0.2">
      <c r="A25">
        <v>10</v>
      </c>
      <c r="B25" t="s">
        <v>125</v>
      </c>
      <c r="AA25" t="s">
        <v>29</v>
      </c>
      <c r="AB25" s="10">
        <f>SUMIFS(Data[Revenue],Data[Region],Region,Data[Month],CurMonth,Data[Year],CurYear,Data[Product Name],'Data Prep'!AA25)</f>
        <v>0</v>
      </c>
      <c r="AC25" s="10">
        <f>SUMIFS(Data[Revenue],Data[Region],Region,Data[Month],PrevMonth,Data[Year],PrevYear,Data[Product Name],'Data Prep'!AA25)</f>
        <v>0</v>
      </c>
      <c r="AD25" s="17">
        <f t="shared" si="3"/>
        <v>0</v>
      </c>
      <c r="AE25">
        <f t="shared" si="4"/>
        <v>15.5</v>
      </c>
      <c r="AF25">
        <f t="shared" si="5"/>
        <v>19.5</v>
      </c>
    </row>
    <row r="26" spans="1:32" x14ac:dyDescent="0.2">
      <c r="A26">
        <v>11</v>
      </c>
      <c r="B26" t="s">
        <v>126</v>
      </c>
      <c r="AA26" t="s">
        <v>34</v>
      </c>
      <c r="AB26" s="10">
        <f>SUMIFS(Data[Revenue],Data[Region],Region,Data[Month],CurMonth,Data[Year],CurYear,Data[Product Name],'Data Prep'!AA26)</f>
        <v>1049.3700000000001</v>
      </c>
      <c r="AC26" s="10">
        <f>SUMIFS(Data[Revenue],Data[Region],Region,Data[Month],PrevMonth,Data[Year],PrevYear,Data[Product Name],'Data Prep'!AA26)</f>
        <v>211.47000000000003</v>
      </c>
      <c r="AD26" s="17">
        <f t="shared" si="3"/>
        <v>837.90000000000009</v>
      </c>
      <c r="AE26">
        <f t="shared" si="4"/>
        <v>6</v>
      </c>
      <c r="AF26">
        <f t="shared" si="5"/>
        <v>29</v>
      </c>
    </row>
    <row r="27" spans="1:32" x14ac:dyDescent="0.2">
      <c r="A27">
        <v>12</v>
      </c>
      <c r="B27" t="s">
        <v>127</v>
      </c>
      <c r="AA27" t="s">
        <v>70</v>
      </c>
      <c r="AB27" s="10">
        <f>SUMIFS(Data[Revenue],Data[Region],Region,Data[Month],CurMonth,Data[Year],CurYear,Data[Product Name],'Data Prep'!AA27)</f>
        <v>0</v>
      </c>
      <c r="AC27" s="10">
        <f>SUMIFS(Data[Revenue],Data[Region],Region,Data[Month],PrevMonth,Data[Year],PrevYear,Data[Product Name],'Data Prep'!AA27)</f>
        <v>748.75</v>
      </c>
      <c r="AD27" s="17">
        <f t="shared" si="3"/>
        <v>-748.75</v>
      </c>
      <c r="AE27">
        <f t="shared" si="4"/>
        <v>28</v>
      </c>
      <c r="AF27">
        <f t="shared" si="5"/>
        <v>7</v>
      </c>
    </row>
    <row r="28" spans="1:32" x14ac:dyDescent="0.2">
      <c r="AA28" t="s">
        <v>67</v>
      </c>
      <c r="AB28" s="10">
        <f>SUMIFS(Data[Revenue],Data[Region],Region,Data[Month],CurMonth,Data[Year],CurYear,Data[Product Name],'Data Prep'!AA28)</f>
        <v>0</v>
      </c>
      <c r="AC28" s="10">
        <f>SUMIFS(Data[Revenue],Data[Region],Region,Data[Month],PrevMonth,Data[Year],PrevYear,Data[Product Name],'Data Prep'!AA28)</f>
        <v>464.69000000000005</v>
      </c>
      <c r="AD28" s="17">
        <f t="shared" si="3"/>
        <v>-464.69000000000005</v>
      </c>
      <c r="AE28">
        <f t="shared" si="4"/>
        <v>25</v>
      </c>
      <c r="AF28">
        <f t="shared" si="5"/>
        <v>10</v>
      </c>
    </row>
    <row r="29" spans="1:32" x14ac:dyDescent="0.2">
      <c r="AA29" t="s">
        <v>37</v>
      </c>
      <c r="AB29" s="10">
        <f>SUMIFS(Data[Revenue],Data[Region],Region,Data[Month],CurMonth,Data[Year],CurYear,Data[Product Name],'Data Prep'!AA29)</f>
        <v>174.92999999999998</v>
      </c>
      <c r="AC29" s="10">
        <f>SUMIFS(Data[Revenue],Data[Region],Region,Data[Month],PrevMonth,Data[Year],PrevYear,Data[Product Name],'Data Prep'!AA29)</f>
        <v>249.89999999999998</v>
      </c>
      <c r="AD29" s="17">
        <f t="shared" si="3"/>
        <v>-74.97</v>
      </c>
      <c r="AE29">
        <f t="shared" si="4"/>
        <v>19</v>
      </c>
      <c r="AF29">
        <f t="shared" si="5"/>
        <v>16</v>
      </c>
    </row>
    <row r="30" spans="1:32" x14ac:dyDescent="0.2">
      <c r="AA30" t="s">
        <v>38</v>
      </c>
      <c r="AB30" s="10">
        <f>SUMIFS(Data[Revenue],Data[Region],Region,Data[Month],CurMonth,Data[Year],CurYear,Data[Product Name],'Data Prep'!AA30)</f>
        <v>0</v>
      </c>
      <c r="AC30" s="10">
        <f>SUMIFS(Data[Revenue],Data[Region],Region,Data[Month],PrevMonth,Data[Year],PrevYear,Data[Product Name],'Data Prep'!AA30)</f>
        <v>949.05</v>
      </c>
      <c r="AD30" s="17">
        <f t="shared" si="3"/>
        <v>-949.05</v>
      </c>
      <c r="AE30">
        <f t="shared" si="4"/>
        <v>31</v>
      </c>
      <c r="AF30">
        <f t="shared" si="5"/>
        <v>4</v>
      </c>
    </row>
    <row r="31" spans="1:32" x14ac:dyDescent="0.2">
      <c r="AA31" t="s">
        <v>39</v>
      </c>
      <c r="AB31" s="10">
        <f>SUMIFS(Data[Revenue],Data[Region],Region,Data[Month],CurMonth,Data[Year],CurYear,Data[Product Name],'Data Prep'!AA31)</f>
        <v>379.80999999999995</v>
      </c>
      <c r="AC31" s="10">
        <f>SUMIFS(Data[Revenue],Data[Region],Region,Data[Month],PrevMonth,Data[Year],PrevYear,Data[Product Name],'Data Prep'!AA31)</f>
        <v>399.79999999999995</v>
      </c>
      <c r="AD31" s="17">
        <f t="shared" si="3"/>
        <v>-19.990000000000009</v>
      </c>
      <c r="AE31">
        <f t="shared" si="4"/>
        <v>18</v>
      </c>
      <c r="AF31">
        <f t="shared" si="5"/>
        <v>17</v>
      </c>
    </row>
    <row r="32" spans="1:32" x14ac:dyDescent="0.2">
      <c r="AA32" t="s">
        <v>68</v>
      </c>
      <c r="AB32" s="10">
        <f>SUMIFS(Data[Revenue],Data[Region],Region,Data[Month],CurMonth,Data[Year],CurYear,Data[Product Name],'Data Prep'!AA32)</f>
        <v>0</v>
      </c>
      <c r="AC32" s="10">
        <f>SUMIFS(Data[Revenue],Data[Region],Region,Data[Month],PrevMonth,Data[Year],PrevYear,Data[Product Name],'Data Prep'!AA32)</f>
        <v>776.62999999999988</v>
      </c>
      <c r="AD32" s="17">
        <f t="shared" si="3"/>
        <v>-776.62999999999988</v>
      </c>
      <c r="AE32">
        <f t="shared" si="4"/>
        <v>29</v>
      </c>
      <c r="AF32">
        <f t="shared" si="5"/>
        <v>6</v>
      </c>
    </row>
    <row r="33" spans="27:32" x14ac:dyDescent="0.2">
      <c r="AA33" t="s">
        <v>42</v>
      </c>
      <c r="AB33" s="10">
        <f>SUMIFS(Data[Revenue],Data[Region],Region,Data[Month],CurMonth,Data[Year],CurYear,Data[Product Name],'Data Prep'!AA33)</f>
        <v>6523.92</v>
      </c>
      <c r="AC33" s="10">
        <f>SUMIFS(Data[Revenue],Data[Region],Region,Data[Month],PrevMonth,Data[Year],PrevYear,Data[Product Name],'Data Prep'!AA33)</f>
        <v>0</v>
      </c>
      <c r="AD33" s="17">
        <f t="shared" si="3"/>
        <v>6523.92</v>
      </c>
      <c r="AE33">
        <f t="shared" si="4"/>
        <v>1</v>
      </c>
      <c r="AF33">
        <f t="shared" si="5"/>
        <v>34</v>
      </c>
    </row>
    <row r="34" spans="27:32" x14ac:dyDescent="0.2">
      <c r="AA34" t="s">
        <v>41</v>
      </c>
      <c r="AB34" s="10">
        <f>SUMIFS(Data[Revenue],Data[Region],Region,Data[Month],CurMonth,Data[Year],CurYear,Data[Product Name],'Data Prep'!AA34)</f>
        <v>259.74</v>
      </c>
      <c r="AC34" s="10">
        <f>SUMIFS(Data[Revenue],Data[Region],Region,Data[Month],PrevMonth,Data[Year],PrevYear,Data[Product Name],'Data Prep'!AA34)</f>
        <v>0</v>
      </c>
      <c r="AD34" s="17">
        <f t="shared" si="3"/>
        <v>259.74</v>
      </c>
      <c r="AE34">
        <f t="shared" si="4"/>
        <v>9</v>
      </c>
      <c r="AF34">
        <f t="shared" si="5"/>
        <v>26</v>
      </c>
    </row>
    <row r="35" spans="27:32" x14ac:dyDescent="0.2">
      <c r="AA35" t="s">
        <v>43</v>
      </c>
      <c r="AB35" s="10">
        <f>SUMIFS(Data[Revenue],Data[Region],Region,Data[Month],CurMonth,Data[Year],CurYear,Data[Product Name],'Data Prep'!AA35)</f>
        <v>503.76</v>
      </c>
      <c r="AC35" s="10">
        <f>SUMIFS(Data[Revenue],Data[Region],Region,Data[Month],PrevMonth,Data[Year],PrevYear,Data[Product Name],'Data Prep'!AA35)</f>
        <v>0</v>
      </c>
      <c r="AD35" s="17">
        <f t="shared" si="3"/>
        <v>503.76</v>
      </c>
      <c r="AE35">
        <f t="shared" si="4"/>
        <v>8</v>
      </c>
      <c r="AF35">
        <f t="shared" si="5"/>
        <v>27</v>
      </c>
    </row>
    <row r="36" spans="27:32" x14ac:dyDescent="0.2">
      <c r="AA36" t="s">
        <v>69</v>
      </c>
      <c r="AB36" s="10">
        <f>SUMIFS(Data[Revenue],Data[Region],Region,Data[Month],CurMonth,Data[Year],CurYear,Data[Product Name],'Data Prep'!AA36)</f>
        <v>0</v>
      </c>
      <c r="AC36" s="10">
        <f>SUMIFS(Data[Revenue],Data[Region],Region,Data[Month],PrevMonth,Data[Year],PrevYear,Data[Product Name],'Data Prep'!AA36)</f>
        <v>0</v>
      </c>
      <c r="AD36" s="17">
        <f t="shared" si="3"/>
        <v>0</v>
      </c>
      <c r="AE36">
        <f t="shared" si="4"/>
        <v>15.5</v>
      </c>
      <c r="AF36">
        <f t="shared" si="5"/>
        <v>19.5</v>
      </c>
    </row>
  </sheetData>
  <sheetProtection algorithmName="SHA-512" hashValue="KemY395GifdoKK4KS+Wdqvu/bK1SeUsePcSPTrxImhGPRoh8yq7f2ym+Ghw0SJH/qUgxyaSJ7HVzFa9hfeqsRg==" saltValue="Zy4ngWLgPlLtJT+6iMcyNw==" spinCount="100000" sheet="1" objects="1" scenarios="1"/>
  <sortState xmlns:xlrd2="http://schemas.microsoft.com/office/spreadsheetml/2017/richdata2" ref="M3:P12">
    <sortCondition ref="N2:N12"/>
  </sortState>
  <phoneticPr fontId="2" type="noConversion"/>
  <conditionalFormatting sqref="E5:E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ignoredErrors>
    <ignoredError sqref="U3 U4:U12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3E1E-A367-924A-BB00-33FD96A0240D}">
  <dimension ref="B5:R47"/>
  <sheetViews>
    <sheetView showGridLines="0" showRowColHeaders="0" tabSelected="1" topLeftCell="A2" zoomScaleNormal="100" workbookViewId="0">
      <selection activeCell="C7" sqref="C7"/>
    </sheetView>
  </sheetViews>
  <sheetFormatPr baseColWidth="10" defaultRowHeight="15" x14ac:dyDescent="0.2"/>
  <cols>
    <col min="1" max="1" width="2.5" customWidth="1"/>
    <col min="2" max="2" width="11.33203125" customWidth="1"/>
    <col min="3" max="3" width="21" customWidth="1"/>
    <col min="4" max="4" width="24.1640625" customWidth="1"/>
    <col min="5" max="5" width="17.1640625" customWidth="1"/>
    <col min="7" max="7" width="7" customWidth="1"/>
    <col min="9" max="9" width="6.83203125" customWidth="1"/>
    <col min="10" max="10" width="12.6640625" customWidth="1"/>
    <col min="11" max="11" width="13.5" customWidth="1"/>
    <col min="12" max="12" width="8.6640625" customWidth="1"/>
    <col min="13" max="14" width="6.6640625" customWidth="1"/>
    <col min="15" max="15" width="11.1640625" customWidth="1"/>
    <col min="16" max="17" width="18.83203125" customWidth="1"/>
    <col min="18" max="18" width="23.33203125" customWidth="1"/>
  </cols>
  <sheetData>
    <row r="5" spans="2:18" ht="8" customHeight="1" x14ac:dyDescent="0.2"/>
    <row r="6" spans="2:18" hidden="1" x14ac:dyDescent="0.2"/>
    <row r="7" spans="2:18" ht="29" x14ac:dyDescent="0.35">
      <c r="B7" s="26" t="s">
        <v>114</v>
      </c>
      <c r="C7" s="28" t="s">
        <v>4</v>
      </c>
      <c r="D7" s="29" t="s">
        <v>128</v>
      </c>
      <c r="E7" s="27" t="str">
        <f>'Data Prep'!B13&amp;":"</f>
        <v>September 2021:</v>
      </c>
    </row>
    <row r="16" spans="2:18" ht="27" customHeight="1" x14ac:dyDescent="0.2">
      <c r="P16" s="21" t="s">
        <v>108</v>
      </c>
      <c r="Q16" s="22" t="s">
        <v>46</v>
      </c>
      <c r="R16" s="22" t="s">
        <v>113</v>
      </c>
    </row>
    <row r="17" spans="2:18" ht="27" customHeight="1" x14ac:dyDescent="0.2">
      <c r="P17" s="19" t="str">
        <f>'Data Prep'!AI3</f>
        <v>Magic Sand</v>
      </c>
      <c r="Q17" s="20">
        <f>'Data Prep'!AJ3</f>
        <v>6523.92</v>
      </c>
      <c r="R17" s="20">
        <f>'Data Prep'!AK3</f>
        <v>6523.92</v>
      </c>
    </row>
    <row r="18" spans="2:18" ht="27" customHeight="1" x14ac:dyDescent="0.2">
      <c r="P18" s="19" t="str">
        <f>'Data Prep'!AI4</f>
        <v>Lego Bricks</v>
      </c>
      <c r="Q18" s="20">
        <f>'Data Prep'!AJ4</f>
        <v>4918.7700000000004</v>
      </c>
      <c r="R18" s="20">
        <f>'Data Prep'!AK4</f>
        <v>3119.2200000000003</v>
      </c>
    </row>
    <row r="19" spans="2:18" ht="27" customHeight="1" x14ac:dyDescent="0.2">
      <c r="B19" s="33" t="str">
        <f>IF('Data Prep'!E6&gt;0,"  ↑","  ↓")</f>
        <v xml:space="preserve">  ↑</v>
      </c>
      <c r="C19" s="32" t="str">
        <f>IF('Data Prep'!E5&gt;0,"↑","↓")</f>
        <v>↑</v>
      </c>
      <c r="P19" s="19" t="str">
        <f>'Data Prep'!AI5</f>
        <v>Dino Egg</v>
      </c>
      <c r="Q19" s="20">
        <f>'Data Prep'!AJ5</f>
        <v>2659.58</v>
      </c>
      <c r="R19" s="20">
        <f>'Data Prep'!AK5</f>
        <v>2659.58</v>
      </c>
    </row>
    <row r="20" spans="2:18" ht="27" customHeight="1" x14ac:dyDescent="0.2">
      <c r="B20" s="33"/>
      <c r="C20" s="32"/>
      <c r="P20" s="19" t="str">
        <f>'Data Prep'!AI6</f>
        <v>Nerf Gun</v>
      </c>
      <c r="Q20" s="20">
        <f>'Data Prep'!AJ6</f>
        <v>2018.9899999999998</v>
      </c>
      <c r="R20" s="20">
        <f>'Data Prep'!AK6</f>
        <v>1659.1699999999998</v>
      </c>
    </row>
    <row r="21" spans="2:18" ht="27" customHeight="1" x14ac:dyDescent="0.2">
      <c r="B21" s="30"/>
      <c r="C21" s="31"/>
      <c r="P21" s="19" t="str">
        <f>'Data Prep'!AI7</f>
        <v>Toy Robot</v>
      </c>
      <c r="Q21" s="20">
        <f>'Data Prep'!AJ7</f>
        <v>1533.4099999999999</v>
      </c>
      <c r="R21" s="23">
        <f>'Data Prep'!AK7</f>
        <v>883.65999999999985</v>
      </c>
    </row>
    <row r="22" spans="2:18" ht="27" customHeight="1" x14ac:dyDescent="0.2">
      <c r="P22" s="19"/>
      <c r="Q22" s="19"/>
      <c r="R22" s="24">
        <f>SUM(R17:R21)</f>
        <v>14845.55</v>
      </c>
    </row>
    <row r="23" spans="2:18" ht="27" customHeight="1" x14ac:dyDescent="0.2">
      <c r="P23" s="19"/>
      <c r="Q23" s="19"/>
      <c r="R23" s="19"/>
    </row>
    <row r="24" spans="2:18" ht="37" customHeight="1" x14ac:dyDescent="0.2">
      <c r="P24" s="19"/>
      <c r="Q24" s="19"/>
      <c r="R24" s="19"/>
    </row>
    <row r="25" spans="2:18" ht="27" customHeight="1" x14ac:dyDescent="0.2">
      <c r="P25" s="19"/>
      <c r="Q25" s="19"/>
      <c r="R25" s="19"/>
    </row>
    <row r="26" spans="2:18" ht="23" customHeight="1" x14ac:dyDescent="0.2">
      <c r="P26" s="21" t="s">
        <v>108</v>
      </c>
      <c r="Q26" s="22" t="s">
        <v>46</v>
      </c>
      <c r="R26" s="22" t="s">
        <v>113</v>
      </c>
    </row>
    <row r="27" spans="2:18" ht="27" customHeight="1" x14ac:dyDescent="0.2">
      <c r="P27" s="19" t="str">
        <f>'Data Prep'!AI12</f>
        <v>Colorbuds</v>
      </c>
      <c r="Q27" s="20">
        <f>'Data Prep'!AJ12</f>
        <v>4467.0200000000004</v>
      </c>
      <c r="R27" s="20">
        <f>'Data Prep'!AK12</f>
        <v>-3567.619999999999</v>
      </c>
    </row>
    <row r="28" spans="2:18" ht="27" customHeight="1" x14ac:dyDescent="0.2">
      <c r="P28" s="19" t="str">
        <f>'Data Prep'!AI13</f>
        <v>Dart Gun</v>
      </c>
      <c r="Q28" s="20">
        <f>'Data Prep'!AJ13</f>
        <v>575.64</v>
      </c>
      <c r="R28" s="20">
        <f>'Data Prep'!AK13</f>
        <v>-2910.1800000000003</v>
      </c>
    </row>
    <row r="29" spans="2:18" ht="27" customHeight="1" x14ac:dyDescent="0.2">
      <c r="P29" s="19" t="str">
        <f>'Data Prep'!AI14</f>
        <v>Rubik's Cube</v>
      </c>
      <c r="Q29" s="20">
        <f>'Data Prep'!AJ14</f>
        <v>1479.2599999999998</v>
      </c>
      <c r="R29" s="20">
        <f>'Data Prep'!AK14</f>
        <v>-2278.86</v>
      </c>
    </row>
    <row r="30" spans="2:18" ht="27" customHeight="1" x14ac:dyDescent="0.2">
      <c r="P30" s="19" t="str">
        <f>'Data Prep'!AI15</f>
        <v>Jenga</v>
      </c>
      <c r="Q30" s="20">
        <f>'Data Prep'!AJ15</f>
        <v>0</v>
      </c>
      <c r="R30" s="20">
        <f>'Data Prep'!AK15</f>
        <v>-949.05</v>
      </c>
    </row>
    <row r="31" spans="2:18" ht="27" customHeight="1" x14ac:dyDescent="0.2">
      <c r="P31" s="19" t="str">
        <f>'Data Prep'!AI16</f>
        <v>Action Figure</v>
      </c>
      <c r="Q31" s="20">
        <f>'Data Prep'!AJ16</f>
        <v>1662.96</v>
      </c>
      <c r="R31" s="23">
        <f>'Data Prep'!AK16</f>
        <v>-831.48</v>
      </c>
    </row>
    <row r="32" spans="2:18" ht="24" customHeight="1" x14ac:dyDescent="0.2">
      <c r="P32" s="19"/>
      <c r="Q32" s="19"/>
      <c r="R32" s="25">
        <f>SUM(R27:R31)</f>
        <v>-10537.189999999999</v>
      </c>
    </row>
    <row r="33" spans="16:18" ht="30" customHeight="1" x14ac:dyDescent="0.2">
      <c r="P33" s="19"/>
      <c r="Q33" s="19"/>
      <c r="R33" s="19"/>
    </row>
    <row r="34" spans="16:18" ht="30" customHeight="1" x14ac:dyDescent="0.2">
      <c r="P34" s="19"/>
      <c r="Q34" s="19"/>
      <c r="R34" s="19"/>
    </row>
    <row r="35" spans="16:18" ht="30" customHeight="1" x14ac:dyDescent="0.2">
      <c r="P35" s="19"/>
      <c r="Q35" s="19"/>
      <c r="R35" s="19"/>
    </row>
    <row r="36" spans="16:18" ht="30" customHeight="1" x14ac:dyDescent="0.2">
      <c r="P36" s="19"/>
      <c r="Q36" s="19"/>
      <c r="R36" s="19"/>
    </row>
    <row r="37" spans="16:18" ht="30" customHeight="1" x14ac:dyDescent="0.2">
      <c r="P37" s="19"/>
      <c r="Q37" s="19"/>
      <c r="R37" s="19"/>
    </row>
    <row r="38" spans="16:18" ht="30" customHeight="1" x14ac:dyDescent="0.2">
      <c r="P38" s="19"/>
      <c r="Q38" s="19"/>
      <c r="R38" s="19"/>
    </row>
    <row r="39" spans="16:18" ht="30" customHeight="1" x14ac:dyDescent="0.2">
      <c r="P39" s="19"/>
      <c r="Q39" s="19"/>
      <c r="R39" s="19"/>
    </row>
    <row r="40" spans="16:18" ht="30" customHeight="1" x14ac:dyDescent="0.2">
      <c r="P40" s="19"/>
      <c r="Q40" s="19"/>
      <c r="R40" s="19"/>
    </row>
    <row r="41" spans="16:18" ht="30" customHeight="1" x14ac:dyDescent="0.2">
      <c r="P41" s="19"/>
      <c r="Q41" s="19"/>
      <c r="R41" s="19"/>
    </row>
    <row r="42" spans="16:18" ht="30" customHeight="1" x14ac:dyDescent="0.2">
      <c r="P42" s="19"/>
      <c r="Q42" s="19"/>
      <c r="R42" s="19"/>
    </row>
    <row r="43" spans="16:18" ht="30" customHeight="1" x14ac:dyDescent="0.2">
      <c r="P43" s="19"/>
      <c r="Q43" s="19"/>
      <c r="R43" s="19"/>
    </row>
    <row r="44" spans="16:18" ht="30" customHeight="1" x14ac:dyDescent="0.2">
      <c r="P44" s="19"/>
      <c r="Q44" s="19"/>
      <c r="R44" s="19"/>
    </row>
    <row r="45" spans="16:18" ht="30" customHeight="1" x14ac:dyDescent="0.2">
      <c r="P45" s="19"/>
      <c r="Q45" s="19"/>
      <c r="R45" s="19"/>
    </row>
    <row r="46" spans="16:18" ht="16" x14ac:dyDescent="0.2">
      <c r="P46" s="19"/>
      <c r="Q46" s="19"/>
      <c r="R46" s="19"/>
    </row>
    <row r="47" spans="16:18" ht="16" x14ac:dyDescent="0.2">
      <c r="P47" s="19"/>
      <c r="Q47" s="19"/>
      <c r="R47" s="19"/>
    </row>
  </sheetData>
  <sheetProtection sheet="1" objects="1" scenarios="1" selectLockedCells="1"/>
  <mergeCells count="2">
    <mergeCell ref="B19:B20"/>
    <mergeCell ref="C19:C20"/>
  </mergeCells>
  <conditionalFormatting sqref="R17:R21">
    <cfRule type="colorScale" priority="8">
      <colorScale>
        <cfvo type="min"/>
        <cfvo type="max"/>
        <color theme="0"/>
        <color theme="9" tint="0.59999389629810485"/>
      </colorScale>
    </cfRule>
  </conditionalFormatting>
  <conditionalFormatting sqref="R27:R31">
    <cfRule type="colorScale" priority="7">
      <colorScale>
        <cfvo type="min"/>
        <cfvo type="max"/>
        <color rgb="FFFE4542"/>
        <color theme="0"/>
      </colorScale>
    </cfRule>
  </conditionalFormatting>
  <conditionalFormatting sqref="B19:B20">
    <cfRule type="expression" dxfId="4" priority="5">
      <formula>"IF 'Data Prep'!$E$6&lt;0"</formula>
    </cfRule>
  </conditionalFormatting>
  <pageMargins left="0.7" right="0.7" top="0.75" bottom="0.75" header="0.3" footer="0.3"/>
  <pageSetup paperSize="9" orientation="portrait" horizontalDpi="0" verticalDpi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A9AD5D9B-10C3-B548-8573-0125B79F0DB3}">
            <xm:f>'Data Prep'!$E$6&gt;0</xm:f>
            <x14:dxf>
              <fill>
                <patternFill>
                  <fgColor theme="9" tint="-0.24994659260841701"/>
                </patternFill>
              </fill>
            </x14:dxf>
          </x14:cfRule>
          <x14:cfRule type="expression" priority="4" id="{F8CF53F9-A2F5-AF45-8776-61DA1D3F30A1}">
            <xm:f>'Data Prep'!$E$6&gt;0</xm:f>
            <x14:dxf>
              <font>
                <color theme="9" tint="-0.24994659260841701"/>
              </font>
            </x14:dxf>
          </x14:cfRule>
          <x14:cfRule type="expression" priority="3" id="{E1654BC6-A358-AF48-A3B8-80ACD690F760}">
            <xm:f>'Data Prep'!$E$6&lt;0</xm:f>
            <x14:dxf>
              <font>
                <color rgb="FFFF0000"/>
              </font>
            </x14:dxf>
          </x14:cfRule>
          <xm:sqref>B19:B20</xm:sqref>
        </x14:conditionalFormatting>
        <x14:conditionalFormatting xmlns:xm="http://schemas.microsoft.com/office/excel/2006/main">
          <x14:cfRule type="expression" priority="2" id="{58E1F4B6-CB01-6749-9FFD-6BB23C115C7A}">
            <xm:f>'Data Prep'!$E$5&gt;0</xm:f>
            <x14:dxf>
              <font>
                <color theme="9" tint="-0.24994659260841701"/>
              </font>
            </x14:dxf>
          </x14:cfRule>
          <x14:cfRule type="expression" priority="1" id="{0F715066-7AEC-EA46-8B0E-DC06C952EEDD}">
            <xm:f>'Data Prep'!$E$5&lt;0</xm:f>
            <x14:dxf>
              <font>
                <color rgb="FFFF0000"/>
              </font>
            </x14:dxf>
          </x14:cfRule>
          <xm:sqref>C19:C20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6DDE48-AB1D-5C49-935C-D08BAB4AF04B}">
          <x14:formula1>
            <xm:f>'Data Prep'!$A$3:$A$5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>
      <selection activeCell="J23" sqref="J23"/>
    </sheetView>
  </sheetViews>
  <sheetFormatPr baseColWidth="10" defaultColWidth="8.83203125" defaultRowHeight="15" x14ac:dyDescent="0.2"/>
  <sheetData>
    <row r="1" spans="1:10" x14ac:dyDescent="0.2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>
      <selection activeCell="F35" sqref="F35"/>
    </sheetView>
  </sheetViews>
  <sheetFormatPr baseColWidth="10" defaultColWidth="8.83203125" defaultRowHeight="15" x14ac:dyDescent="0.2"/>
  <sheetData>
    <row r="1" spans="1:10" x14ac:dyDescent="0.2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Justice Oppong-Tuah</cp:lastModifiedBy>
  <dcterms:created xsi:type="dcterms:W3CDTF">2021-07-16T18:17:37Z</dcterms:created>
  <dcterms:modified xsi:type="dcterms:W3CDTF">2025-09-06T15:20:54Z</dcterms:modified>
</cp:coreProperties>
</file>