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<sst xmlns="http://schemas.openxmlformats.org/spreadsheetml/2006/main" count="33" uniqueCount="26">
  <si>
    <t>Symbol</t>
  </si>
  <si>
    <t>NSE:HDFC</t>
  </si>
  <si>
    <t>NSE:HDFCBANK</t>
  </si>
  <si>
    <t>Attribute</t>
  </si>
  <si>
    <t>close</t>
  </si>
  <si>
    <t>Start Date</t>
  </si>
  <si>
    <t>Corelation</t>
  </si>
  <si>
    <t>No. of Days / End Date</t>
  </si>
  <si>
    <t>interval</t>
  </si>
  <si>
    <t>daily</t>
  </si>
  <si>
    <t>S.No</t>
  </si>
  <si>
    <t>Spread</t>
  </si>
  <si>
    <t>Mean</t>
  </si>
  <si>
    <t>StDev</t>
  </si>
  <si>
    <t>Upper 
Band</t>
  </si>
  <si>
    <t>Lower 
Band</t>
  </si>
  <si>
    <t>Long 
Entry</t>
  </si>
  <si>
    <t>Long 
Exit</t>
  </si>
  <si>
    <t>Positions 
Long</t>
  </si>
  <si>
    <t>Short 
Entry</t>
  </si>
  <si>
    <t>Short 
Exit</t>
  </si>
  <si>
    <t>Positions 
Short</t>
  </si>
  <si>
    <t>Net 
Position</t>
  </si>
  <si>
    <t>Price Difference</t>
  </si>
  <si>
    <t>PnL</t>
  </si>
  <si>
    <t>Cum PnL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</si>
</sst>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7E3794"/>
      <name val="Inconsolata"/>
    </font>
    <font>
      <sz val="11.0"/>
      <color rgb="FF000000"/>
      <name val="Inconsolata"/>
    </font>
    <font>
      <b/>
      <u/>
      <color rgb="FF1155CC"/>
    </font>
    <font>
      <b/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Font="1"/>
    <xf borderId="0" fillId="0" fontId="1" numFmtId="0" xfId="0" applyFont="1"/>
    <xf borderId="0" fillId="0" fontId="1" numFmtId="0" xfId="0" applyAlignment="1" applyFont="1">
      <alignment horizontal="left" readingOrder="0"/>
    </xf>
    <xf borderId="0" fillId="0" fontId="2" numFmtId="165" xfId="0" applyFont="1" applyNumberFormat="1"/>
    <xf borderId="0" fillId="0" fontId="2" numFmtId="2" xfId="0" applyFont="1" applyNumberForma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75"/>
  <cols>
    <col customWidth="1" min="1" max="1" width="5.43"/>
    <col customWidth="1" min="2" max="2" width="8.57"/>
    <col customWidth="1" min="3" max="3" width="10.29"/>
    <col customWidth="1" min="4" max="4" width="4.14"/>
    <col customWidth="1" min="5" max="5" width="8.71"/>
    <col customWidth="1" min="6" max="6" width="8.57"/>
    <col customWidth="1" min="7" max="7" width="4.29"/>
    <col customWidth="1" min="8" max="8" width="10.57"/>
    <col customWidth="1" min="9" max="9" width="9.0"/>
    <col customWidth="1" min="10" max="10" width="6.86"/>
    <col customWidth="1" min="11" max="12" width="8.0"/>
    <col customWidth="1" min="13" max="13" width="5.57"/>
    <col customWidth="1" min="14" max="14" width="6.0"/>
    <col customWidth="1" min="15" max="15" width="5.86"/>
    <col customWidth="1" min="16" max="16" width="9.71"/>
    <col customWidth="1" min="17" max="17" width="4.14"/>
    <col customWidth="1" min="18" max="19" width="6.14"/>
    <col customWidth="1" min="20" max="20" width="9.71"/>
    <col customWidth="1" min="21" max="21" width="4.57"/>
    <col customWidth="1" min="22" max="22" width="8.71"/>
  </cols>
  <sheetData>
    <row r="1">
      <c r="A1" s="1" t="s">
        <v>0</v>
      </c>
      <c r="B1" s="1"/>
      <c r="C1" s="2" t="s">
        <v>1</v>
      </c>
      <c r="E1" s="1" t="s">
        <v>0</v>
      </c>
      <c r="F1" s="2" t="s">
        <v>2</v>
      </c>
      <c r="S1" s="3"/>
      <c r="V1" s="4"/>
    </row>
    <row r="2">
      <c r="A2" s="1" t="s">
        <v>3</v>
      </c>
      <c r="B2" s="1"/>
      <c r="C2" s="5" t="s">
        <v>4</v>
      </c>
      <c r="D2" s="5"/>
      <c r="E2" s="1" t="s">
        <v>3</v>
      </c>
      <c r="F2" s="5" t="s">
        <v>4</v>
      </c>
      <c r="S2" s="3"/>
      <c r="V2" s="4"/>
    </row>
    <row r="3">
      <c r="A3" s="1" t="s">
        <v>5</v>
      </c>
      <c r="B3" s="1"/>
      <c r="C3" s="6">
        <v>42370.0</v>
      </c>
      <c r="D3" s="6"/>
      <c r="E3" s="1" t="s">
        <v>5</v>
      </c>
      <c r="F3" s="6">
        <v>42370.0</v>
      </c>
      <c r="H3" s="7" t="s">
        <v>6</v>
      </c>
      <c r="I3" s="8">
        <f>CORREL(C8:C1200,F8:F1200)</f>
        <v>0.9672339931</v>
      </c>
      <c r="S3" s="3"/>
      <c r="V3" s="4"/>
    </row>
    <row r="4">
      <c r="A4" s="1" t="s">
        <v>7</v>
      </c>
      <c r="B4" s="1"/>
      <c r="C4" s="6">
        <v>44134.0</v>
      </c>
      <c r="D4" s="5"/>
      <c r="E4" s="1" t="s">
        <v>7</v>
      </c>
      <c r="F4" s="6">
        <v>44134.0</v>
      </c>
      <c r="H4" s="4"/>
      <c r="S4" s="3"/>
      <c r="V4" s="4"/>
    </row>
    <row r="5">
      <c r="A5" s="1" t="s">
        <v>8</v>
      </c>
      <c r="B5" s="1"/>
      <c r="C5" s="5" t="s">
        <v>9</v>
      </c>
      <c r="D5" s="5"/>
      <c r="E5" s="1" t="s">
        <v>8</v>
      </c>
      <c r="F5" s="5" t="s">
        <v>9</v>
      </c>
      <c r="H5" s="4"/>
      <c r="S5" s="3"/>
      <c r="V5" s="4"/>
    </row>
    <row r="6">
      <c r="H6" s="9"/>
      <c r="I6" s="10"/>
      <c r="S6" s="3"/>
      <c r="V6" s="4"/>
    </row>
    <row r="7">
      <c r="A7" s="11" t="s">
        <v>10</v>
      </c>
      <c r="B7" s="12" t="str">
        <f>IFERROR(__xludf.DUMMYFUNCTION("GoogleFinance(C1,C2,C3,C4,C5)"),"Date")</f>
        <v>Date</v>
      </c>
      <c r="C7" s="13" t="str">
        <f>IFERROR(__xludf.DUMMYFUNCTION("""COMPUTED_VALUE"""),"Close")</f>
        <v>Close</v>
      </c>
      <c r="D7" s="13"/>
      <c r="E7" s="12" t="str">
        <f>IFERROR(__xludf.DUMMYFUNCTION("GoogleFinance(F1,F2,F3,F4,F5)"),"Date")</f>
        <v>Date</v>
      </c>
      <c r="F7" s="13" t="str">
        <f>IFERROR(__xludf.DUMMYFUNCTION("""COMPUTED_VALUE"""),"Close")</f>
        <v>Close</v>
      </c>
      <c r="G7" s="13"/>
      <c r="H7" s="7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3"/>
      <c r="N7" s="1" t="s">
        <v>16</v>
      </c>
      <c r="O7" s="1" t="s">
        <v>17</v>
      </c>
      <c r="P7" s="1" t="s">
        <v>18</v>
      </c>
      <c r="Q7" s="13"/>
      <c r="R7" s="1" t="s">
        <v>19</v>
      </c>
      <c r="S7" s="14" t="s">
        <v>20</v>
      </c>
      <c r="T7" s="1" t="s">
        <v>21</v>
      </c>
      <c r="U7" s="13"/>
      <c r="V7" s="7" t="s">
        <v>22</v>
      </c>
      <c r="W7" s="1" t="s">
        <v>23</v>
      </c>
      <c r="X7" s="1" t="s">
        <v>24</v>
      </c>
      <c r="Y7" s="1" t="s">
        <v>25</v>
      </c>
    </row>
    <row r="8">
      <c r="A8" s="2">
        <v>1.0</v>
      </c>
      <c r="B8" s="15">
        <f>IFERROR(__xludf.DUMMYFUNCTION("""COMPUTED_VALUE"""),42373.64583333333)</f>
        <v>42373.64583</v>
      </c>
      <c r="C8" s="8">
        <f>IFERROR(__xludf.DUMMYFUNCTION("""COMPUTED_VALUE"""),1216.7)</f>
        <v>1216.7</v>
      </c>
      <c r="E8" s="15">
        <f>IFERROR(__xludf.DUMMYFUNCTION("""COMPUTED_VALUE"""),42373.64583333333)</f>
        <v>42373.64583</v>
      </c>
      <c r="F8" s="8">
        <f>IFERROR(__xludf.DUMMYFUNCTION("""COMPUTED_VALUE"""),535.25)</f>
        <v>535.25</v>
      </c>
      <c r="H8" s="4">
        <f t="shared" ref="H8:H1200" si="1">C8-F8</f>
        <v>681.45</v>
      </c>
      <c r="P8" s="8">
        <f>sum(P9:P1200)</f>
        <v>424</v>
      </c>
      <c r="S8" s="3"/>
      <c r="T8" s="8">
        <f>sum(T9:T1200)</f>
        <v>-461</v>
      </c>
      <c r="V8" s="4"/>
    </row>
    <row r="9">
      <c r="A9" s="2">
        <v>2.0</v>
      </c>
      <c r="B9" s="15">
        <f>IFERROR(__xludf.DUMMYFUNCTION("""COMPUTED_VALUE"""),42374.64583333333)</f>
        <v>42374.64583</v>
      </c>
      <c r="C9" s="8">
        <f>IFERROR(__xludf.DUMMYFUNCTION("""COMPUTED_VALUE"""),1209.4)</f>
        <v>1209.4</v>
      </c>
      <c r="E9" s="15">
        <f>IFERROR(__xludf.DUMMYFUNCTION("""COMPUTED_VALUE"""),42374.64583333333)</f>
        <v>42374.64583</v>
      </c>
      <c r="F9" s="8">
        <f>IFERROR(__xludf.DUMMYFUNCTION("""COMPUTED_VALUE"""),531.2)</f>
        <v>531.2</v>
      </c>
      <c r="H9" s="4">
        <f t="shared" si="1"/>
        <v>678.2</v>
      </c>
      <c r="S9" s="3"/>
      <c r="V9" s="4"/>
    </row>
    <row r="10">
      <c r="A10" s="2">
        <v>3.0</v>
      </c>
      <c r="B10" s="15">
        <f>IFERROR(__xludf.DUMMYFUNCTION("""COMPUTED_VALUE"""),42375.64583333333)</f>
        <v>42375.64583</v>
      </c>
      <c r="C10" s="8">
        <f>IFERROR(__xludf.DUMMYFUNCTION("""COMPUTED_VALUE"""),1209.3)</f>
        <v>1209.3</v>
      </c>
      <c r="E10" s="15">
        <f>IFERROR(__xludf.DUMMYFUNCTION("""COMPUTED_VALUE"""),42375.64583333333)</f>
        <v>42375.64583</v>
      </c>
      <c r="F10" s="8">
        <f>IFERROR(__xludf.DUMMYFUNCTION("""COMPUTED_VALUE"""),533.55)</f>
        <v>533.55</v>
      </c>
      <c r="H10" s="4">
        <f t="shared" si="1"/>
        <v>675.75</v>
      </c>
      <c r="S10" s="3"/>
      <c r="V10" s="4"/>
    </row>
    <row r="11">
      <c r="A11" s="2">
        <v>4.0</v>
      </c>
      <c r="B11" s="15">
        <f>IFERROR(__xludf.DUMMYFUNCTION("""COMPUTED_VALUE"""),42376.64583333333)</f>
        <v>42376.64583</v>
      </c>
      <c r="C11" s="8">
        <f>IFERROR(__xludf.DUMMYFUNCTION("""COMPUTED_VALUE"""),1179.45)</f>
        <v>1179.45</v>
      </c>
      <c r="E11" s="15">
        <f>IFERROR(__xludf.DUMMYFUNCTION("""COMPUTED_VALUE"""),42376.64583333333)</f>
        <v>42376.64583</v>
      </c>
      <c r="F11" s="8">
        <f>IFERROR(__xludf.DUMMYFUNCTION("""COMPUTED_VALUE"""),528.1)</f>
        <v>528.1</v>
      </c>
      <c r="H11" s="4">
        <f t="shared" si="1"/>
        <v>651.35</v>
      </c>
      <c r="S11" s="3"/>
      <c r="V11" s="4"/>
    </row>
    <row r="12">
      <c r="A12" s="2">
        <v>5.0</v>
      </c>
      <c r="B12" s="15">
        <f>IFERROR(__xludf.DUMMYFUNCTION("""COMPUTED_VALUE"""),42377.64583333333)</f>
        <v>42377.64583</v>
      </c>
      <c r="C12" s="8">
        <f>IFERROR(__xludf.DUMMYFUNCTION("""COMPUTED_VALUE"""),1174.4)</f>
        <v>1174.4</v>
      </c>
      <c r="E12" s="15">
        <f>IFERROR(__xludf.DUMMYFUNCTION("""COMPUTED_VALUE"""),42377.64583333333)</f>
        <v>42377.64583</v>
      </c>
      <c r="F12" s="8">
        <f>IFERROR(__xludf.DUMMYFUNCTION("""COMPUTED_VALUE"""),531.17)</f>
        <v>531.17</v>
      </c>
      <c r="H12" s="4">
        <f t="shared" si="1"/>
        <v>643.23</v>
      </c>
      <c r="I12" s="16">
        <f t="shared" ref="I12:I1200" si="2">AVERAGE(H8:H12)</f>
        <v>665.996</v>
      </c>
      <c r="J12" s="16">
        <f t="shared" ref="J12:J1200" si="3">STDEV(H8:H12)</f>
        <v>17.43344716</v>
      </c>
      <c r="K12" s="16">
        <f t="shared" ref="K12:K1200" si="4">I12+J12</f>
        <v>683.4294472</v>
      </c>
      <c r="L12" s="16">
        <f t="shared" ref="L12:L1200" si="5">I12-J12</f>
        <v>648.5625528</v>
      </c>
      <c r="N12" s="17" t="str">
        <f t="shared" ref="N12:N1200" si="6">if(H12&lt;L12,"T","F")</f>
        <v>T</v>
      </c>
      <c r="O12" s="17" t="str">
        <f t="shared" ref="O12:O1200" si="7">if(H12&gt;=I12,"T","F")</f>
        <v>F</v>
      </c>
      <c r="P12" s="8">
        <f t="shared" ref="P12:P1200" si="8">if(N12="T",1,If(P11=1,IF(O12="T",0,1),0))</f>
        <v>1</v>
      </c>
      <c r="R12" s="17" t="str">
        <f t="shared" ref="R12:R1200" si="9">if(H12&gt;K12,"T","F")</f>
        <v>F</v>
      </c>
      <c r="S12" s="3" t="str">
        <f t="shared" ref="S12:S1200" si="10">if(H12&lt;=I12,"T","F")</f>
        <v>T</v>
      </c>
      <c r="T12" s="8">
        <f t="shared" ref="T12:T1200" si="11">if(R12="T",-1,If(T11=-1,IF(S12="T",0,-1),0))</f>
        <v>0</v>
      </c>
      <c r="V12" s="4">
        <f t="shared" ref="V12:V1200" si="12">T12+P12</f>
        <v>1</v>
      </c>
      <c r="W12" s="8">
        <f t="shared" ref="W12:W1200" si="13">H12-H11</f>
        <v>-8.12</v>
      </c>
      <c r="X12" s="8">
        <f t="shared" ref="X12:X1200" si="14">W12*V11</f>
        <v>0</v>
      </c>
      <c r="Y12" s="8">
        <f t="shared" ref="Y12:Y1200" si="15">X12+Y11</f>
        <v>0</v>
      </c>
    </row>
    <row r="13">
      <c r="A13" s="2">
        <v>6.0</v>
      </c>
      <c r="B13" s="15">
        <f>IFERROR(__xludf.DUMMYFUNCTION("""COMPUTED_VALUE"""),42380.64583333333)</f>
        <v>42380.64583</v>
      </c>
      <c r="C13" s="8">
        <f>IFERROR(__xludf.DUMMYFUNCTION("""COMPUTED_VALUE"""),1161.55)</f>
        <v>1161.55</v>
      </c>
      <c r="E13" s="15">
        <f>IFERROR(__xludf.DUMMYFUNCTION("""COMPUTED_VALUE"""),42380.64583333333)</f>
        <v>42380.64583</v>
      </c>
      <c r="F13" s="8">
        <f>IFERROR(__xludf.DUMMYFUNCTION("""COMPUTED_VALUE"""),529.3)</f>
        <v>529.3</v>
      </c>
      <c r="H13" s="4">
        <f t="shared" si="1"/>
        <v>632.25</v>
      </c>
      <c r="I13" s="16">
        <f t="shared" si="2"/>
        <v>656.156</v>
      </c>
      <c r="J13" s="16">
        <f t="shared" si="3"/>
        <v>20.19615508</v>
      </c>
      <c r="K13" s="16">
        <f t="shared" si="4"/>
        <v>676.3521551</v>
      </c>
      <c r="L13" s="16">
        <f t="shared" si="5"/>
        <v>635.9598449</v>
      </c>
      <c r="N13" s="17" t="str">
        <f t="shared" si="6"/>
        <v>T</v>
      </c>
      <c r="O13" s="17" t="str">
        <f t="shared" si="7"/>
        <v>F</v>
      </c>
      <c r="P13" s="8">
        <f t="shared" si="8"/>
        <v>1</v>
      </c>
      <c r="R13" s="17" t="str">
        <f t="shared" si="9"/>
        <v>F</v>
      </c>
      <c r="S13" s="3" t="str">
        <f t="shared" si="10"/>
        <v>T</v>
      </c>
      <c r="T13" s="8">
        <f t="shared" si="11"/>
        <v>0</v>
      </c>
      <c r="V13" s="4">
        <f t="shared" si="12"/>
        <v>1</v>
      </c>
      <c r="W13" s="8">
        <f t="shared" si="13"/>
        <v>-10.98</v>
      </c>
      <c r="X13" s="8">
        <f t="shared" si="14"/>
        <v>-10.98</v>
      </c>
      <c r="Y13" s="8">
        <f t="shared" si="15"/>
        <v>-10.98</v>
      </c>
    </row>
    <row r="14">
      <c r="A14" s="2">
        <v>7.0</v>
      </c>
      <c r="B14" s="15">
        <f>IFERROR(__xludf.DUMMYFUNCTION("""COMPUTED_VALUE"""),42381.64583333333)</f>
        <v>42381.64583</v>
      </c>
      <c r="C14" s="8">
        <f>IFERROR(__xludf.DUMMYFUNCTION("""COMPUTED_VALUE"""),1149.0)</f>
        <v>1149</v>
      </c>
      <c r="E14" s="15">
        <f>IFERROR(__xludf.DUMMYFUNCTION("""COMPUTED_VALUE"""),42381.64583333333)</f>
        <v>42381.64583</v>
      </c>
      <c r="F14" s="8">
        <f>IFERROR(__xludf.DUMMYFUNCTION("""COMPUTED_VALUE"""),523.0)</f>
        <v>523</v>
      </c>
      <c r="H14" s="4">
        <f t="shared" si="1"/>
        <v>626</v>
      </c>
      <c r="I14" s="16">
        <f t="shared" si="2"/>
        <v>645.716</v>
      </c>
      <c r="J14" s="16">
        <f t="shared" si="3"/>
        <v>19.42946937</v>
      </c>
      <c r="K14" s="16">
        <f t="shared" si="4"/>
        <v>665.1454694</v>
      </c>
      <c r="L14" s="16">
        <f t="shared" si="5"/>
        <v>626.2865306</v>
      </c>
      <c r="N14" s="17" t="str">
        <f t="shared" si="6"/>
        <v>T</v>
      </c>
      <c r="O14" s="17" t="str">
        <f t="shared" si="7"/>
        <v>F</v>
      </c>
      <c r="P14" s="8">
        <f t="shared" si="8"/>
        <v>1</v>
      </c>
      <c r="R14" s="17" t="str">
        <f t="shared" si="9"/>
        <v>F</v>
      </c>
      <c r="S14" s="3" t="str">
        <f t="shared" si="10"/>
        <v>T</v>
      </c>
      <c r="T14" s="8">
        <f t="shared" si="11"/>
        <v>0</v>
      </c>
      <c r="V14" s="4">
        <f t="shared" si="12"/>
        <v>1</v>
      </c>
      <c r="W14" s="8">
        <f t="shared" si="13"/>
        <v>-6.25</v>
      </c>
      <c r="X14" s="8">
        <f t="shared" si="14"/>
        <v>-6.25</v>
      </c>
      <c r="Y14" s="8">
        <f t="shared" si="15"/>
        <v>-17.23</v>
      </c>
    </row>
    <row r="15">
      <c r="A15" s="2">
        <v>8.0</v>
      </c>
      <c r="B15" s="15">
        <f>IFERROR(__xludf.DUMMYFUNCTION("""COMPUTED_VALUE"""),42382.64583333333)</f>
        <v>42382.64583</v>
      </c>
      <c r="C15" s="8">
        <f>IFERROR(__xludf.DUMMYFUNCTION("""COMPUTED_VALUE"""),1167.65)</f>
        <v>1167.65</v>
      </c>
      <c r="E15" s="15">
        <f>IFERROR(__xludf.DUMMYFUNCTION("""COMPUTED_VALUE"""),42382.64583333333)</f>
        <v>42382.64583</v>
      </c>
      <c r="F15" s="8">
        <f>IFERROR(__xludf.DUMMYFUNCTION("""COMPUTED_VALUE"""),530.08)</f>
        <v>530.08</v>
      </c>
      <c r="H15" s="4">
        <f t="shared" si="1"/>
        <v>637.57</v>
      </c>
      <c r="I15" s="16">
        <f t="shared" si="2"/>
        <v>638.08</v>
      </c>
      <c r="J15" s="16">
        <f t="shared" si="3"/>
        <v>9.782520125</v>
      </c>
      <c r="K15" s="16">
        <f t="shared" si="4"/>
        <v>647.8625201</v>
      </c>
      <c r="L15" s="16">
        <f t="shared" si="5"/>
        <v>628.2974799</v>
      </c>
      <c r="N15" s="17" t="str">
        <f t="shared" si="6"/>
        <v>F</v>
      </c>
      <c r="O15" s="17" t="str">
        <f t="shared" si="7"/>
        <v>F</v>
      </c>
      <c r="P15" s="8">
        <f t="shared" si="8"/>
        <v>1</v>
      </c>
      <c r="R15" s="17" t="str">
        <f t="shared" si="9"/>
        <v>F</v>
      </c>
      <c r="S15" s="3" t="str">
        <f t="shared" si="10"/>
        <v>T</v>
      </c>
      <c r="T15" s="8">
        <f t="shared" si="11"/>
        <v>0</v>
      </c>
      <c r="V15" s="4">
        <f t="shared" si="12"/>
        <v>1</v>
      </c>
      <c r="W15" s="8">
        <f t="shared" si="13"/>
        <v>11.57</v>
      </c>
      <c r="X15" s="8">
        <f t="shared" si="14"/>
        <v>11.57</v>
      </c>
      <c r="Y15" s="8">
        <f t="shared" si="15"/>
        <v>-5.66</v>
      </c>
    </row>
    <row r="16">
      <c r="A16" s="2">
        <v>9.0</v>
      </c>
      <c r="B16" s="15">
        <f>IFERROR(__xludf.DUMMYFUNCTION("""COMPUTED_VALUE"""),42383.64583333333)</f>
        <v>42383.64583</v>
      </c>
      <c r="C16" s="8">
        <f>IFERROR(__xludf.DUMMYFUNCTION("""COMPUTED_VALUE"""),1159.3)</f>
        <v>1159.3</v>
      </c>
      <c r="E16" s="15">
        <f>IFERROR(__xludf.DUMMYFUNCTION("""COMPUTED_VALUE"""),42383.64583333333)</f>
        <v>42383.64583</v>
      </c>
      <c r="F16" s="8">
        <f>IFERROR(__xludf.DUMMYFUNCTION("""COMPUTED_VALUE"""),524.88)</f>
        <v>524.88</v>
      </c>
      <c r="H16" s="4">
        <f t="shared" si="1"/>
        <v>634.42</v>
      </c>
      <c r="I16" s="16">
        <f t="shared" si="2"/>
        <v>634.694</v>
      </c>
      <c r="J16" s="16">
        <f t="shared" si="3"/>
        <v>6.379038329</v>
      </c>
      <c r="K16" s="16">
        <f t="shared" si="4"/>
        <v>641.0730383</v>
      </c>
      <c r="L16" s="16">
        <f t="shared" si="5"/>
        <v>628.3149617</v>
      </c>
      <c r="N16" s="17" t="str">
        <f t="shared" si="6"/>
        <v>F</v>
      </c>
      <c r="O16" s="17" t="str">
        <f t="shared" si="7"/>
        <v>F</v>
      </c>
      <c r="P16" s="8">
        <f t="shared" si="8"/>
        <v>1</v>
      </c>
      <c r="R16" s="17" t="str">
        <f t="shared" si="9"/>
        <v>F</v>
      </c>
      <c r="S16" s="3" t="str">
        <f t="shared" si="10"/>
        <v>T</v>
      </c>
      <c r="T16" s="8">
        <f t="shared" si="11"/>
        <v>0</v>
      </c>
      <c r="V16" s="4">
        <f t="shared" si="12"/>
        <v>1</v>
      </c>
      <c r="W16" s="8">
        <f t="shared" si="13"/>
        <v>-3.15</v>
      </c>
      <c r="X16" s="8">
        <f t="shared" si="14"/>
        <v>-3.15</v>
      </c>
      <c r="Y16" s="8">
        <f t="shared" si="15"/>
        <v>-8.81</v>
      </c>
    </row>
    <row r="17">
      <c r="A17" s="2">
        <v>10.0</v>
      </c>
      <c r="B17" s="15">
        <f>IFERROR(__xludf.DUMMYFUNCTION("""COMPUTED_VALUE"""),42384.64583333333)</f>
        <v>42384.64583</v>
      </c>
      <c r="C17" s="8">
        <f>IFERROR(__xludf.DUMMYFUNCTION("""COMPUTED_VALUE"""),1149.8)</f>
        <v>1149.8</v>
      </c>
      <c r="E17" s="15">
        <f>IFERROR(__xludf.DUMMYFUNCTION("""COMPUTED_VALUE"""),42384.64583333333)</f>
        <v>42384.64583</v>
      </c>
      <c r="F17" s="8">
        <f>IFERROR(__xludf.DUMMYFUNCTION("""COMPUTED_VALUE"""),521.08)</f>
        <v>521.08</v>
      </c>
      <c r="H17" s="4">
        <f t="shared" si="1"/>
        <v>628.72</v>
      </c>
      <c r="I17" s="16">
        <f t="shared" si="2"/>
        <v>631.792</v>
      </c>
      <c r="J17" s="16">
        <f t="shared" si="3"/>
        <v>4.568530398</v>
      </c>
      <c r="K17" s="16">
        <f t="shared" si="4"/>
        <v>636.3605304</v>
      </c>
      <c r="L17" s="16">
        <f t="shared" si="5"/>
        <v>627.2234696</v>
      </c>
      <c r="N17" s="17" t="str">
        <f t="shared" si="6"/>
        <v>F</v>
      </c>
      <c r="O17" s="17" t="str">
        <f t="shared" si="7"/>
        <v>F</v>
      </c>
      <c r="P17" s="8">
        <f t="shared" si="8"/>
        <v>1</v>
      </c>
      <c r="R17" s="17" t="str">
        <f t="shared" si="9"/>
        <v>F</v>
      </c>
      <c r="S17" s="3" t="str">
        <f t="shared" si="10"/>
        <v>T</v>
      </c>
      <c r="T17" s="8">
        <f t="shared" si="11"/>
        <v>0</v>
      </c>
      <c r="V17" s="4">
        <f t="shared" si="12"/>
        <v>1</v>
      </c>
      <c r="W17" s="8">
        <f t="shared" si="13"/>
        <v>-5.7</v>
      </c>
      <c r="X17" s="8">
        <f t="shared" si="14"/>
        <v>-5.7</v>
      </c>
      <c r="Y17" s="8">
        <f t="shared" si="15"/>
        <v>-14.51</v>
      </c>
    </row>
    <row r="18">
      <c r="A18" s="2">
        <v>11.0</v>
      </c>
      <c r="B18" s="15">
        <f>IFERROR(__xludf.DUMMYFUNCTION("""COMPUTED_VALUE"""),42387.64583333333)</f>
        <v>42387.64583</v>
      </c>
      <c r="C18" s="8">
        <f>IFERROR(__xludf.DUMMYFUNCTION("""COMPUTED_VALUE"""),1131.8)</f>
        <v>1131.8</v>
      </c>
      <c r="E18" s="15">
        <f>IFERROR(__xludf.DUMMYFUNCTION("""COMPUTED_VALUE"""),42387.64583333333)</f>
        <v>42387.64583</v>
      </c>
      <c r="F18" s="8">
        <f>IFERROR(__xludf.DUMMYFUNCTION("""COMPUTED_VALUE"""),512.92)</f>
        <v>512.92</v>
      </c>
      <c r="H18" s="4">
        <f t="shared" si="1"/>
        <v>618.88</v>
      </c>
      <c r="I18" s="16">
        <f t="shared" si="2"/>
        <v>629.118</v>
      </c>
      <c r="J18" s="16">
        <f t="shared" si="3"/>
        <v>7.318546304</v>
      </c>
      <c r="K18" s="16">
        <f t="shared" si="4"/>
        <v>636.4365463</v>
      </c>
      <c r="L18" s="16">
        <f t="shared" si="5"/>
        <v>621.7994537</v>
      </c>
      <c r="N18" s="17" t="str">
        <f t="shared" si="6"/>
        <v>T</v>
      </c>
      <c r="O18" s="17" t="str">
        <f t="shared" si="7"/>
        <v>F</v>
      </c>
      <c r="P18" s="8">
        <f t="shared" si="8"/>
        <v>1</v>
      </c>
      <c r="R18" s="17" t="str">
        <f t="shared" si="9"/>
        <v>F</v>
      </c>
      <c r="S18" s="3" t="str">
        <f t="shared" si="10"/>
        <v>T</v>
      </c>
      <c r="T18" s="8">
        <f t="shared" si="11"/>
        <v>0</v>
      </c>
      <c r="V18" s="4">
        <f t="shared" si="12"/>
        <v>1</v>
      </c>
      <c r="W18" s="8">
        <f t="shared" si="13"/>
        <v>-9.84</v>
      </c>
      <c r="X18" s="8">
        <f t="shared" si="14"/>
        <v>-9.84</v>
      </c>
      <c r="Y18" s="8">
        <f t="shared" si="15"/>
        <v>-24.35</v>
      </c>
    </row>
    <row r="19">
      <c r="A19" s="2">
        <v>12.0</v>
      </c>
      <c r="B19" s="15">
        <f>IFERROR(__xludf.DUMMYFUNCTION("""COMPUTED_VALUE"""),42388.64583333333)</f>
        <v>42388.64583</v>
      </c>
      <c r="C19" s="8">
        <f>IFERROR(__xludf.DUMMYFUNCTION("""COMPUTED_VALUE"""),1153.0)</f>
        <v>1153</v>
      </c>
      <c r="E19" s="15">
        <f>IFERROR(__xludf.DUMMYFUNCTION("""COMPUTED_VALUE"""),42388.64583333333)</f>
        <v>42388.64583</v>
      </c>
      <c r="F19" s="8">
        <f>IFERROR(__xludf.DUMMYFUNCTION("""COMPUTED_VALUE"""),517.9)</f>
        <v>517.9</v>
      </c>
      <c r="H19" s="4">
        <f t="shared" si="1"/>
        <v>635.1</v>
      </c>
      <c r="I19" s="16">
        <f t="shared" si="2"/>
        <v>630.938</v>
      </c>
      <c r="J19" s="16">
        <f t="shared" si="3"/>
        <v>7.479052079</v>
      </c>
      <c r="K19" s="16">
        <f t="shared" si="4"/>
        <v>638.4170521</v>
      </c>
      <c r="L19" s="16">
        <f t="shared" si="5"/>
        <v>623.4589479</v>
      </c>
      <c r="N19" s="17" t="str">
        <f t="shared" si="6"/>
        <v>F</v>
      </c>
      <c r="O19" s="17" t="str">
        <f t="shared" si="7"/>
        <v>T</v>
      </c>
      <c r="P19" s="8">
        <f t="shared" si="8"/>
        <v>0</v>
      </c>
      <c r="R19" s="17" t="str">
        <f t="shared" si="9"/>
        <v>F</v>
      </c>
      <c r="S19" s="3" t="str">
        <f t="shared" si="10"/>
        <v>F</v>
      </c>
      <c r="T19" s="8">
        <f t="shared" si="11"/>
        <v>0</v>
      </c>
      <c r="V19" s="4">
        <f t="shared" si="12"/>
        <v>0</v>
      </c>
      <c r="W19" s="8">
        <f t="shared" si="13"/>
        <v>16.22</v>
      </c>
      <c r="X19" s="8">
        <f t="shared" si="14"/>
        <v>16.22</v>
      </c>
      <c r="Y19" s="8">
        <f t="shared" si="15"/>
        <v>-8.13</v>
      </c>
    </row>
    <row r="20">
      <c r="A20" s="2">
        <v>13.0</v>
      </c>
      <c r="B20" s="15">
        <f>IFERROR(__xludf.DUMMYFUNCTION("""COMPUTED_VALUE"""),42389.64583333333)</f>
        <v>42389.64583</v>
      </c>
      <c r="C20" s="8">
        <f>IFERROR(__xludf.DUMMYFUNCTION("""COMPUTED_VALUE"""),1136.65)</f>
        <v>1136.65</v>
      </c>
      <c r="E20" s="15">
        <f>IFERROR(__xludf.DUMMYFUNCTION("""COMPUTED_VALUE"""),42389.64583333333)</f>
        <v>42389.64583</v>
      </c>
      <c r="F20" s="8">
        <f>IFERROR(__xludf.DUMMYFUNCTION("""COMPUTED_VALUE"""),509.15)</f>
        <v>509.15</v>
      </c>
      <c r="H20" s="4">
        <f t="shared" si="1"/>
        <v>627.5</v>
      </c>
      <c r="I20" s="16">
        <f t="shared" si="2"/>
        <v>628.924</v>
      </c>
      <c r="J20" s="16">
        <f t="shared" si="3"/>
        <v>6.544087408</v>
      </c>
      <c r="K20" s="16">
        <f t="shared" si="4"/>
        <v>635.4680874</v>
      </c>
      <c r="L20" s="16">
        <f t="shared" si="5"/>
        <v>622.3799126</v>
      </c>
      <c r="N20" s="17" t="str">
        <f t="shared" si="6"/>
        <v>F</v>
      </c>
      <c r="O20" s="17" t="str">
        <f t="shared" si="7"/>
        <v>F</v>
      </c>
      <c r="P20" s="8">
        <f t="shared" si="8"/>
        <v>0</v>
      </c>
      <c r="R20" s="17" t="str">
        <f t="shared" si="9"/>
        <v>F</v>
      </c>
      <c r="S20" s="3" t="str">
        <f t="shared" si="10"/>
        <v>T</v>
      </c>
      <c r="T20" s="8">
        <f t="shared" si="11"/>
        <v>0</v>
      </c>
      <c r="V20" s="4">
        <f t="shared" si="12"/>
        <v>0</v>
      </c>
      <c r="W20" s="8">
        <f t="shared" si="13"/>
        <v>-7.6</v>
      </c>
      <c r="X20" s="8">
        <f t="shared" si="14"/>
        <v>0</v>
      </c>
      <c r="Y20" s="8">
        <f t="shared" si="15"/>
        <v>-8.13</v>
      </c>
    </row>
    <row r="21">
      <c r="A21" s="2">
        <v>14.0</v>
      </c>
      <c r="B21" s="15">
        <f>IFERROR(__xludf.DUMMYFUNCTION("""COMPUTED_VALUE"""),42390.64583333333)</f>
        <v>42390.64583</v>
      </c>
      <c r="C21" s="8">
        <f>IFERROR(__xludf.DUMMYFUNCTION("""COMPUTED_VALUE"""),1131.1)</f>
        <v>1131.1</v>
      </c>
      <c r="E21" s="15">
        <f>IFERROR(__xludf.DUMMYFUNCTION("""COMPUTED_VALUE"""),42390.64583333333)</f>
        <v>42390.64583</v>
      </c>
      <c r="F21" s="8">
        <f>IFERROR(__xludf.DUMMYFUNCTION("""COMPUTED_VALUE"""),511.5)</f>
        <v>511.5</v>
      </c>
      <c r="H21" s="4">
        <f t="shared" si="1"/>
        <v>619.6</v>
      </c>
      <c r="I21" s="16">
        <f t="shared" si="2"/>
        <v>625.96</v>
      </c>
      <c r="J21" s="16">
        <f t="shared" si="3"/>
        <v>6.784261198</v>
      </c>
      <c r="K21" s="16">
        <f t="shared" si="4"/>
        <v>632.7442612</v>
      </c>
      <c r="L21" s="16">
        <f t="shared" si="5"/>
        <v>619.1757388</v>
      </c>
      <c r="N21" s="17" t="str">
        <f t="shared" si="6"/>
        <v>F</v>
      </c>
      <c r="O21" s="17" t="str">
        <f t="shared" si="7"/>
        <v>F</v>
      </c>
      <c r="P21" s="8">
        <f t="shared" si="8"/>
        <v>0</v>
      </c>
      <c r="R21" s="17" t="str">
        <f t="shared" si="9"/>
        <v>F</v>
      </c>
      <c r="S21" s="3" t="str">
        <f t="shared" si="10"/>
        <v>T</v>
      </c>
      <c r="T21" s="8">
        <f t="shared" si="11"/>
        <v>0</v>
      </c>
      <c r="V21" s="4">
        <f t="shared" si="12"/>
        <v>0</v>
      </c>
      <c r="W21" s="8">
        <f t="shared" si="13"/>
        <v>-7.9</v>
      </c>
      <c r="X21" s="8">
        <f t="shared" si="14"/>
        <v>0</v>
      </c>
      <c r="Y21" s="8">
        <f t="shared" si="15"/>
        <v>-8.13</v>
      </c>
    </row>
    <row r="22">
      <c r="A22" s="2">
        <v>15.0</v>
      </c>
      <c r="B22" s="15">
        <f>IFERROR(__xludf.DUMMYFUNCTION("""COMPUTED_VALUE"""),42391.64583333333)</f>
        <v>42391.64583</v>
      </c>
      <c r="C22" s="8">
        <f>IFERROR(__xludf.DUMMYFUNCTION("""COMPUTED_VALUE"""),1158.45)</f>
        <v>1158.45</v>
      </c>
      <c r="E22" s="15">
        <f>IFERROR(__xludf.DUMMYFUNCTION("""COMPUTED_VALUE"""),42391.64583333333)</f>
        <v>42391.64583</v>
      </c>
      <c r="F22" s="8">
        <f>IFERROR(__xludf.DUMMYFUNCTION("""COMPUTED_VALUE"""),515.15)</f>
        <v>515.15</v>
      </c>
      <c r="H22" s="4">
        <f t="shared" si="1"/>
        <v>643.3</v>
      </c>
      <c r="I22" s="16">
        <f t="shared" si="2"/>
        <v>628.876</v>
      </c>
      <c r="J22" s="16">
        <f t="shared" si="3"/>
        <v>10.42410092</v>
      </c>
      <c r="K22" s="16">
        <f t="shared" si="4"/>
        <v>639.3001009</v>
      </c>
      <c r="L22" s="16">
        <f t="shared" si="5"/>
        <v>618.4518991</v>
      </c>
      <c r="N22" s="17" t="str">
        <f t="shared" si="6"/>
        <v>F</v>
      </c>
      <c r="O22" s="17" t="str">
        <f t="shared" si="7"/>
        <v>T</v>
      </c>
      <c r="P22" s="8">
        <f t="shared" si="8"/>
        <v>0</v>
      </c>
      <c r="R22" s="17" t="str">
        <f t="shared" si="9"/>
        <v>T</v>
      </c>
      <c r="S22" s="3" t="str">
        <f t="shared" si="10"/>
        <v>F</v>
      </c>
      <c r="T22" s="8">
        <f t="shared" si="11"/>
        <v>-1</v>
      </c>
      <c r="V22" s="4">
        <f t="shared" si="12"/>
        <v>-1</v>
      </c>
      <c r="W22" s="8">
        <f t="shared" si="13"/>
        <v>23.7</v>
      </c>
      <c r="X22" s="8">
        <f t="shared" si="14"/>
        <v>0</v>
      </c>
      <c r="Y22" s="8">
        <f t="shared" si="15"/>
        <v>-8.13</v>
      </c>
    </row>
    <row r="23">
      <c r="A23" s="2">
        <v>16.0</v>
      </c>
      <c r="B23" s="15">
        <f>IFERROR(__xludf.DUMMYFUNCTION("""COMPUTED_VALUE"""),42394.64583333333)</f>
        <v>42394.64583</v>
      </c>
      <c r="C23" s="8">
        <f>IFERROR(__xludf.DUMMYFUNCTION("""COMPUTED_VALUE"""),1174.6)</f>
        <v>1174.6</v>
      </c>
      <c r="E23" s="15">
        <f>IFERROR(__xludf.DUMMYFUNCTION("""COMPUTED_VALUE"""),42394.64583333333)</f>
        <v>42394.64583</v>
      </c>
      <c r="F23" s="8">
        <f>IFERROR(__xludf.DUMMYFUNCTION("""COMPUTED_VALUE"""),520.58)</f>
        <v>520.58</v>
      </c>
      <c r="H23" s="4">
        <f t="shared" si="1"/>
        <v>654.02</v>
      </c>
      <c r="I23" s="16">
        <f t="shared" si="2"/>
        <v>635.904</v>
      </c>
      <c r="J23" s="16">
        <f t="shared" si="3"/>
        <v>13.41626177</v>
      </c>
      <c r="K23" s="16">
        <f t="shared" si="4"/>
        <v>649.3202618</v>
      </c>
      <c r="L23" s="16">
        <f t="shared" si="5"/>
        <v>622.4877382</v>
      </c>
      <c r="N23" s="17" t="str">
        <f t="shared" si="6"/>
        <v>F</v>
      </c>
      <c r="O23" s="17" t="str">
        <f t="shared" si="7"/>
        <v>T</v>
      </c>
      <c r="P23" s="8">
        <f t="shared" si="8"/>
        <v>0</v>
      </c>
      <c r="R23" s="17" t="str">
        <f t="shared" si="9"/>
        <v>T</v>
      </c>
      <c r="S23" s="3" t="str">
        <f t="shared" si="10"/>
        <v>F</v>
      </c>
      <c r="T23" s="8">
        <f t="shared" si="11"/>
        <v>-1</v>
      </c>
      <c r="V23" s="4">
        <f t="shared" si="12"/>
        <v>-1</v>
      </c>
      <c r="W23" s="8">
        <f t="shared" si="13"/>
        <v>10.72</v>
      </c>
      <c r="X23" s="8">
        <f t="shared" si="14"/>
        <v>-10.72</v>
      </c>
      <c r="Y23" s="8">
        <f t="shared" si="15"/>
        <v>-18.85</v>
      </c>
    </row>
    <row r="24">
      <c r="A24" s="2">
        <v>17.0</v>
      </c>
      <c r="B24" s="15">
        <f>IFERROR(__xludf.DUMMYFUNCTION("""COMPUTED_VALUE"""),42396.64583333333)</f>
        <v>42396.64583</v>
      </c>
      <c r="C24" s="8">
        <f>IFERROR(__xludf.DUMMYFUNCTION("""COMPUTED_VALUE"""),1169.95)</f>
        <v>1169.95</v>
      </c>
      <c r="E24" s="15">
        <f>IFERROR(__xludf.DUMMYFUNCTION("""COMPUTED_VALUE"""),42396.64583333333)</f>
        <v>42396.64583</v>
      </c>
      <c r="F24" s="8">
        <f>IFERROR(__xludf.DUMMYFUNCTION("""COMPUTED_VALUE"""),517.83)</f>
        <v>517.83</v>
      </c>
      <c r="H24" s="4">
        <f t="shared" si="1"/>
        <v>652.12</v>
      </c>
      <c r="I24" s="16">
        <f t="shared" si="2"/>
        <v>639.308</v>
      </c>
      <c r="J24" s="16">
        <f t="shared" si="3"/>
        <v>15.20164859</v>
      </c>
      <c r="K24" s="16">
        <f t="shared" si="4"/>
        <v>654.5096486</v>
      </c>
      <c r="L24" s="16">
        <f t="shared" si="5"/>
        <v>624.1063514</v>
      </c>
      <c r="N24" s="17" t="str">
        <f t="shared" si="6"/>
        <v>F</v>
      </c>
      <c r="O24" s="17" t="str">
        <f t="shared" si="7"/>
        <v>T</v>
      </c>
      <c r="P24" s="8">
        <f t="shared" si="8"/>
        <v>0</v>
      </c>
      <c r="R24" s="17" t="str">
        <f t="shared" si="9"/>
        <v>F</v>
      </c>
      <c r="S24" s="3" t="str">
        <f t="shared" si="10"/>
        <v>F</v>
      </c>
      <c r="T24" s="8">
        <f t="shared" si="11"/>
        <v>-1</v>
      </c>
      <c r="V24" s="4">
        <f t="shared" si="12"/>
        <v>-1</v>
      </c>
      <c r="W24" s="8">
        <f t="shared" si="13"/>
        <v>-1.9</v>
      </c>
      <c r="X24" s="8">
        <f t="shared" si="14"/>
        <v>1.9</v>
      </c>
      <c r="Y24" s="8">
        <f t="shared" si="15"/>
        <v>-16.95</v>
      </c>
    </row>
    <row r="25">
      <c r="A25" s="2">
        <v>18.0</v>
      </c>
      <c r="B25" s="15">
        <f>IFERROR(__xludf.DUMMYFUNCTION("""COMPUTED_VALUE"""),42397.64583333333)</f>
        <v>42397.64583</v>
      </c>
      <c r="C25" s="8">
        <f>IFERROR(__xludf.DUMMYFUNCTION("""COMPUTED_VALUE"""),1147.75)</f>
        <v>1147.75</v>
      </c>
      <c r="E25" s="15">
        <f>IFERROR(__xludf.DUMMYFUNCTION("""COMPUTED_VALUE"""),42397.64583333333)</f>
        <v>42397.64583</v>
      </c>
      <c r="F25" s="8">
        <f>IFERROR(__xludf.DUMMYFUNCTION("""COMPUTED_VALUE"""),515.85)</f>
        <v>515.85</v>
      </c>
      <c r="H25" s="4">
        <f t="shared" si="1"/>
        <v>631.9</v>
      </c>
      <c r="I25" s="16">
        <f t="shared" si="2"/>
        <v>640.188</v>
      </c>
      <c r="J25" s="16">
        <f t="shared" si="3"/>
        <v>14.4562969</v>
      </c>
      <c r="K25" s="16">
        <f t="shared" si="4"/>
        <v>654.6442969</v>
      </c>
      <c r="L25" s="16">
        <f t="shared" si="5"/>
        <v>625.7317031</v>
      </c>
      <c r="N25" s="17" t="str">
        <f t="shared" si="6"/>
        <v>F</v>
      </c>
      <c r="O25" s="17" t="str">
        <f t="shared" si="7"/>
        <v>F</v>
      </c>
      <c r="P25" s="8">
        <f t="shared" si="8"/>
        <v>0</v>
      </c>
      <c r="R25" s="17" t="str">
        <f t="shared" si="9"/>
        <v>F</v>
      </c>
      <c r="S25" s="3" t="str">
        <f t="shared" si="10"/>
        <v>T</v>
      </c>
      <c r="T25" s="8">
        <f t="shared" si="11"/>
        <v>0</v>
      </c>
      <c r="V25" s="4">
        <f t="shared" si="12"/>
        <v>0</v>
      </c>
      <c r="W25" s="8">
        <f t="shared" si="13"/>
        <v>-20.22</v>
      </c>
      <c r="X25" s="8">
        <f t="shared" si="14"/>
        <v>20.22</v>
      </c>
      <c r="Y25" s="8">
        <f t="shared" si="15"/>
        <v>3.27</v>
      </c>
    </row>
    <row r="26">
      <c r="A26" s="2">
        <v>19.0</v>
      </c>
      <c r="B26" s="15">
        <f>IFERROR(__xludf.DUMMYFUNCTION("""COMPUTED_VALUE"""),42398.64583333333)</f>
        <v>42398.64583</v>
      </c>
      <c r="C26" s="8">
        <f>IFERROR(__xludf.DUMMYFUNCTION("""COMPUTED_VALUE"""),1180.0)</f>
        <v>1180</v>
      </c>
      <c r="E26" s="15">
        <f>IFERROR(__xludf.DUMMYFUNCTION("""COMPUTED_VALUE"""),42398.64583333333)</f>
        <v>42398.64583</v>
      </c>
      <c r="F26" s="8">
        <f>IFERROR(__xludf.DUMMYFUNCTION("""COMPUTED_VALUE"""),524.92)</f>
        <v>524.92</v>
      </c>
      <c r="H26" s="4">
        <f t="shared" si="1"/>
        <v>655.08</v>
      </c>
      <c r="I26" s="16">
        <f t="shared" si="2"/>
        <v>647.284</v>
      </c>
      <c r="J26" s="16">
        <f t="shared" si="3"/>
        <v>9.773406776</v>
      </c>
      <c r="K26" s="16">
        <f t="shared" si="4"/>
        <v>657.0574068</v>
      </c>
      <c r="L26" s="16">
        <f t="shared" si="5"/>
        <v>637.5105932</v>
      </c>
      <c r="N26" s="17" t="str">
        <f t="shared" si="6"/>
        <v>F</v>
      </c>
      <c r="O26" s="17" t="str">
        <f t="shared" si="7"/>
        <v>T</v>
      </c>
      <c r="P26" s="8">
        <f t="shared" si="8"/>
        <v>0</v>
      </c>
      <c r="R26" s="17" t="str">
        <f t="shared" si="9"/>
        <v>F</v>
      </c>
      <c r="S26" s="3" t="str">
        <f t="shared" si="10"/>
        <v>F</v>
      </c>
      <c r="T26" s="8">
        <f t="shared" si="11"/>
        <v>0</v>
      </c>
      <c r="V26" s="4">
        <f t="shared" si="12"/>
        <v>0</v>
      </c>
      <c r="W26" s="8">
        <f t="shared" si="13"/>
        <v>23.18</v>
      </c>
      <c r="X26" s="8">
        <f t="shared" si="14"/>
        <v>0</v>
      </c>
      <c r="Y26" s="8">
        <f t="shared" si="15"/>
        <v>3.27</v>
      </c>
    </row>
    <row r="27">
      <c r="A27" s="2">
        <v>20.0</v>
      </c>
      <c r="B27" s="15">
        <f>IFERROR(__xludf.DUMMYFUNCTION("""COMPUTED_VALUE"""),42401.64583333333)</f>
        <v>42401.64583</v>
      </c>
      <c r="C27" s="8">
        <f>IFERROR(__xludf.DUMMYFUNCTION("""COMPUTED_VALUE"""),1180.05)</f>
        <v>1180.05</v>
      </c>
      <c r="E27" s="15">
        <f>IFERROR(__xludf.DUMMYFUNCTION("""COMPUTED_VALUE"""),42401.64583333333)</f>
        <v>42401.64583</v>
      </c>
      <c r="F27" s="8">
        <f>IFERROR(__xludf.DUMMYFUNCTION("""COMPUTED_VALUE"""),529.88)</f>
        <v>529.88</v>
      </c>
      <c r="H27" s="4">
        <f t="shared" si="1"/>
        <v>650.17</v>
      </c>
      <c r="I27" s="16">
        <f t="shared" si="2"/>
        <v>648.658</v>
      </c>
      <c r="J27" s="16">
        <f t="shared" si="3"/>
        <v>9.553733302</v>
      </c>
      <c r="K27" s="16">
        <f t="shared" si="4"/>
        <v>658.2117333</v>
      </c>
      <c r="L27" s="16">
        <f t="shared" si="5"/>
        <v>639.1042667</v>
      </c>
      <c r="N27" s="17" t="str">
        <f t="shared" si="6"/>
        <v>F</v>
      </c>
      <c r="O27" s="17" t="str">
        <f t="shared" si="7"/>
        <v>T</v>
      </c>
      <c r="P27" s="8">
        <f t="shared" si="8"/>
        <v>0</v>
      </c>
      <c r="R27" s="17" t="str">
        <f t="shared" si="9"/>
        <v>F</v>
      </c>
      <c r="S27" s="3" t="str">
        <f t="shared" si="10"/>
        <v>F</v>
      </c>
      <c r="T27" s="8">
        <f t="shared" si="11"/>
        <v>0</v>
      </c>
      <c r="V27" s="4">
        <f t="shared" si="12"/>
        <v>0</v>
      </c>
      <c r="W27" s="8">
        <f t="shared" si="13"/>
        <v>-4.91</v>
      </c>
      <c r="X27" s="8">
        <f t="shared" si="14"/>
        <v>0</v>
      </c>
      <c r="Y27" s="8">
        <f t="shared" si="15"/>
        <v>3.27</v>
      </c>
    </row>
    <row r="28">
      <c r="A28" s="2">
        <v>21.0</v>
      </c>
      <c r="B28" s="15">
        <f>IFERROR(__xludf.DUMMYFUNCTION("""COMPUTED_VALUE"""),42402.64583333333)</f>
        <v>42402.64583</v>
      </c>
      <c r="C28" s="8">
        <f>IFERROR(__xludf.DUMMYFUNCTION("""COMPUTED_VALUE"""),1179.8)</f>
        <v>1179.8</v>
      </c>
      <c r="E28" s="15">
        <f>IFERROR(__xludf.DUMMYFUNCTION("""COMPUTED_VALUE"""),42402.64583333333)</f>
        <v>42402.64583</v>
      </c>
      <c r="F28" s="8">
        <f>IFERROR(__xludf.DUMMYFUNCTION("""COMPUTED_VALUE"""),526.9)</f>
        <v>526.9</v>
      </c>
      <c r="H28" s="4">
        <f t="shared" si="1"/>
        <v>652.9</v>
      </c>
      <c r="I28" s="16">
        <f t="shared" si="2"/>
        <v>648.434</v>
      </c>
      <c r="J28" s="16">
        <f t="shared" si="3"/>
        <v>9.408612012</v>
      </c>
      <c r="K28" s="16">
        <f t="shared" si="4"/>
        <v>657.842612</v>
      </c>
      <c r="L28" s="16">
        <f t="shared" si="5"/>
        <v>639.025388</v>
      </c>
      <c r="N28" s="17" t="str">
        <f t="shared" si="6"/>
        <v>F</v>
      </c>
      <c r="O28" s="17" t="str">
        <f t="shared" si="7"/>
        <v>T</v>
      </c>
      <c r="P28" s="8">
        <f t="shared" si="8"/>
        <v>0</v>
      </c>
      <c r="R28" s="17" t="str">
        <f t="shared" si="9"/>
        <v>F</v>
      </c>
      <c r="S28" s="3" t="str">
        <f t="shared" si="10"/>
        <v>F</v>
      </c>
      <c r="T28" s="8">
        <f t="shared" si="11"/>
        <v>0</v>
      </c>
      <c r="V28" s="4">
        <f t="shared" si="12"/>
        <v>0</v>
      </c>
      <c r="W28" s="8">
        <f t="shared" si="13"/>
        <v>2.73</v>
      </c>
      <c r="X28" s="8">
        <f t="shared" si="14"/>
        <v>0</v>
      </c>
      <c r="Y28" s="8">
        <f t="shared" si="15"/>
        <v>3.27</v>
      </c>
    </row>
    <row r="29">
      <c r="A29" s="2">
        <v>22.0</v>
      </c>
      <c r="B29" s="15">
        <f>IFERROR(__xludf.DUMMYFUNCTION("""COMPUTED_VALUE"""),42403.64583333333)</f>
        <v>42403.64583</v>
      </c>
      <c r="C29" s="8">
        <f>IFERROR(__xludf.DUMMYFUNCTION("""COMPUTED_VALUE"""),1160.95)</f>
        <v>1160.95</v>
      </c>
      <c r="E29" s="15">
        <f>IFERROR(__xludf.DUMMYFUNCTION("""COMPUTED_VALUE"""),42403.64583333333)</f>
        <v>42403.64583</v>
      </c>
      <c r="F29" s="8">
        <f>IFERROR(__xludf.DUMMYFUNCTION("""COMPUTED_VALUE"""),521.92)</f>
        <v>521.92</v>
      </c>
      <c r="H29" s="4">
        <f t="shared" si="1"/>
        <v>639.03</v>
      </c>
      <c r="I29" s="16">
        <f t="shared" si="2"/>
        <v>645.816</v>
      </c>
      <c r="J29" s="16">
        <f t="shared" si="3"/>
        <v>9.933112805</v>
      </c>
      <c r="K29" s="16">
        <f t="shared" si="4"/>
        <v>655.7491128</v>
      </c>
      <c r="L29" s="16">
        <f t="shared" si="5"/>
        <v>635.8828872</v>
      </c>
      <c r="N29" s="17" t="str">
        <f t="shared" si="6"/>
        <v>F</v>
      </c>
      <c r="O29" s="17" t="str">
        <f t="shared" si="7"/>
        <v>F</v>
      </c>
      <c r="P29" s="8">
        <f t="shared" si="8"/>
        <v>0</v>
      </c>
      <c r="R29" s="17" t="str">
        <f t="shared" si="9"/>
        <v>F</v>
      </c>
      <c r="S29" s="3" t="str">
        <f t="shared" si="10"/>
        <v>T</v>
      </c>
      <c r="T29" s="8">
        <f t="shared" si="11"/>
        <v>0</v>
      </c>
      <c r="V29" s="4">
        <f t="shared" si="12"/>
        <v>0</v>
      </c>
      <c r="W29" s="8">
        <f t="shared" si="13"/>
        <v>-13.87</v>
      </c>
      <c r="X29" s="8">
        <f t="shared" si="14"/>
        <v>0</v>
      </c>
      <c r="Y29" s="8">
        <f t="shared" si="15"/>
        <v>3.27</v>
      </c>
    </row>
    <row r="30">
      <c r="A30" s="2">
        <v>23.0</v>
      </c>
      <c r="B30" s="15">
        <f>IFERROR(__xludf.DUMMYFUNCTION("""COMPUTED_VALUE"""),42404.64583333333)</f>
        <v>42404.64583</v>
      </c>
      <c r="C30" s="8">
        <f>IFERROR(__xludf.DUMMYFUNCTION("""COMPUTED_VALUE"""),1168.35)</f>
        <v>1168.35</v>
      </c>
      <c r="E30" s="15">
        <f>IFERROR(__xludf.DUMMYFUNCTION("""COMPUTED_VALUE"""),42404.64583333333)</f>
        <v>42404.64583</v>
      </c>
      <c r="F30" s="8">
        <f>IFERROR(__xludf.DUMMYFUNCTION("""COMPUTED_VALUE"""),524.6)</f>
        <v>524.6</v>
      </c>
      <c r="H30" s="4">
        <f t="shared" si="1"/>
        <v>643.75</v>
      </c>
      <c r="I30" s="16">
        <f t="shared" si="2"/>
        <v>648.186</v>
      </c>
      <c r="J30" s="16">
        <f t="shared" si="3"/>
        <v>6.655744136</v>
      </c>
      <c r="K30" s="16">
        <f t="shared" si="4"/>
        <v>654.8417441</v>
      </c>
      <c r="L30" s="16">
        <f t="shared" si="5"/>
        <v>641.5302559</v>
      </c>
      <c r="N30" s="17" t="str">
        <f t="shared" si="6"/>
        <v>F</v>
      </c>
      <c r="O30" s="17" t="str">
        <f t="shared" si="7"/>
        <v>F</v>
      </c>
      <c r="P30" s="8">
        <f t="shared" si="8"/>
        <v>0</v>
      </c>
      <c r="R30" s="17" t="str">
        <f t="shared" si="9"/>
        <v>F</v>
      </c>
      <c r="S30" s="3" t="str">
        <f t="shared" si="10"/>
        <v>T</v>
      </c>
      <c r="T30" s="8">
        <f t="shared" si="11"/>
        <v>0</v>
      </c>
      <c r="V30" s="4">
        <f t="shared" si="12"/>
        <v>0</v>
      </c>
      <c r="W30" s="8">
        <f t="shared" si="13"/>
        <v>4.72</v>
      </c>
      <c r="X30" s="8">
        <f t="shared" si="14"/>
        <v>0</v>
      </c>
      <c r="Y30" s="8">
        <f t="shared" si="15"/>
        <v>3.27</v>
      </c>
    </row>
    <row r="31">
      <c r="A31" s="2">
        <v>24.0</v>
      </c>
      <c r="B31" s="15">
        <f>IFERROR(__xludf.DUMMYFUNCTION("""COMPUTED_VALUE"""),42405.64583333333)</f>
        <v>42405.64583</v>
      </c>
      <c r="C31" s="8">
        <f>IFERROR(__xludf.DUMMYFUNCTION("""COMPUTED_VALUE"""),1182.95)</f>
        <v>1182.95</v>
      </c>
      <c r="E31" s="15">
        <f>IFERROR(__xludf.DUMMYFUNCTION("""COMPUTED_VALUE"""),42405.64583333333)</f>
        <v>42405.64583</v>
      </c>
      <c r="F31" s="8">
        <f>IFERROR(__xludf.DUMMYFUNCTION("""COMPUTED_VALUE"""),527.63)</f>
        <v>527.63</v>
      </c>
      <c r="H31" s="4">
        <f t="shared" si="1"/>
        <v>655.32</v>
      </c>
      <c r="I31" s="16">
        <f t="shared" si="2"/>
        <v>648.234</v>
      </c>
      <c r="J31" s="16">
        <f t="shared" si="3"/>
        <v>6.718461878</v>
      </c>
      <c r="K31" s="16">
        <f t="shared" si="4"/>
        <v>654.9524619</v>
      </c>
      <c r="L31" s="16">
        <f t="shared" si="5"/>
        <v>641.5155381</v>
      </c>
      <c r="N31" s="17" t="str">
        <f t="shared" si="6"/>
        <v>F</v>
      </c>
      <c r="O31" s="17" t="str">
        <f t="shared" si="7"/>
        <v>T</v>
      </c>
      <c r="P31" s="8">
        <f t="shared" si="8"/>
        <v>0</v>
      </c>
      <c r="R31" s="17" t="str">
        <f t="shared" si="9"/>
        <v>T</v>
      </c>
      <c r="S31" s="3" t="str">
        <f t="shared" si="10"/>
        <v>F</v>
      </c>
      <c r="T31" s="8">
        <f t="shared" si="11"/>
        <v>-1</v>
      </c>
      <c r="V31" s="4">
        <f t="shared" si="12"/>
        <v>-1</v>
      </c>
      <c r="W31" s="8">
        <f t="shared" si="13"/>
        <v>11.57</v>
      </c>
      <c r="X31" s="8">
        <f t="shared" si="14"/>
        <v>0</v>
      </c>
      <c r="Y31" s="8">
        <f t="shared" si="15"/>
        <v>3.27</v>
      </c>
    </row>
    <row r="32">
      <c r="A32" s="2">
        <v>25.0</v>
      </c>
      <c r="B32" s="15">
        <f>IFERROR(__xludf.DUMMYFUNCTION("""COMPUTED_VALUE"""),42408.64583333333)</f>
        <v>42408.64583</v>
      </c>
      <c r="C32" s="8">
        <f>IFERROR(__xludf.DUMMYFUNCTION("""COMPUTED_VALUE"""),1160.0)</f>
        <v>1160</v>
      </c>
      <c r="E32" s="15">
        <f>IFERROR(__xludf.DUMMYFUNCTION("""COMPUTED_VALUE"""),42408.64583333333)</f>
        <v>42408.64583</v>
      </c>
      <c r="F32" s="8">
        <f>IFERROR(__xludf.DUMMYFUNCTION("""COMPUTED_VALUE"""),515.85)</f>
        <v>515.85</v>
      </c>
      <c r="H32" s="4">
        <f t="shared" si="1"/>
        <v>644.15</v>
      </c>
      <c r="I32" s="16">
        <f t="shared" si="2"/>
        <v>647.03</v>
      </c>
      <c r="J32" s="16">
        <f t="shared" si="3"/>
        <v>6.823375264</v>
      </c>
      <c r="K32" s="16">
        <f t="shared" si="4"/>
        <v>653.8533753</v>
      </c>
      <c r="L32" s="16">
        <f t="shared" si="5"/>
        <v>640.2066247</v>
      </c>
      <c r="N32" s="17" t="str">
        <f t="shared" si="6"/>
        <v>F</v>
      </c>
      <c r="O32" s="17" t="str">
        <f t="shared" si="7"/>
        <v>F</v>
      </c>
      <c r="P32" s="8">
        <f t="shared" si="8"/>
        <v>0</v>
      </c>
      <c r="R32" s="17" t="str">
        <f t="shared" si="9"/>
        <v>F</v>
      </c>
      <c r="S32" s="3" t="str">
        <f t="shared" si="10"/>
        <v>T</v>
      </c>
      <c r="T32" s="8">
        <f t="shared" si="11"/>
        <v>0</v>
      </c>
      <c r="V32" s="4">
        <f t="shared" si="12"/>
        <v>0</v>
      </c>
      <c r="W32" s="8">
        <f t="shared" si="13"/>
        <v>-11.17</v>
      </c>
      <c r="X32" s="8">
        <f t="shared" si="14"/>
        <v>11.17</v>
      </c>
      <c r="Y32" s="8">
        <f t="shared" si="15"/>
        <v>14.44</v>
      </c>
    </row>
    <row r="33">
      <c r="A33" s="2">
        <v>26.0</v>
      </c>
      <c r="B33" s="15">
        <f>IFERROR(__xludf.DUMMYFUNCTION("""COMPUTED_VALUE"""),42409.64583333333)</f>
        <v>42409.64583</v>
      </c>
      <c r="C33" s="8">
        <f>IFERROR(__xludf.DUMMYFUNCTION("""COMPUTED_VALUE"""),1159.9)</f>
        <v>1159.9</v>
      </c>
      <c r="E33" s="15">
        <f>IFERROR(__xludf.DUMMYFUNCTION("""COMPUTED_VALUE"""),42409.64583333333)</f>
        <v>42409.64583</v>
      </c>
      <c r="F33" s="8">
        <f>IFERROR(__xludf.DUMMYFUNCTION("""COMPUTED_VALUE"""),513.03)</f>
        <v>513.03</v>
      </c>
      <c r="H33" s="4">
        <f t="shared" si="1"/>
        <v>646.87</v>
      </c>
      <c r="I33" s="16">
        <f t="shared" si="2"/>
        <v>645.824</v>
      </c>
      <c r="J33" s="16">
        <f t="shared" si="3"/>
        <v>6.01103818</v>
      </c>
      <c r="K33" s="16">
        <f t="shared" si="4"/>
        <v>651.8350382</v>
      </c>
      <c r="L33" s="16">
        <f t="shared" si="5"/>
        <v>639.8129618</v>
      </c>
      <c r="N33" s="17" t="str">
        <f t="shared" si="6"/>
        <v>F</v>
      </c>
      <c r="O33" s="17" t="str">
        <f t="shared" si="7"/>
        <v>T</v>
      </c>
      <c r="P33" s="8">
        <f t="shared" si="8"/>
        <v>0</v>
      </c>
      <c r="R33" s="17" t="str">
        <f t="shared" si="9"/>
        <v>F</v>
      </c>
      <c r="S33" s="3" t="str">
        <f t="shared" si="10"/>
        <v>F</v>
      </c>
      <c r="T33" s="8">
        <f t="shared" si="11"/>
        <v>0</v>
      </c>
      <c r="V33" s="4">
        <f t="shared" si="12"/>
        <v>0</v>
      </c>
      <c r="W33" s="8">
        <f t="shared" si="13"/>
        <v>2.72</v>
      </c>
      <c r="X33" s="8">
        <f t="shared" si="14"/>
        <v>0</v>
      </c>
      <c r="Y33" s="8">
        <f t="shared" si="15"/>
        <v>14.44</v>
      </c>
    </row>
    <row r="34">
      <c r="A34" s="2">
        <v>27.0</v>
      </c>
      <c r="B34" s="15">
        <f>IFERROR(__xludf.DUMMYFUNCTION("""COMPUTED_VALUE"""),42410.64583333333)</f>
        <v>42410.64583</v>
      </c>
      <c r="C34" s="8">
        <f>IFERROR(__xludf.DUMMYFUNCTION("""COMPUTED_VALUE"""),1116.55)</f>
        <v>1116.55</v>
      </c>
      <c r="E34" s="15">
        <f>IFERROR(__xludf.DUMMYFUNCTION("""COMPUTED_VALUE"""),42410.64583333333)</f>
        <v>42410.64583</v>
      </c>
      <c r="F34" s="8">
        <f>IFERROR(__xludf.DUMMYFUNCTION("""COMPUTED_VALUE"""),506.48)</f>
        <v>506.48</v>
      </c>
      <c r="H34" s="4">
        <f t="shared" si="1"/>
        <v>610.07</v>
      </c>
      <c r="I34" s="16">
        <f t="shared" si="2"/>
        <v>640.032</v>
      </c>
      <c r="J34" s="16">
        <f t="shared" si="3"/>
        <v>17.38522419</v>
      </c>
      <c r="K34" s="16">
        <f t="shared" si="4"/>
        <v>657.4172242</v>
      </c>
      <c r="L34" s="16">
        <f t="shared" si="5"/>
        <v>622.6467758</v>
      </c>
      <c r="N34" s="17" t="str">
        <f t="shared" si="6"/>
        <v>T</v>
      </c>
      <c r="O34" s="17" t="str">
        <f t="shared" si="7"/>
        <v>F</v>
      </c>
      <c r="P34" s="8">
        <f t="shared" si="8"/>
        <v>1</v>
      </c>
      <c r="R34" s="17" t="str">
        <f t="shared" si="9"/>
        <v>F</v>
      </c>
      <c r="S34" s="3" t="str">
        <f t="shared" si="10"/>
        <v>T</v>
      </c>
      <c r="T34" s="8">
        <f t="shared" si="11"/>
        <v>0</v>
      </c>
      <c r="V34" s="4">
        <f t="shared" si="12"/>
        <v>1</v>
      </c>
      <c r="W34" s="8">
        <f t="shared" si="13"/>
        <v>-36.8</v>
      </c>
      <c r="X34" s="8">
        <f t="shared" si="14"/>
        <v>0</v>
      </c>
      <c r="Y34" s="8">
        <f t="shared" si="15"/>
        <v>14.44</v>
      </c>
    </row>
    <row r="35">
      <c r="A35" s="2">
        <v>28.0</v>
      </c>
      <c r="B35" s="15">
        <f>IFERROR(__xludf.DUMMYFUNCTION("""COMPUTED_VALUE"""),42411.64583333333)</f>
        <v>42411.64583</v>
      </c>
      <c r="C35" s="8">
        <f>IFERROR(__xludf.DUMMYFUNCTION("""COMPUTED_VALUE"""),1066.65)</f>
        <v>1066.65</v>
      </c>
      <c r="E35" s="15">
        <f>IFERROR(__xludf.DUMMYFUNCTION("""COMPUTED_VALUE"""),42411.64583333333)</f>
        <v>42411.64583</v>
      </c>
      <c r="F35" s="8">
        <f>IFERROR(__xludf.DUMMYFUNCTION("""COMPUTED_VALUE"""),487.65)</f>
        <v>487.65</v>
      </c>
      <c r="H35" s="4">
        <f t="shared" si="1"/>
        <v>579</v>
      </c>
      <c r="I35" s="16">
        <f t="shared" si="2"/>
        <v>627.082</v>
      </c>
      <c r="J35" s="16">
        <f t="shared" si="3"/>
        <v>31.94351687</v>
      </c>
      <c r="K35" s="16">
        <f t="shared" si="4"/>
        <v>659.0255169</v>
      </c>
      <c r="L35" s="16">
        <f t="shared" si="5"/>
        <v>595.1384831</v>
      </c>
      <c r="N35" s="17" t="str">
        <f t="shared" si="6"/>
        <v>T</v>
      </c>
      <c r="O35" s="17" t="str">
        <f t="shared" si="7"/>
        <v>F</v>
      </c>
      <c r="P35" s="8">
        <f t="shared" si="8"/>
        <v>1</v>
      </c>
      <c r="R35" s="17" t="str">
        <f t="shared" si="9"/>
        <v>F</v>
      </c>
      <c r="S35" s="3" t="str">
        <f t="shared" si="10"/>
        <v>T</v>
      </c>
      <c r="T35" s="8">
        <f t="shared" si="11"/>
        <v>0</v>
      </c>
      <c r="V35" s="4">
        <f t="shared" si="12"/>
        <v>1</v>
      </c>
      <c r="W35" s="8">
        <f t="shared" si="13"/>
        <v>-31.07</v>
      </c>
      <c r="X35" s="8">
        <f t="shared" si="14"/>
        <v>-31.07</v>
      </c>
      <c r="Y35" s="8">
        <f t="shared" si="15"/>
        <v>-16.63</v>
      </c>
    </row>
    <row r="36">
      <c r="A36" s="2">
        <v>29.0</v>
      </c>
      <c r="B36" s="15">
        <f>IFERROR(__xludf.DUMMYFUNCTION("""COMPUTED_VALUE"""),42412.64583333333)</f>
        <v>42412.64583</v>
      </c>
      <c r="C36" s="8">
        <f>IFERROR(__xludf.DUMMYFUNCTION("""COMPUTED_VALUE"""),1083.65)</f>
        <v>1083.65</v>
      </c>
      <c r="E36" s="15">
        <f>IFERROR(__xludf.DUMMYFUNCTION("""COMPUTED_VALUE"""),42412.64583333333)</f>
        <v>42412.64583</v>
      </c>
      <c r="F36" s="8">
        <f>IFERROR(__xludf.DUMMYFUNCTION("""COMPUTED_VALUE"""),489.0)</f>
        <v>489</v>
      </c>
      <c r="H36" s="4">
        <f t="shared" si="1"/>
        <v>594.65</v>
      </c>
      <c r="I36" s="16">
        <f t="shared" si="2"/>
        <v>614.948</v>
      </c>
      <c r="J36" s="16">
        <f t="shared" si="3"/>
        <v>29.99930533</v>
      </c>
      <c r="K36" s="16">
        <f t="shared" si="4"/>
        <v>644.9473053</v>
      </c>
      <c r="L36" s="16">
        <f t="shared" si="5"/>
        <v>584.9486947</v>
      </c>
      <c r="N36" s="17" t="str">
        <f t="shared" si="6"/>
        <v>F</v>
      </c>
      <c r="O36" s="17" t="str">
        <f t="shared" si="7"/>
        <v>F</v>
      </c>
      <c r="P36" s="8">
        <f t="shared" si="8"/>
        <v>1</v>
      </c>
      <c r="R36" s="17" t="str">
        <f t="shared" si="9"/>
        <v>F</v>
      </c>
      <c r="S36" s="3" t="str">
        <f t="shared" si="10"/>
        <v>T</v>
      </c>
      <c r="T36" s="8">
        <f t="shared" si="11"/>
        <v>0</v>
      </c>
      <c r="V36" s="4">
        <f t="shared" si="12"/>
        <v>1</v>
      </c>
      <c r="W36" s="8">
        <f t="shared" si="13"/>
        <v>15.65</v>
      </c>
      <c r="X36" s="8">
        <f t="shared" si="14"/>
        <v>15.65</v>
      </c>
      <c r="Y36" s="8">
        <f t="shared" si="15"/>
        <v>-0.98</v>
      </c>
    </row>
    <row r="37">
      <c r="A37" s="2">
        <v>30.0</v>
      </c>
      <c r="B37" s="15">
        <f>IFERROR(__xludf.DUMMYFUNCTION("""COMPUTED_VALUE"""),42415.64583333333)</f>
        <v>42415.64583</v>
      </c>
      <c r="C37" s="8">
        <f>IFERROR(__xludf.DUMMYFUNCTION("""COMPUTED_VALUE"""),1080.45)</f>
        <v>1080.45</v>
      </c>
      <c r="E37" s="15">
        <f>IFERROR(__xludf.DUMMYFUNCTION("""COMPUTED_VALUE"""),42415.64583333333)</f>
        <v>42415.64583</v>
      </c>
      <c r="F37" s="8">
        <f>IFERROR(__xludf.DUMMYFUNCTION("""COMPUTED_VALUE"""),486.8)</f>
        <v>486.8</v>
      </c>
      <c r="H37" s="4">
        <f t="shared" si="1"/>
        <v>593.65</v>
      </c>
      <c r="I37" s="16">
        <f t="shared" si="2"/>
        <v>604.848</v>
      </c>
      <c r="J37" s="16">
        <f t="shared" si="3"/>
        <v>25.93564767</v>
      </c>
      <c r="K37" s="16">
        <f t="shared" si="4"/>
        <v>630.7836477</v>
      </c>
      <c r="L37" s="16">
        <f t="shared" si="5"/>
        <v>578.9123523</v>
      </c>
      <c r="N37" s="17" t="str">
        <f t="shared" si="6"/>
        <v>F</v>
      </c>
      <c r="O37" s="17" t="str">
        <f t="shared" si="7"/>
        <v>F</v>
      </c>
      <c r="P37" s="8">
        <f t="shared" si="8"/>
        <v>1</v>
      </c>
      <c r="R37" s="17" t="str">
        <f t="shared" si="9"/>
        <v>F</v>
      </c>
      <c r="S37" s="3" t="str">
        <f t="shared" si="10"/>
        <v>T</v>
      </c>
      <c r="T37" s="8">
        <f t="shared" si="11"/>
        <v>0</v>
      </c>
      <c r="V37" s="4">
        <f t="shared" si="12"/>
        <v>1</v>
      </c>
      <c r="W37" s="8">
        <f t="shared" si="13"/>
        <v>-1</v>
      </c>
      <c r="X37" s="8">
        <f t="shared" si="14"/>
        <v>-1</v>
      </c>
      <c r="Y37" s="8">
        <f t="shared" si="15"/>
        <v>-1.98</v>
      </c>
    </row>
    <row r="38">
      <c r="A38" s="2">
        <v>31.0</v>
      </c>
      <c r="B38" s="15">
        <f>IFERROR(__xludf.DUMMYFUNCTION("""COMPUTED_VALUE"""),42416.64583333333)</f>
        <v>42416.64583</v>
      </c>
      <c r="C38" s="8">
        <f>IFERROR(__xludf.DUMMYFUNCTION("""COMPUTED_VALUE"""),1077.15)</f>
        <v>1077.15</v>
      </c>
      <c r="E38" s="15">
        <f>IFERROR(__xludf.DUMMYFUNCTION("""COMPUTED_VALUE"""),42416.64583333333)</f>
        <v>42416.64583</v>
      </c>
      <c r="F38" s="8">
        <f>IFERROR(__xludf.DUMMYFUNCTION("""COMPUTED_VALUE"""),486.73)</f>
        <v>486.73</v>
      </c>
      <c r="H38" s="4">
        <f t="shared" si="1"/>
        <v>590.42</v>
      </c>
      <c r="I38" s="16">
        <f t="shared" si="2"/>
        <v>593.558</v>
      </c>
      <c r="J38" s="16">
        <f t="shared" si="3"/>
        <v>11.13136874</v>
      </c>
      <c r="K38" s="16">
        <f t="shared" si="4"/>
        <v>604.6893687</v>
      </c>
      <c r="L38" s="16">
        <f t="shared" si="5"/>
        <v>582.4266313</v>
      </c>
      <c r="N38" s="17" t="str">
        <f t="shared" si="6"/>
        <v>F</v>
      </c>
      <c r="O38" s="17" t="str">
        <f t="shared" si="7"/>
        <v>F</v>
      </c>
      <c r="P38" s="8">
        <f t="shared" si="8"/>
        <v>1</v>
      </c>
      <c r="R38" s="17" t="str">
        <f t="shared" si="9"/>
        <v>F</v>
      </c>
      <c r="S38" s="3" t="str">
        <f t="shared" si="10"/>
        <v>T</v>
      </c>
      <c r="T38" s="8">
        <f t="shared" si="11"/>
        <v>0</v>
      </c>
      <c r="V38" s="4">
        <f t="shared" si="12"/>
        <v>1</v>
      </c>
      <c r="W38" s="8">
        <f t="shared" si="13"/>
        <v>-3.23</v>
      </c>
      <c r="X38" s="8">
        <f t="shared" si="14"/>
        <v>-3.23</v>
      </c>
      <c r="Y38" s="8">
        <f t="shared" si="15"/>
        <v>-5.21</v>
      </c>
    </row>
    <row r="39">
      <c r="A39" s="2">
        <v>32.0</v>
      </c>
      <c r="B39" s="15">
        <f>IFERROR(__xludf.DUMMYFUNCTION("""COMPUTED_VALUE"""),42417.64583333333)</f>
        <v>42417.64583</v>
      </c>
      <c r="C39" s="8">
        <f>IFERROR(__xludf.DUMMYFUNCTION("""COMPUTED_VALUE"""),1076.3)</f>
        <v>1076.3</v>
      </c>
      <c r="E39" s="15">
        <f>IFERROR(__xludf.DUMMYFUNCTION("""COMPUTED_VALUE"""),42417.64583333333)</f>
        <v>42417.64583</v>
      </c>
      <c r="F39" s="8">
        <f>IFERROR(__xludf.DUMMYFUNCTION("""COMPUTED_VALUE"""),487.45)</f>
        <v>487.45</v>
      </c>
      <c r="H39" s="4">
        <f t="shared" si="1"/>
        <v>588.85</v>
      </c>
      <c r="I39" s="16">
        <f t="shared" si="2"/>
        <v>589.314</v>
      </c>
      <c r="J39" s="16">
        <f t="shared" si="3"/>
        <v>6.226775249</v>
      </c>
      <c r="K39" s="16">
        <f t="shared" si="4"/>
        <v>595.5407752</v>
      </c>
      <c r="L39" s="16">
        <f t="shared" si="5"/>
        <v>583.0872248</v>
      </c>
      <c r="N39" s="17" t="str">
        <f t="shared" si="6"/>
        <v>F</v>
      </c>
      <c r="O39" s="17" t="str">
        <f t="shared" si="7"/>
        <v>F</v>
      </c>
      <c r="P39" s="8">
        <f t="shared" si="8"/>
        <v>1</v>
      </c>
      <c r="R39" s="17" t="str">
        <f t="shared" si="9"/>
        <v>F</v>
      </c>
      <c r="S39" s="3" t="str">
        <f t="shared" si="10"/>
        <v>T</v>
      </c>
      <c r="T39" s="8">
        <f t="shared" si="11"/>
        <v>0</v>
      </c>
      <c r="V39" s="4">
        <f t="shared" si="12"/>
        <v>1</v>
      </c>
      <c r="W39" s="8">
        <f t="shared" si="13"/>
        <v>-1.57</v>
      </c>
      <c r="X39" s="8">
        <f t="shared" si="14"/>
        <v>-1.57</v>
      </c>
      <c r="Y39" s="8">
        <f t="shared" si="15"/>
        <v>-6.78</v>
      </c>
    </row>
    <row r="40">
      <c r="A40" s="2">
        <v>33.0</v>
      </c>
      <c r="B40" s="15">
        <f>IFERROR(__xludf.DUMMYFUNCTION("""COMPUTED_VALUE"""),42418.64583333333)</f>
        <v>42418.64583</v>
      </c>
      <c r="C40" s="8">
        <f>IFERROR(__xludf.DUMMYFUNCTION("""COMPUTED_VALUE"""),1069.1)</f>
        <v>1069.1</v>
      </c>
      <c r="E40" s="15">
        <f>IFERROR(__xludf.DUMMYFUNCTION("""COMPUTED_VALUE"""),42418.64583333333)</f>
        <v>42418.64583</v>
      </c>
      <c r="F40" s="8">
        <f>IFERROR(__xludf.DUMMYFUNCTION("""COMPUTED_VALUE"""),494.73)</f>
        <v>494.73</v>
      </c>
      <c r="H40" s="4">
        <f t="shared" si="1"/>
        <v>574.37</v>
      </c>
      <c r="I40" s="16">
        <f t="shared" si="2"/>
        <v>588.388</v>
      </c>
      <c r="J40" s="16">
        <f t="shared" si="3"/>
        <v>8.181504752</v>
      </c>
      <c r="K40" s="16">
        <f t="shared" si="4"/>
        <v>596.5695048</v>
      </c>
      <c r="L40" s="16">
        <f t="shared" si="5"/>
        <v>580.2064952</v>
      </c>
      <c r="N40" s="17" t="str">
        <f t="shared" si="6"/>
        <v>T</v>
      </c>
      <c r="O40" s="17" t="str">
        <f t="shared" si="7"/>
        <v>F</v>
      </c>
      <c r="P40" s="8">
        <f t="shared" si="8"/>
        <v>1</v>
      </c>
      <c r="R40" s="17" t="str">
        <f t="shared" si="9"/>
        <v>F</v>
      </c>
      <c r="S40" s="3" t="str">
        <f t="shared" si="10"/>
        <v>T</v>
      </c>
      <c r="T40" s="8">
        <f t="shared" si="11"/>
        <v>0</v>
      </c>
      <c r="V40" s="4">
        <f t="shared" si="12"/>
        <v>1</v>
      </c>
      <c r="W40" s="8">
        <f t="shared" si="13"/>
        <v>-14.48</v>
      </c>
      <c r="X40" s="8">
        <f t="shared" si="14"/>
        <v>-14.48</v>
      </c>
      <c r="Y40" s="8">
        <f t="shared" si="15"/>
        <v>-21.26</v>
      </c>
    </row>
    <row r="41">
      <c r="A41" s="2">
        <v>34.0</v>
      </c>
      <c r="B41" s="15">
        <f>IFERROR(__xludf.DUMMYFUNCTION("""COMPUTED_VALUE"""),42419.64583333333)</f>
        <v>42419.64583</v>
      </c>
      <c r="C41" s="8">
        <f>IFERROR(__xludf.DUMMYFUNCTION("""COMPUTED_VALUE"""),1060.85)</f>
        <v>1060.85</v>
      </c>
      <c r="E41" s="15">
        <f>IFERROR(__xludf.DUMMYFUNCTION("""COMPUTED_VALUE"""),42419.64583333333)</f>
        <v>42419.64583</v>
      </c>
      <c r="F41" s="8">
        <f>IFERROR(__xludf.DUMMYFUNCTION("""COMPUTED_VALUE"""),494.65)</f>
        <v>494.65</v>
      </c>
      <c r="H41" s="4">
        <f t="shared" si="1"/>
        <v>566.2</v>
      </c>
      <c r="I41" s="16">
        <f t="shared" si="2"/>
        <v>582.698</v>
      </c>
      <c r="J41" s="16">
        <f t="shared" si="3"/>
        <v>11.82119156</v>
      </c>
      <c r="K41" s="16">
        <f t="shared" si="4"/>
        <v>594.5191916</v>
      </c>
      <c r="L41" s="16">
        <f t="shared" si="5"/>
        <v>570.8768084</v>
      </c>
      <c r="N41" s="17" t="str">
        <f t="shared" si="6"/>
        <v>T</v>
      </c>
      <c r="O41" s="17" t="str">
        <f t="shared" si="7"/>
        <v>F</v>
      </c>
      <c r="P41" s="8">
        <f t="shared" si="8"/>
        <v>1</v>
      </c>
      <c r="R41" s="17" t="str">
        <f t="shared" si="9"/>
        <v>F</v>
      </c>
      <c r="S41" s="3" t="str">
        <f t="shared" si="10"/>
        <v>T</v>
      </c>
      <c r="T41" s="8">
        <f t="shared" si="11"/>
        <v>0</v>
      </c>
      <c r="V41" s="4">
        <f t="shared" si="12"/>
        <v>1</v>
      </c>
      <c r="W41" s="8">
        <f t="shared" si="13"/>
        <v>-8.17</v>
      </c>
      <c r="X41" s="8">
        <f t="shared" si="14"/>
        <v>-8.17</v>
      </c>
      <c r="Y41" s="8">
        <f t="shared" si="15"/>
        <v>-29.43</v>
      </c>
    </row>
    <row r="42">
      <c r="A42" s="2">
        <v>35.0</v>
      </c>
      <c r="B42" s="15">
        <f>IFERROR(__xludf.DUMMYFUNCTION("""COMPUTED_VALUE"""),42422.64583333333)</f>
        <v>42422.64583</v>
      </c>
      <c r="C42" s="8">
        <f>IFERROR(__xludf.DUMMYFUNCTION("""COMPUTED_VALUE"""),1058.4)</f>
        <v>1058.4</v>
      </c>
      <c r="E42" s="15">
        <f>IFERROR(__xludf.DUMMYFUNCTION("""COMPUTED_VALUE"""),42422.64583333333)</f>
        <v>42422.64583</v>
      </c>
      <c r="F42" s="8">
        <f>IFERROR(__xludf.DUMMYFUNCTION("""COMPUTED_VALUE"""),494.38)</f>
        <v>494.38</v>
      </c>
      <c r="H42" s="4">
        <f t="shared" si="1"/>
        <v>564.02</v>
      </c>
      <c r="I42" s="16">
        <f t="shared" si="2"/>
        <v>576.772</v>
      </c>
      <c r="J42" s="16">
        <f t="shared" si="3"/>
        <v>12.37231062</v>
      </c>
      <c r="K42" s="16">
        <f t="shared" si="4"/>
        <v>589.1443106</v>
      </c>
      <c r="L42" s="16">
        <f t="shared" si="5"/>
        <v>564.3996894</v>
      </c>
      <c r="N42" s="17" t="str">
        <f t="shared" si="6"/>
        <v>T</v>
      </c>
      <c r="O42" s="17" t="str">
        <f t="shared" si="7"/>
        <v>F</v>
      </c>
      <c r="P42" s="8">
        <f t="shared" si="8"/>
        <v>1</v>
      </c>
      <c r="R42" s="17" t="str">
        <f t="shared" si="9"/>
        <v>F</v>
      </c>
      <c r="S42" s="3" t="str">
        <f t="shared" si="10"/>
        <v>T</v>
      </c>
      <c r="T42" s="8">
        <f t="shared" si="11"/>
        <v>0</v>
      </c>
      <c r="V42" s="4">
        <f t="shared" si="12"/>
        <v>1</v>
      </c>
      <c r="W42" s="8">
        <f t="shared" si="13"/>
        <v>-2.18</v>
      </c>
      <c r="X42" s="8">
        <f t="shared" si="14"/>
        <v>-2.18</v>
      </c>
      <c r="Y42" s="8">
        <f t="shared" si="15"/>
        <v>-31.61</v>
      </c>
    </row>
    <row r="43">
      <c r="A43" s="2">
        <v>36.0</v>
      </c>
      <c r="B43" s="15">
        <f>IFERROR(__xludf.DUMMYFUNCTION("""COMPUTED_VALUE"""),42423.64583333333)</f>
        <v>42423.64583</v>
      </c>
      <c r="C43" s="8">
        <f>IFERROR(__xludf.DUMMYFUNCTION("""COMPUTED_VALUE"""),1051.1)</f>
        <v>1051.1</v>
      </c>
      <c r="E43" s="15">
        <f>IFERROR(__xludf.DUMMYFUNCTION("""COMPUTED_VALUE"""),42423.64583333333)</f>
        <v>42423.64583</v>
      </c>
      <c r="F43" s="8">
        <f>IFERROR(__xludf.DUMMYFUNCTION("""COMPUTED_VALUE"""),485.03)</f>
        <v>485.03</v>
      </c>
      <c r="H43" s="4">
        <f t="shared" si="1"/>
        <v>566.07</v>
      </c>
      <c r="I43" s="16">
        <f t="shared" si="2"/>
        <v>571.902</v>
      </c>
      <c r="J43" s="16">
        <f t="shared" si="3"/>
        <v>10.27103549</v>
      </c>
      <c r="K43" s="16">
        <f t="shared" si="4"/>
        <v>582.1730355</v>
      </c>
      <c r="L43" s="16">
        <f t="shared" si="5"/>
        <v>561.6309645</v>
      </c>
      <c r="N43" s="17" t="str">
        <f t="shared" si="6"/>
        <v>F</v>
      </c>
      <c r="O43" s="17" t="str">
        <f t="shared" si="7"/>
        <v>F</v>
      </c>
      <c r="P43" s="8">
        <f t="shared" si="8"/>
        <v>1</v>
      </c>
      <c r="R43" s="17" t="str">
        <f t="shared" si="9"/>
        <v>F</v>
      </c>
      <c r="S43" s="3" t="str">
        <f t="shared" si="10"/>
        <v>T</v>
      </c>
      <c r="T43" s="8">
        <f t="shared" si="11"/>
        <v>0</v>
      </c>
      <c r="V43" s="4">
        <f t="shared" si="12"/>
        <v>1</v>
      </c>
      <c r="W43" s="8">
        <f t="shared" si="13"/>
        <v>2.05</v>
      </c>
      <c r="X43" s="8">
        <f t="shared" si="14"/>
        <v>2.05</v>
      </c>
      <c r="Y43" s="8">
        <f t="shared" si="15"/>
        <v>-29.56</v>
      </c>
    </row>
    <row r="44">
      <c r="A44" s="2">
        <v>37.0</v>
      </c>
      <c r="B44" s="15">
        <f>IFERROR(__xludf.DUMMYFUNCTION("""COMPUTED_VALUE"""),42424.64583333333)</f>
        <v>42424.64583</v>
      </c>
      <c r="C44" s="8">
        <f>IFERROR(__xludf.DUMMYFUNCTION("""COMPUTED_VALUE"""),1022.1)</f>
        <v>1022.1</v>
      </c>
      <c r="E44" s="15">
        <f>IFERROR(__xludf.DUMMYFUNCTION("""COMPUTED_VALUE"""),42424.64583333333)</f>
        <v>42424.64583</v>
      </c>
      <c r="F44" s="8">
        <f>IFERROR(__xludf.DUMMYFUNCTION("""COMPUTED_VALUE"""),474.8)</f>
        <v>474.8</v>
      </c>
      <c r="H44" s="4">
        <f t="shared" si="1"/>
        <v>547.3</v>
      </c>
      <c r="I44" s="16">
        <f t="shared" si="2"/>
        <v>563.592</v>
      </c>
      <c r="J44" s="16">
        <f t="shared" si="3"/>
        <v>9.933779241</v>
      </c>
      <c r="K44" s="16">
        <f t="shared" si="4"/>
        <v>573.5257792</v>
      </c>
      <c r="L44" s="16">
        <f t="shared" si="5"/>
        <v>553.6582208</v>
      </c>
      <c r="N44" s="17" t="str">
        <f t="shared" si="6"/>
        <v>T</v>
      </c>
      <c r="O44" s="17" t="str">
        <f t="shared" si="7"/>
        <v>F</v>
      </c>
      <c r="P44" s="8">
        <f t="shared" si="8"/>
        <v>1</v>
      </c>
      <c r="R44" s="17" t="str">
        <f t="shared" si="9"/>
        <v>F</v>
      </c>
      <c r="S44" s="3" t="str">
        <f t="shared" si="10"/>
        <v>T</v>
      </c>
      <c r="T44" s="8">
        <f t="shared" si="11"/>
        <v>0</v>
      </c>
      <c r="V44" s="4">
        <f t="shared" si="12"/>
        <v>1</v>
      </c>
      <c r="W44" s="8">
        <f t="shared" si="13"/>
        <v>-18.77</v>
      </c>
      <c r="X44" s="8">
        <f t="shared" si="14"/>
        <v>-18.77</v>
      </c>
      <c r="Y44" s="8">
        <f t="shared" si="15"/>
        <v>-48.33</v>
      </c>
    </row>
    <row r="45">
      <c r="A45" s="2">
        <v>38.0</v>
      </c>
      <c r="B45" s="15">
        <f>IFERROR(__xludf.DUMMYFUNCTION("""COMPUTED_VALUE"""),42425.64583333333)</f>
        <v>42425.64583</v>
      </c>
      <c r="C45" s="8">
        <f>IFERROR(__xludf.DUMMYFUNCTION("""COMPUTED_VALUE"""),1042.65)</f>
        <v>1042.65</v>
      </c>
      <c r="E45" s="15">
        <f>IFERROR(__xludf.DUMMYFUNCTION("""COMPUTED_VALUE"""),42425.64583333333)</f>
        <v>42425.64583</v>
      </c>
      <c r="F45" s="8">
        <f>IFERROR(__xludf.DUMMYFUNCTION("""COMPUTED_VALUE"""),471.33)</f>
        <v>471.33</v>
      </c>
      <c r="H45" s="4">
        <f t="shared" si="1"/>
        <v>571.32</v>
      </c>
      <c r="I45" s="16">
        <f t="shared" si="2"/>
        <v>562.982</v>
      </c>
      <c r="J45" s="16">
        <f t="shared" si="3"/>
        <v>9.17082439</v>
      </c>
      <c r="K45" s="16">
        <f t="shared" si="4"/>
        <v>572.1528244</v>
      </c>
      <c r="L45" s="16">
        <f t="shared" si="5"/>
        <v>553.8111756</v>
      </c>
      <c r="N45" s="17" t="str">
        <f t="shared" si="6"/>
        <v>F</v>
      </c>
      <c r="O45" s="17" t="str">
        <f t="shared" si="7"/>
        <v>T</v>
      </c>
      <c r="P45" s="8">
        <f t="shared" si="8"/>
        <v>0</v>
      </c>
      <c r="R45" s="17" t="str">
        <f t="shared" si="9"/>
        <v>F</v>
      </c>
      <c r="S45" s="3" t="str">
        <f t="shared" si="10"/>
        <v>F</v>
      </c>
      <c r="T45" s="8">
        <f t="shared" si="11"/>
        <v>0</v>
      </c>
      <c r="V45" s="4">
        <f t="shared" si="12"/>
        <v>0</v>
      </c>
      <c r="W45" s="8">
        <f t="shared" si="13"/>
        <v>24.02</v>
      </c>
      <c r="X45" s="8">
        <f t="shared" si="14"/>
        <v>24.02</v>
      </c>
      <c r="Y45" s="8">
        <f t="shared" si="15"/>
        <v>-24.31</v>
      </c>
    </row>
    <row r="46">
      <c r="A46" s="2">
        <v>39.0</v>
      </c>
      <c r="B46" s="15">
        <f>IFERROR(__xludf.DUMMYFUNCTION("""COMPUTED_VALUE"""),42426.64583333333)</f>
        <v>42426.64583</v>
      </c>
      <c r="C46" s="8">
        <f>IFERROR(__xludf.DUMMYFUNCTION("""COMPUTED_VALUE"""),1053.7)</f>
        <v>1053.7</v>
      </c>
      <c r="E46" s="15">
        <f>IFERROR(__xludf.DUMMYFUNCTION("""COMPUTED_VALUE"""),42426.64583333333)</f>
        <v>42426.64583</v>
      </c>
      <c r="F46" s="8">
        <f>IFERROR(__xludf.DUMMYFUNCTION("""COMPUTED_VALUE"""),480.5)</f>
        <v>480.5</v>
      </c>
      <c r="H46" s="4">
        <f t="shared" si="1"/>
        <v>573.2</v>
      </c>
      <c r="I46" s="16">
        <f t="shared" si="2"/>
        <v>564.382</v>
      </c>
      <c r="J46" s="16">
        <f t="shared" si="3"/>
        <v>10.25509727</v>
      </c>
      <c r="K46" s="16">
        <f t="shared" si="4"/>
        <v>574.6370973</v>
      </c>
      <c r="L46" s="16">
        <f t="shared" si="5"/>
        <v>554.1269027</v>
      </c>
      <c r="N46" s="17" t="str">
        <f t="shared" si="6"/>
        <v>F</v>
      </c>
      <c r="O46" s="17" t="str">
        <f t="shared" si="7"/>
        <v>T</v>
      </c>
      <c r="P46" s="8">
        <f t="shared" si="8"/>
        <v>0</v>
      </c>
      <c r="R46" s="17" t="str">
        <f t="shared" si="9"/>
        <v>F</v>
      </c>
      <c r="S46" s="3" t="str">
        <f t="shared" si="10"/>
        <v>F</v>
      </c>
      <c r="T46" s="8">
        <f t="shared" si="11"/>
        <v>0</v>
      </c>
      <c r="V46" s="4">
        <f t="shared" si="12"/>
        <v>0</v>
      </c>
      <c r="W46" s="8">
        <f t="shared" si="13"/>
        <v>1.88</v>
      </c>
      <c r="X46" s="8">
        <f t="shared" si="14"/>
        <v>0</v>
      </c>
      <c r="Y46" s="8">
        <f t="shared" si="15"/>
        <v>-24.31</v>
      </c>
    </row>
    <row r="47">
      <c r="A47" s="2">
        <v>40.0</v>
      </c>
      <c r="B47" s="15">
        <f>IFERROR(__xludf.DUMMYFUNCTION("""COMPUTED_VALUE"""),42429.64583333333)</f>
        <v>42429.64583</v>
      </c>
      <c r="C47" s="8">
        <f>IFERROR(__xludf.DUMMYFUNCTION("""COMPUTED_VALUE"""),1060.3)</f>
        <v>1060.3</v>
      </c>
      <c r="E47" s="15">
        <f>IFERROR(__xludf.DUMMYFUNCTION("""COMPUTED_VALUE"""),42429.64583333333)</f>
        <v>42429.64583</v>
      </c>
      <c r="F47" s="8">
        <f>IFERROR(__xludf.DUMMYFUNCTION("""COMPUTED_VALUE"""),485.93)</f>
        <v>485.93</v>
      </c>
      <c r="H47" s="4">
        <f t="shared" si="1"/>
        <v>574.37</v>
      </c>
      <c r="I47" s="16">
        <f t="shared" si="2"/>
        <v>566.452</v>
      </c>
      <c r="J47" s="16">
        <f t="shared" si="3"/>
        <v>11.16772895</v>
      </c>
      <c r="K47" s="16">
        <f t="shared" si="4"/>
        <v>577.619729</v>
      </c>
      <c r="L47" s="16">
        <f t="shared" si="5"/>
        <v>555.284271</v>
      </c>
      <c r="N47" s="17" t="str">
        <f t="shared" si="6"/>
        <v>F</v>
      </c>
      <c r="O47" s="17" t="str">
        <f t="shared" si="7"/>
        <v>T</v>
      </c>
      <c r="P47" s="8">
        <f t="shared" si="8"/>
        <v>0</v>
      </c>
      <c r="R47" s="17" t="str">
        <f t="shared" si="9"/>
        <v>F</v>
      </c>
      <c r="S47" s="3" t="str">
        <f t="shared" si="10"/>
        <v>F</v>
      </c>
      <c r="T47" s="8">
        <f t="shared" si="11"/>
        <v>0</v>
      </c>
      <c r="V47" s="4">
        <f t="shared" si="12"/>
        <v>0</v>
      </c>
      <c r="W47" s="8">
        <f t="shared" si="13"/>
        <v>1.17</v>
      </c>
      <c r="X47" s="8">
        <f t="shared" si="14"/>
        <v>0</v>
      </c>
      <c r="Y47" s="8">
        <f t="shared" si="15"/>
        <v>-24.31</v>
      </c>
    </row>
    <row r="48">
      <c r="A48" s="2">
        <v>41.0</v>
      </c>
      <c r="B48" s="15">
        <f>IFERROR(__xludf.DUMMYFUNCTION("""COMPUTED_VALUE"""),42430.64583333333)</f>
        <v>42430.64583</v>
      </c>
      <c r="C48" s="8">
        <f>IFERROR(__xludf.DUMMYFUNCTION("""COMPUTED_VALUE"""),1069.45)</f>
        <v>1069.45</v>
      </c>
      <c r="E48" s="15">
        <f>IFERROR(__xludf.DUMMYFUNCTION("""COMPUTED_VALUE"""),42430.64583333333)</f>
        <v>42430.64583</v>
      </c>
      <c r="F48" s="8">
        <f>IFERROR(__xludf.DUMMYFUNCTION("""COMPUTED_VALUE"""),492.08)</f>
        <v>492.08</v>
      </c>
      <c r="H48" s="4">
        <f t="shared" si="1"/>
        <v>577.37</v>
      </c>
      <c r="I48" s="16">
        <f t="shared" si="2"/>
        <v>568.712</v>
      </c>
      <c r="J48" s="16">
        <f t="shared" si="3"/>
        <v>12.16954683</v>
      </c>
      <c r="K48" s="16">
        <f t="shared" si="4"/>
        <v>580.8815468</v>
      </c>
      <c r="L48" s="16">
        <f t="shared" si="5"/>
        <v>556.5424532</v>
      </c>
      <c r="N48" s="17" t="str">
        <f t="shared" si="6"/>
        <v>F</v>
      </c>
      <c r="O48" s="17" t="str">
        <f t="shared" si="7"/>
        <v>T</v>
      </c>
      <c r="P48" s="8">
        <f t="shared" si="8"/>
        <v>0</v>
      </c>
      <c r="R48" s="17" t="str">
        <f t="shared" si="9"/>
        <v>F</v>
      </c>
      <c r="S48" s="3" t="str">
        <f t="shared" si="10"/>
        <v>F</v>
      </c>
      <c r="T48" s="8">
        <f t="shared" si="11"/>
        <v>0</v>
      </c>
      <c r="V48" s="4">
        <f t="shared" si="12"/>
        <v>0</v>
      </c>
      <c r="W48" s="8">
        <f t="shared" si="13"/>
        <v>3</v>
      </c>
      <c r="X48" s="8">
        <f t="shared" si="14"/>
        <v>0</v>
      </c>
      <c r="Y48" s="8">
        <f t="shared" si="15"/>
        <v>-24.31</v>
      </c>
    </row>
    <row r="49">
      <c r="A49" s="2">
        <v>42.0</v>
      </c>
      <c r="B49" s="15">
        <f>IFERROR(__xludf.DUMMYFUNCTION("""COMPUTED_VALUE"""),42431.64583333333)</f>
        <v>42431.64583</v>
      </c>
      <c r="C49" s="8">
        <f>IFERROR(__xludf.DUMMYFUNCTION("""COMPUTED_VALUE"""),1099.55)</f>
        <v>1099.55</v>
      </c>
      <c r="E49" s="15">
        <f>IFERROR(__xludf.DUMMYFUNCTION("""COMPUTED_VALUE"""),42431.64583333333)</f>
        <v>42431.64583</v>
      </c>
      <c r="F49" s="8">
        <f>IFERROR(__xludf.DUMMYFUNCTION("""COMPUTED_VALUE"""),503.6)</f>
        <v>503.6</v>
      </c>
      <c r="H49" s="4">
        <f t="shared" si="1"/>
        <v>595.95</v>
      </c>
      <c r="I49" s="16">
        <f t="shared" si="2"/>
        <v>578.442</v>
      </c>
      <c r="J49" s="16">
        <f t="shared" si="3"/>
        <v>10.03072629</v>
      </c>
      <c r="K49" s="16">
        <f t="shared" si="4"/>
        <v>588.4727263</v>
      </c>
      <c r="L49" s="16">
        <f t="shared" si="5"/>
        <v>568.4112737</v>
      </c>
      <c r="N49" s="17" t="str">
        <f t="shared" si="6"/>
        <v>F</v>
      </c>
      <c r="O49" s="17" t="str">
        <f t="shared" si="7"/>
        <v>T</v>
      </c>
      <c r="P49" s="8">
        <f t="shared" si="8"/>
        <v>0</v>
      </c>
      <c r="R49" s="17" t="str">
        <f t="shared" si="9"/>
        <v>T</v>
      </c>
      <c r="S49" s="3" t="str">
        <f t="shared" si="10"/>
        <v>F</v>
      </c>
      <c r="T49" s="8">
        <f t="shared" si="11"/>
        <v>-1</v>
      </c>
      <c r="V49" s="4">
        <f t="shared" si="12"/>
        <v>-1</v>
      </c>
      <c r="W49" s="8">
        <f t="shared" si="13"/>
        <v>18.58</v>
      </c>
      <c r="X49" s="8">
        <f t="shared" si="14"/>
        <v>0</v>
      </c>
      <c r="Y49" s="8">
        <f t="shared" si="15"/>
        <v>-24.31</v>
      </c>
    </row>
    <row r="50">
      <c r="A50" s="2">
        <v>43.0</v>
      </c>
      <c r="B50" s="15">
        <f>IFERROR(__xludf.DUMMYFUNCTION("""COMPUTED_VALUE"""),42432.64583333333)</f>
        <v>42432.64583</v>
      </c>
      <c r="C50" s="8">
        <f>IFERROR(__xludf.DUMMYFUNCTION("""COMPUTED_VALUE"""),1124.15)</f>
        <v>1124.15</v>
      </c>
      <c r="E50" s="15">
        <f>IFERROR(__xludf.DUMMYFUNCTION("""COMPUTED_VALUE"""),42432.64583333333)</f>
        <v>42432.64583</v>
      </c>
      <c r="F50" s="8">
        <f>IFERROR(__xludf.DUMMYFUNCTION("""COMPUTED_VALUE"""),507.93)</f>
        <v>507.93</v>
      </c>
      <c r="H50" s="4">
        <f t="shared" si="1"/>
        <v>616.22</v>
      </c>
      <c r="I50" s="16">
        <f t="shared" si="2"/>
        <v>587.422</v>
      </c>
      <c r="J50" s="16">
        <f t="shared" si="3"/>
        <v>18.54531127</v>
      </c>
      <c r="K50" s="16">
        <f t="shared" si="4"/>
        <v>605.9673113</v>
      </c>
      <c r="L50" s="16">
        <f t="shared" si="5"/>
        <v>568.8766887</v>
      </c>
      <c r="N50" s="17" t="str">
        <f t="shared" si="6"/>
        <v>F</v>
      </c>
      <c r="O50" s="17" t="str">
        <f t="shared" si="7"/>
        <v>T</v>
      </c>
      <c r="P50" s="8">
        <f t="shared" si="8"/>
        <v>0</v>
      </c>
      <c r="R50" s="17" t="str">
        <f t="shared" si="9"/>
        <v>T</v>
      </c>
      <c r="S50" s="3" t="str">
        <f t="shared" si="10"/>
        <v>F</v>
      </c>
      <c r="T50" s="8">
        <f t="shared" si="11"/>
        <v>-1</v>
      </c>
      <c r="V50" s="4">
        <f t="shared" si="12"/>
        <v>-1</v>
      </c>
      <c r="W50" s="8">
        <f t="shared" si="13"/>
        <v>20.27</v>
      </c>
      <c r="X50" s="8">
        <f t="shared" si="14"/>
        <v>-20.27</v>
      </c>
      <c r="Y50" s="8">
        <f t="shared" si="15"/>
        <v>-44.58</v>
      </c>
    </row>
    <row r="51">
      <c r="A51" s="2">
        <v>44.0</v>
      </c>
      <c r="B51" s="15">
        <f>IFERROR(__xludf.DUMMYFUNCTION("""COMPUTED_VALUE"""),42433.64583333333)</f>
        <v>42433.64583</v>
      </c>
      <c r="C51" s="8">
        <f>IFERROR(__xludf.DUMMYFUNCTION("""COMPUTED_VALUE"""),1129.0)</f>
        <v>1129</v>
      </c>
      <c r="E51" s="15">
        <f>IFERROR(__xludf.DUMMYFUNCTION("""COMPUTED_VALUE"""),42433.64583333333)</f>
        <v>42433.64583</v>
      </c>
      <c r="F51" s="8">
        <f>IFERROR(__xludf.DUMMYFUNCTION("""COMPUTED_VALUE"""),510.28)</f>
        <v>510.28</v>
      </c>
      <c r="H51" s="4">
        <f t="shared" si="1"/>
        <v>618.72</v>
      </c>
      <c r="I51" s="16">
        <f t="shared" si="2"/>
        <v>596.526</v>
      </c>
      <c r="J51" s="16">
        <f t="shared" si="3"/>
        <v>20.84825964</v>
      </c>
      <c r="K51" s="16">
        <f t="shared" si="4"/>
        <v>617.3742596</v>
      </c>
      <c r="L51" s="16">
        <f t="shared" si="5"/>
        <v>575.6777404</v>
      </c>
      <c r="N51" s="17" t="str">
        <f t="shared" si="6"/>
        <v>F</v>
      </c>
      <c r="O51" s="17" t="str">
        <f t="shared" si="7"/>
        <v>T</v>
      </c>
      <c r="P51" s="8">
        <f t="shared" si="8"/>
        <v>0</v>
      </c>
      <c r="R51" s="17" t="str">
        <f t="shared" si="9"/>
        <v>T</v>
      </c>
      <c r="S51" s="3" t="str">
        <f t="shared" si="10"/>
        <v>F</v>
      </c>
      <c r="T51" s="8">
        <f t="shared" si="11"/>
        <v>-1</v>
      </c>
      <c r="V51" s="4">
        <f t="shared" si="12"/>
        <v>-1</v>
      </c>
      <c r="W51" s="8">
        <f t="shared" si="13"/>
        <v>2.5</v>
      </c>
      <c r="X51" s="8">
        <f t="shared" si="14"/>
        <v>-2.5</v>
      </c>
      <c r="Y51" s="8">
        <f t="shared" si="15"/>
        <v>-47.08</v>
      </c>
    </row>
    <row r="52">
      <c r="A52" s="2">
        <v>45.0</v>
      </c>
      <c r="B52" s="15">
        <f>IFERROR(__xludf.DUMMYFUNCTION("""COMPUTED_VALUE"""),42437.64583333333)</f>
        <v>42437.64583</v>
      </c>
      <c r="C52" s="8">
        <f>IFERROR(__xludf.DUMMYFUNCTION("""COMPUTED_VALUE"""),1146.45)</f>
        <v>1146.45</v>
      </c>
      <c r="E52" s="15">
        <f>IFERROR(__xludf.DUMMYFUNCTION("""COMPUTED_VALUE"""),42437.64583333333)</f>
        <v>42437.64583</v>
      </c>
      <c r="F52" s="8">
        <f>IFERROR(__xludf.DUMMYFUNCTION("""COMPUTED_VALUE"""),507.08)</f>
        <v>507.08</v>
      </c>
      <c r="H52" s="4">
        <f t="shared" si="1"/>
        <v>639.37</v>
      </c>
      <c r="I52" s="16">
        <f t="shared" si="2"/>
        <v>609.526</v>
      </c>
      <c r="J52" s="16">
        <f t="shared" si="3"/>
        <v>23.65544187</v>
      </c>
      <c r="K52" s="16">
        <f t="shared" si="4"/>
        <v>633.1814419</v>
      </c>
      <c r="L52" s="16">
        <f t="shared" si="5"/>
        <v>585.8705581</v>
      </c>
      <c r="N52" s="17" t="str">
        <f t="shared" si="6"/>
        <v>F</v>
      </c>
      <c r="O52" s="17" t="str">
        <f t="shared" si="7"/>
        <v>T</v>
      </c>
      <c r="P52" s="8">
        <f t="shared" si="8"/>
        <v>0</v>
      </c>
      <c r="R52" s="17" t="str">
        <f t="shared" si="9"/>
        <v>T</v>
      </c>
      <c r="S52" s="3" t="str">
        <f t="shared" si="10"/>
        <v>F</v>
      </c>
      <c r="T52" s="8">
        <f t="shared" si="11"/>
        <v>-1</v>
      </c>
      <c r="V52" s="4">
        <f t="shared" si="12"/>
        <v>-1</v>
      </c>
      <c r="W52" s="8">
        <f t="shared" si="13"/>
        <v>20.65</v>
      </c>
      <c r="X52" s="8">
        <f t="shared" si="14"/>
        <v>-20.65</v>
      </c>
      <c r="Y52" s="8">
        <f t="shared" si="15"/>
        <v>-67.73</v>
      </c>
    </row>
    <row r="53">
      <c r="A53" s="2">
        <v>46.0</v>
      </c>
      <c r="B53" s="15">
        <f>IFERROR(__xludf.DUMMYFUNCTION("""COMPUTED_VALUE"""),42438.64583333333)</f>
        <v>42438.64583</v>
      </c>
      <c r="C53" s="8">
        <f>IFERROR(__xludf.DUMMYFUNCTION("""COMPUTED_VALUE"""),1128.65)</f>
        <v>1128.65</v>
      </c>
      <c r="E53" s="15">
        <f>IFERROR(__xludf.DUMMYFUNCTION("""COMPUTED_VALUE"""),42438.64583333333)</f>
        <v>42438.64583</v>
      </c>
      <c r="F53" s="8">
        <f>IFERROR(__xludf.DUMMYFUNCTION("""COMPUTED_VALUE"""),512.4)</f>
        <v>512.4</v>
      </c>
      <c r="H53" s="4">
        <f t="shared" si="1"/>
        <v>616.25</v>
      </c>
      <c r="I53" s="16">
        <f t="shared" si="2"/>
        <v>617.302</v>
      </c>
      <c r="J53" s="16">
        <f t="shared" si="3"/>
        <v>15.38824779</v>
      </c>
      <c r="K53" s="16">
        <f t="shared" si="4"/>
        <v>632.6902478</v>
      </c>
      <c r="L53" s="16">
        <f t="shared" si="5"/>
        <v>601.9137522</v>
      </c>
      <c r="N53" s="17" t="str">
        <f t="shared" si="6"/>
        <v>F</v>
      </c>
      <c r="O53" s="17" t="str">
        <f t="shared" si="7"/>
        <v>F</v>
      </c>
      <c r="P53" s="8">
        <f t="shared" si="8"/>
        <v>0</v>
      </c>
      <c r="R53" s="17" t="str">
        <f t="shared" si="9"/>
        <v>F</v>
      </c>
      <c r="S53" s="3" t="str">
        <f t="shared" si="10"/>
        <v>T</v>
      </c>
      <c r="T53" s="8">
        <f t="shared" si="11"/>
        <v>0</v>
      </c>
      <c r="V53" s="4">
        <f t="shared" si="12"/>
        <v>0</v>
      </c>
      <c r="W53" s="8">
        <f t="shared" si="13"/>
        <v>-23.12</v>
      </c>
      <c r="X53" s="8">
        <f t="shared" si="14"/>
        <v>23.12</v>
      </c>
      <c r="Y53" s="8">
        <f t="shared" si="15"/>
        <v>-44.61</v>
      </c>
    </row>
    <row r="54">
      <c r="A54" s="2">
        <v>47.0</v>
      </c>
      <c r="B54" s="15">
        <f>IFERROR(__xludf.DUMMYFUNCTION("""COMPUTED_VALUE"""),42439.64583333333)</f>
        <v>42439.64583</v>
      </c>
      <c r="C54" s="8">
        <f>IFERROR(__xludf.DUMMYFUNCTION("""COMPUTED_VALUE"""),1153.15)</f>
        <v>1153.15</v>
      </c>
      <c r="E54" s="15">
        <f>IFERROR(__xludf.DUMMYFUNCTION("""COMPUTED_VALUE"""),42439.64583333333)</f>
        <v>42439.64583</v>
      </c>
      <c r="F54" s="8">
        <f>IFERROR(__xludf.DUMMYFUNCTION("""COMPUTED_VALUE"""),510.63)</f>
        <v>510.63</v>
      </c>
      <c r="H54" s="4">
        <f t="shared" si="1"/>
        <v>642.52</v>
      </c>
      <c r="I54" s="16">
        <f t="shared" si="2"/>
        <v>626.616</v>
      </c>
      <c r="J54" s="16">
        <f t="shared" si="3"/>
        <v>13.16699776</v>
      </c>
      <c r="K54" s="16">
        <f t="shared" si="4"/>
        <v>639.7829978</v>
      </c>
      <c r="L54" s="16">
        <f t="shared" si="5"/>
        <v>613.4490022</v>
      </c>
      <c r="N54" s="17" t="str">
        <f t="shared" si="6"/>
        <v>F</v>
      </c>
      <c r="O54" s="17" t="str">
        <f t="shared" si="7"/>
        <v>T</v>
      </c>
      <c r="P54" s="8">
        <f t="shared" si="8"/>
        <v>0</v>
      </c>
      <c r="R54" s="17" t="str">
        <f t="shared" si="9"/>
        <v>T</v>
      </c>
      <c r="S54" s="3" t="str">
        <f t="shared" si="10"/>
        <v>F</v>
      </c>
      <c r="T54" s="8">
        <f t="shared" si="11"/>
        <v>-1</v>
      </c>
      <c r="V54" s="4">
        <f t="shared" si="12"/>
        <v>-1</v>
      </c>
      <c r="W54" s="8">
        <f t="shared" si="13"/>
        <v>26.27</v>
      </c>
      <c r="X54" s="8">
        <f t="shared" si="14"/>
        <v>0</v>
      </c>
      <c r="Y54" s="8">
        <f t="shared" si="15"/>
        <v>-44.61</v>
      </c>
    </row>
    <row r="55">
      <c r="A55" s="2">
        <v>48.0</v>
      </c>
      <c r="B55" s="15">
        <f>IFERROR(__xludf.DUMMYFUNCTION("""COMPUTED_VALUE"""),42440.64583333333)</f>
        <v>42440.64583</v>
      </c>
      <c r="C55" s="8">
        <f>IFERROR(__xludf.DUMMYFUNCTION("""COMPUTED_VALUE"""),1160.5)</f>
        <v>1160.5</v>
      </c>
      <c r="E55" s="15">
        <f>IFERROR(__xludf.DUMMYFUNCTION("""COMPUTED_VALUE"""),42440.64583333333)</f>
        <v>42440.64583</v>
      </c>
      <c r="F55" s="8">
        <f>IFERROR(__xludf.DUMMYFUNCTION("""COMPUTED_VALUE"""),514.35)</f>
        <v>514.35</v>
      </c>
      <c r="H55" s="4">
        <f t="shared" si="1"/>
        <v>646.15</v>
      </c>
      <c r="I55" s="16">
        <f t="shared" si="2"/>
        <v>632.602</v>
      </c>
      <c r="J55" s="16">
        <f t="shared" si="3"/>
        <v>14.03405394</v>
      </c>
      <c r="K55" s="16">
        <f t="shared" si="4"/>
        <v>646.6360539</v>
      </c>
      <c r="L55" s="16">
        <f t="shared" si="5"/>
        <v>618.5679461</v>
      </c>
      <c r="N55" s="17" t="str">
        <f t="shared" si="6"/>
        <v>F</v>
      </c>
      <c r="O55" s="17" t="str">
        <f t="shared" si="7"/>
        <v>T</v>
      </c>
      <c r="P55" s="8">
        <f t="shared" si="8"/>
        <v>0</v>
      </c>
      <c r="R55" s="17" t="str">
        <f t="shared" si="9"/>
        <v>F</v>
      </c>
      <c r="S55" s="3" t="str">
        <f t="shared" si="10"/>
        <v>F</v>
      </c>
      <c r="T55" s="8">
        <f t="shared" si="11"/>
        <v>-1</v>
      </c>
      <c r="V55" s="4">
        <f t="shared" si="12"/>
        <v>-1</v>
      </c>
      <c r="W55" s="8">
        <f t="shared" si="13"/>
        <v>3.63</v>
      </c>
      <c r="X55" s="8">
        <f t="shared" si="14"/>
        <v>-3.63</v>
      </c>
      <c r="Y55" s="8">
        <f t="shared" si="15"/>
        <v>-48.24</v>
      </c>
    </row>
    <row r="56">
      <c r="A56" s="2">
        <v>49.0</v>
      </c>
      <c r="B56" s="15">
        <f>IFERROR(__xludf.DUMMYFUNCTION("""COMPUTED_VALUE"""),42443.64583333333)</f>
        <v>42443.64583</v>
      </c>
      <c r="C56" s="8">
        <f>IFERROR(__xludf.DUMMYFUNCTION("""COMPUTED_VALUE"""),1158.7)</f>
        <v>1158.7</v>
      </c>
      <c r="E56" s="15">
        <f>IFERROR(__xludf.DUMMYFUNCTION("""COMPUTED_VALUE"""),42443.64583333333)</f>
        <v>42443.64583</v>
      </c>
      <c r="F56" s="8">
        <f>IFERROR(__xludf.DUMMYFUNCTION("""COMPUTED_VALUE"""),513.78)</f>
        <v>513.78</v>
      </c>
      <c r="H56" s="4">
        <f t="shared" si="1"/>
        <v>644.92</v>
      </c>
      <c r="I56" s="16">
        <f t="shared" si="2"/>
        <v>637.842</v>
      </c>
      <c r="J56" s="16">
        <f t="shared" si="3"/>
        <v>12.34457249</v>
      </c>
      <c r="K56" s="16">
        <f t="shared" si="4"/>
        <v>650.1865725</v>
      </c>
      <c r="L56" s="16">
        <f t="shared" si="5"/>
        <v>625.4974275</v>
      </c>
      <c r="N56" s="17" t="str">
        <f t="shared" si="6"/>
        <v>F</v>
      </c>
      <c r="O56" s="17" t="str">
        <f t="shared" si="7"/>
        <v>T</v>
      </c>
      <c r="P56" s="8">
        <f t="shared" si="8"/>
        <v>0</v>
      </c>
      <c r="R56" s="17" t="str">
        <f t="shared" si="9"/>
        <v>F</v>
      </c>
      <c r="S56" s="3" t="str">
        <f t="shared" si="10"/>
        <v>F</v>
      </c>
      <c r="T56" s="8">
        <f t="shared" si="11"/>
        <v>-1</v>
      </c>
      <c r="V56" s="4">
        <f t="shared" si="12"/>
        <v>-1</v>
      </c>
      <c r="W56" s="8">
        <f t="shared" si="13"/>
        <v>-1.23</v>
      </c>
      <c r="X56" s="8">
        <f t="shared" si="14"/>
        <v>1.23</v>
      </c>
      <c r="Y56" s="8">
        <f t="shared" si="15"/>
        <v>-47.01</v>
      </c>
    </row>
    <row r="57">
      <c r="A57" s="2">
        <v>50.0</v>
      </c>
      <c r="B57" s="15">
        <f>IFERROR(__xludf.DUMMYFUNCTION("""COMPUTED_VALUE"""),42444.64583333333)</f>
        <v>42444.64583</v>
      </c>
      <c r="C57" s="8">
        <f>IFERROR(__xludf.DUMMYFUNCTION("""COMPUTED_VALUE"""),1111.35)</f>
        <v>1111.35</v>
      </c>
      <c r="E57" s="15">
        <f>IFERROR(__xludf.DUMMYFUNCTION("""COMPUTED_VALUE"""),42444.64583333333)</f>
        <v>42444.64583</v>
      </c>
      <c r="F57" s="8">
        <f>IFERROR(__xludf.DUMMYFUNCTION("""COMPUTED_VALUE"""),513.35)</f>
        <v>513.35</v>
      </c>
      <c r="H57" s="4">
        <f t="shared" si="1"/>
        <v>598</v>
      </c>
      <c r="I57" s="16">
        <f t="shared" si="2"/>
        <v>629.568</v>
      </c>
      <c r="J57" s="16">
        <f t="shared" si="3"/>
        <v>21.51922791</v>
      </c>
      <c r="K57" s="16">
        <f t="shared" si="4"/>
        <v>651.0872279</v>
      </c>
      <c r="L57" s="16">
        <f t="shared" si="5"/>
        <v>608.0487721</v>
      </c>
      <c r="N57" s="17" t="str">
        <f t="shared" si="6"/>
        <v>T</v>
      </c>
      <c r="O57" s="17" t="str">
        <f t="shared" si="7"/>
        <v>F</v>
      </c>
      <c r="P57" s="8">
        <f t="shared" si="8"/>
        <v>1</v>
      </c>
      <c r="R57" s="17" t="str">
        <f t="shared" si="9"/>
        <v>F</v>
      </c>
      <c r="S57" s="3" t="str">
        <f t="shared" si="10"/>
        <v>T</v>
      </c>
      <c r="T57" s="8">
        <f t="shared" si="11"/>
        <v>0</v>
      </c>
      <c r="V57" s="4">
        <f t="shared" si="12"/>
        <v>1</v>
      </c>
      <c r="W57" s="8">
        <f t="shared" si="13"/>
        <v>-46.92</v>
      </c>
      <c r="X57" s="8">
        <f t="shared" si="14"/>
        <v>46.92</v>
      </c>
      <c r="Y57" s="8">
        <f t="shared" si="15"/>
        <v>-0.09</v>
      </c>
    </row>
    <row r="58">
      <c r="A58" s="2">
        <v>51.0</v>
      </c>
      <c r="B58" s="15">
        <f>IFERROR(__xludf.DUMMYFUNCTION("""COMPUTED_VALUE"""),42445.64583333333)</f>
        <v>42445.64583</v>
      </c>
      <c r="C58" s="8">
        <f>IFERROR(__xludf.DUMMYFUNCTION("""COMPUTED_VALUE"""),1125.95)</f>
        <v>1125.95</v>
      </c>
      <c r="E58" s="15">
        <f>IFERROR(__xludf.DUMMYFUNCTION("""COMPUTED_VALUE"""),42445.64583333333)</f>
        <v>42445.64583</v>
      </c>
      <c r="F58" s="8">
        <f>IFERROR(__xludf.DUMMYFUNCTION("""COMPUTED_VALUE"""),515.23)</f>
        <v>515.23</v>
      </c>
      <c r="H58" s="4">
        <f t="shared" si="1"/>
        <v>610.72</v>
      </c>
      <c r="I58" s="16">
        <f t="shared" si="2"/>
        <v>628.462</v>
      </c>
      <c r="J58" s="16">
        <f t="shared" si="3"/>
        <v>22.49483541</v>
      </c>
      <c r="K58" s="16">
        <f t="shared" si="4"/>
        <v>650.9568354</v>
      </c>
      <c r="L58" s="16">
        <f t="shared" si="5"/>
        <v>605.9671646</v>
      </c>
      <c r="N58" s="17" t="str">
        <f t="shared" si="6"/>
        <v>F</v>
      </c>
      <c r="O58" s="17" t="str">
        <f t="shared" si="7"/>
        <v>F</v>
      </c>
      <c r="P58" s="8">
        <f t="shared" si="8"/>
        <v>1</v>
      </c>
      <c r="R58" s="17" t="str">
        <f t="shared" si="9"/>
        <v>F</v>
      </c>
      <c r="S58" s="3" t="str">
        <f t="shared" si="10"/>
        <v>T</v>
      </c>
      <c r="T58" s="8">
        <f t="shared" si="11"/>
        <v>0</v>
      </c>
      <c r="V58" s="4">
        <f t="shared" si="12"/>
        <v>1</v>
      </c>
      <c r="W58" s="8">
        <f t="shared" si="13"/>
        <v>12.72</v>
      </c>
      <c r="X58" s="8">
        <f t="shared" si="14"/>
        <v>12.72</v>
      </c>
      <c r="Y58" s="8">
        <f t="shared" si="15"/>
        <v>12.63</v>
      </c>
    </row>
    <row r="59">
      <c r="A59" s="2">
        <v>52.0</v>
      </c>
      <c r="B59" s="15">
        <f>IFERROR(__xludf.DUMMYFUNCTION("""COMPUTED_VALUE"""),42446.64583333333)</f>
        <v>42446.64583</v>
      </c>
      <c r="C59" s="8">
        <f>IFERROR(__xludf.DUMMYFUNCTION("""COMPUTED_VALUE"""),1108.05)</f>
        <v>1108.05</v>
      </c>
      <c r="E59" s="15">
        <f>IFERROR(__xludf.DUMMYFUNCTION("""COMPUTED_VALUE"""),42446.64583333333)</f>
        <v>42446.64583</v>
      </c>
      <c r="F59" s="8">
        <f>IFERROR(__xludf.DUMMYFUNCTION("""COMPUTED_VALUE"""),509.2)</f>
        <v>509.2</v>
      </c>
      <c r="H59" s="4">
        <f t="shared" si="1"/>
        <v>598.85</v>
      </c>
      <c r="I59" s="16">
        <f t="shared" si="2"/>
        <v>619.728</v>
      </c>
      <c r="J59" s="16">
        <f t="shared" si="3"/>
        <v>24.09304817</v>
      </c>
      <c r="K59" s="16">
        <f t="shared" si="4"/>
        <v>643.8210482</v>
      </c>
      <c r="L59" s="16">
        <f t="shared" si="5"/>
        <v>595.6349518</v>
      </c>
      <c r="N59" s="17" t="str">
        <f t="shared" si="6"/>
        <v>F</v>
      </c>
      <c r="O59" s="17" t="str">
        <f t="shared" si="7"/>
        <v>F</v>
      </c>
      <c r="P59" s="8">
        <f t="shared" si="8"/>
        <v>1</v>
      </c>
      <c r="R59" s="17" t="str">
        <f t="shared" si="9"/>
        <v>F</v>
      </c>
      <c r="S59" s="3" t="str">
        <f t="shared" si="10"/>
        <v>T</v>
      </c>
      <c r="T59" s="8">
        <f t="shared" si="11"/>
        <v>0</v>
      </c>
      <c r="V59" s="4">
        <f t="shared" si="12"/>
        <v>1</v>
      </c>
      <c r="W59" s="8">
        <f t="shared" si="13"/>
        <v>-11.87</v>
      </c>
      <c r="X59" s="8">
        <f t="shared" si="14"/>
        <v>-11.87</v>
      </c>
      <c r="Y59" s="8">
        <f t="shared" si="15"/>
        <v>0.76</v>
      </c>
    </row>
    <row r="60">
      <c r="A60" s="2">
        <v>53.0</v>
      </c>
      <c r="B60" s="15">
        <f>IFERROR(__xludf.DUMMYFUNCTION("""COMPUTED_VALUE"""),42447.64583333333)</f>
        <v>42447.64583</v>
      </c>
      <c r="C60" s="8">
        <f>IFERROR(__xludf.DUMMYFUNCTION("""COMPUTED_VALUE"""),1129.3)</f>
        <v>1129.3</v>
      </c>
      <c r="E60" s="15">
        <f>IFERROR(__xludf.DUMMYFUNCTION("""COMPUTED_VALUE"""),42447.64583333333)</f>
        <v>42447.64583</v>
      </c>
      <c r="F60" s="8">
        <f>IFERROR(__xludf.DUMMYFUNCTION("""COMPUTED_VALUE"""),514.2)</f>
        <v>514.2</v>
      </c>
      <c r="H60" s="4">
        <f t="shared" si="1"/>
        <v>615.1</v>
      </c>
      <c r="I60" s="16">
        <f t="shared" si="2"/>
        <v>613.518</v>
      </c>
      <c r="J60" s="16">
        <f t="shared" si="3"/>
        <v>19.05502348</v>
      </c>
      <c r="K60" s="16">
        <f t="shared" si="4"/>
        <v>632.5730235</v>
      </c>
      <c r="L60" s="16">
        <f t="shared" si="5"/>
        <v>594.4629765</v>
      </c>
      <c r="N60" s="17" t="str">
        <f t="shared" si="6"/>
        <v>F</v>
      </c>
      <c r="O60" s="17" t="str">
        <f t="shared" si="7"/>
        <v>T</v>
      </c>
      <c r="P60" s="8">
        <f t="shared" si="8"/>
        <v>0</v>
      </c>
      <c r="R60" s="17" t="str">
        <f t="shared" si="9"/>
        <v>F</v>
      </c>
      <c r="S60" s="3" t="str">
        <f t="shared" si="10"/>
        <v>F</v>
      </c>
      <c r="T60" s="8">
        <f t="shared" si="11"/>
        <v>0</v>
      </c>
      <c r="V60" s="4">
        <f t="shared" si="12"/>
        <v>0</v>
      </c>
      <c r="W60" s="8">
        <f t="shared" si="13"/>
        <v>16.25</v>
      </c>
      <c r="X60" s="8">
        <f t="shared" si="14"/>
        <v>16.25</v>
      </c>
      <c r="Y60" s="8">
        <f t="shared" si="15"/>
        <v>17.01</v>
      </c>
    </row>
    <row r="61">
      <c r="A61" s="2">
        <v>54.0</v>
      </c>
      <c r="B61" s="15">
        <f>IFERROR(__xludf.DUMMYFUNCTION("""COMPUTED_VALUE"""),42450.64583333333)</f>
        <v>42450.64583</v>
      </c>
      <c r="C61" s="8">
        <f>IFERROR(__xludf.DUMMYFUNCTION("""COMPUTED_VALUE"""),1151.25)</f>
        <v>1151.25</v>
      </c>
      <c r="E61" s="15">
        <f>IFERROR(__xludf.DUMMYFUNCTION("""COMPUTED_VALUE"""),42450.64583333333)</f>
        <v>42450.64583</v>
      </c>
      <c r="F61" s="8">
        <f>IFERROR(__xludf.DUMMYFUNCTION("""COMPUTED_VALUE"""),522.8)</f>
        <v>522.8</v>
      </c>
      <c r="H61" s="4">
        <f t="shared" si="1"/>
        <v>628.45</v>
      </c>
      <c r="I61" s="16">
        <f t="shared" si="2"/>
        <v>610.224</v>
      </c>
      <c r="J61" s="16">
        <f t="shared" si="3"/>
        <v>12.59962817</v>
      </c>
      <c r="K61" s="16">
        <f t="shared" si="4"/>
        <v>622.8236282</v>
      </c>
      <c r="L61" s="16">
        <f t="shared" si="5"/>
        <v>597.6243718</v>
      </c>
      <c r="N61" s="17" t="str">
        <f t="shared" si="6"/>
        <v>F</v>
      </c>
      <c r="O61" s="17" t="str">
        <f t="shared" si="7"/>
        <v>T</v>
      </c>
      <c r="P61" s="8">
        <f t="shared" si="8"/>
        <v>0</v>
      </c>
      <c r="R61" s="17" t="str">
        <f t="shared" si="9"/>
        <v>T</v>
      </c>
      <c r="S61" s="3" t="str">
        <f t="shared" si="10"/>
        <v>F</v>
      </c>
      <c r="T61" s="8">
        <f t="shared" si="11"/>
        <v>-1</v>
      </c>
      <c r="V61" s="4">
        <f t="shared" si="12"/>
        <v>-1</v>
      </c>
      <c r="W61" s="8">
        <f t="shared" si="13"/>
        <v>13.35</v>
      </c>
      <c r="X61" s="8">
        <f t="shared" si="14"/>
        <v>0</v>
      </c>
      <c r="Y61" s="8">
        <f t="shared" si="15"/>
        <v>17.01</v>
      </c>
    </row>
    <row r="62">
      <c r="A62" s="2">
        <v>55.0</v>
      </c>
      <c r="B62" s="15">
        <f>IFERROR(__xludf.DUMMYFUNCTION("""COMPUTED_VALUE"""),42451.64583333333)</f>
        <v>42451.64583</v>
      </c>
      <c r="C62" s="8">
        <f>IFERROR(__xludf.DUMMYFUNCTION("""COMPUTED_VALUE"""),1168.1)</f>
        <v>1168.1</v>
      </c>
      <c r="E62" s="15">
        <f>IFERROR(__xludf.DUMMYFUNCTION("""COMPUTED_VALUE"""),42451.64583333333)</f>
        <v>42451.64583</v>
      </c>
      <c r="F62" s="8">
        <f>IFERROR(__xludf.DUMMYFUNCTION("""COMPUTED_VALUE"""),526.92)</f>
        <v>526.92</v>
      </c>
      <c r="H62" s="4">
        <f t="shared" si="1"/>
        <v>641.18</v>
      </c>
      <c r="I62" s="16">
        <f t="shared" si="2"/>
        <v>618.86</v>
      </c>
      <c r="J62" s="16">
        <f t="shared" si="3"/>
        <v>16.3626694</v>
      </c>
      <c r="K62" s="16">
        <f t="shared" si="4"/>
        <v>635.2226694</v>
      </c>
      <c r="L62" s="16">
        <f t="shared" si="5"/>
        <v>602.4973306</v>
      </c>
      <c r="N62" s="17" t="str">
        <f t="shared" si="6"/>
        <v>F</v>
      </c>
      <c r="O62" s="17" t="str">
        <f t="shared" si="7"/>
        <v>T</v>
      </c>
      <c r="P62" s="8">
        <f t="shared" si="8"/>
        <v>0</v>
      </c>
      <c r="R62" s="17" t="str">
        <f t="shared" si="9"/>
        <v>T</v>
      </c>
      <c r="S62" s="3" t="str">
        <f t="shared" si="10"/>
        <v>F</v>
      </c>
      <c r="T62" s="8">
        <f t="shared" si="11"/>
        <v>-1</v>
      </c>
      <c r="V62" s="4">
        <f t="shared" si="12"/>
        <v>-1</v>
      </c>
      <c r="W62" s="8">
        <f t="shared" si="13"/>
        <v>12.73</v>
      </c>
      <c r="X62" s="8">
        <f t="shared" si="14"/>
        <v>-12.73</v>
      </c>
      <c r="Y62" s="8">
        <f t="shared" si="15"/>
        <v>4.28</v>
      </c>
    </row>
    <row r="63">
      <c r="A63" s="2">
        <v>56.0</v>
      </c>
      <c r="B63" s="15">
        <f>IFERROR(__xludf.DUMMYFUNCTION("""COMPUTED_VALUE"""),42452.64583333333)</f>
        <v>42452.64583</v>
      </c>
      <c r="C63" s="8">
        <f>IFERROR(__xludf.DUMMYFUNCTION("""COMPUTED_VALUE"""),1162.75)</f>
        <v>1162.75</v>
      </c>
      <c r="E63" s="15">
        <f>IFERROR(__xludf.DUMMYFUNCTION("""COMPUTED_VALUE"""),42452.64583333333)</f>
        <v>42452.64583</v>
      </c>
      <c r="F63" s="8">
        <f>IFERROR(__xludf.DUMMYFUNCTION("""COMPUTED_VALUE"""),524.67)</f>
        <v>524.67</v>
      </c>
      <c r="H63" s="4">
        <f t="shared" si="1"/>
        <v>638.08</v>
      </c>
      <c r="I63" s="16">
        <f t="shared" si="2"/>
        <v>624.332</v>
      </c>
      <c r="J63" s="16">
        <f t="shared" si="3"/>
        <v>17.49559002</v>
      </c>
      <c r="K63" s="16">
        <f t="shared" si="4"/>
        <v>641.82759</v>
      </c>
      <c r="L63" s="16">
        <f t="shared" si="5"/>
        <v>606.83641</v>
      </c>
      <c r="N63" s="17" t="str">
        <f t="shared" si="6"/>
        <v>F</v>
      </c>
      <c r="O63" s="17" t="str">
        <f t="shared" si="7"/>
        <v>T</v>
      </c>
      <c r="P63" s="8">
        <f t="shared" si="8"/>
        <v>0</v>
      </c>
      <c r="R63" s="17" t="str">
        <f t="shared" si="9"/>
        <v>F</v>
      </c>
      <c r="S63" s="3" t="str">
        <f t="shared" si="10"/>
        <v>F</v>
      </c>
      <c r="T63" s="8">
        <f t="shared" si="11"/>
        <v>-1</v>
      </c>
      <c r="V63" s="4">
        <f t="shared" si="12"/>
        <v>-1</v>
      </c>
      <c r="W63" s="8">
        <f t="shared" si="13"/>
        <v>-3.1</v>
      </c>
      <c r="X63" s="8">
        <f t="shared" si="14"/>
        <v>3.1</v>
      </c>
      <c r="Y63" s="8">
        <f t="shared" si="15"/>
        <v>7.38</v>
      </c>
    </row>
    <row r="64">
      <c r="A64" s="2">
        <v>57.0</v>
      </c>
      <c r="B64" s="15">
        <f>IFERROR(__xludf.DUMMYFUNCTION("""COMPUTED_VALUE"""),42457.64583333333)</f>
        <v>42457.64583</v>
      </c>
      <c r="C64" s="8">
        <f>IFERROR(__xludf.DUMMYFUNCTION("""COMPUTED_VALUE"""),1143.35)</f>
        <v>1143.35</v>
      </c>
      <c r="E64" s="15">
        <f>IFERROR(__xludf.DUMMYFUNCTION("""COMPUTED_VALUE"""),42457.64583333333)</f>
        <v>42457.64583</v>
      </c>
      <c r="F64" s="8">
        <f>IFERROR(__xludf.DUMMYFUNCTION("""COMPUTED_VALUE"""),523.75)</f>
        <v>523.75</v>
      </c>
      <c r="H64" s="4">
        <f t="shared" si="1"/>
        <v>619.6</v>
      </c>
      <c r="I64" s="16">
        <f t="shared" si="2"/>
        <v>628.482</v>
      </c>
      <c r="J64" s="16">
        <f t="shared" si="3"/>
        <v>11.30630001</v>
      </c>
      <c r="K64" s="16">
        <f t="shared" si="4"/>
        <v>639.7883</v>
      </c>
      <c r="L64" s="16">
        <f t="shared" si="5"/>
        <v>617.1757</v>
      </c>
      <c r="N64" s="17" t="str">
        <f t="shared" si="6"/>
        <v>F</v>
      </c>
      <c r="O64" s="17" t="str">
        <f t="shared" si="7"/>
        <v>F</v>
      </c>
      <c r="P64" s="8">
        <f t="shared" si="8"/>
        <v>0</v>
      </c>
      <c r="R64" s="17" t="str">
        <f t="shared" si="9"/>
        <v>F</v>
      </c>
      <c r="S64" s="3" t="str">
        <f t="shared" si="10"/>
        <v>T</v>
      </c>
      <c r="T64" s="8">
        <f t="shared" si="11"/>
        <v>0</v>
      </c>
      <c r="V64" s="4">
        <f t="shared" si="12"/>
        <v>0</v>
      </c>
      <c r="W64" s="8">
        <f t="shared" si="13"/>
        <v>-18.48</v>
      </c>
      <c r="X64" s="8">
        <f t="shared" si="14"/>
        <v>18.48</v>
      </c>
      <c r="Y64" s="8">
        <f t="shared" si="15"/>
        <v>25.86</v>
      </c>
    </row>
    <row r="65">
      <c r="A65" s="2">
        <v>58.0</v>
      </c>
      <c r="B65" s="15">
        <f>IFERROR(__xludf.DUMMYFUNCTION("""COMPUTED_VALUE"""),42458.64583333333)</f>
        <v>42458.64583</v>
      </c>
      <c r="C65" s="8">
        <f>IFERROR(__xludf.DUMMYFUNCTION("""COMPUTED_VALUE"""),1125.75)</f>
        <v>1125.75</v>
      </c>
      <c r="E65" s="15">
        <f>IFERROR(__xludf.DUMMYFUNCTION("""COMPUTED_VALUE"""),42458.64583333333)</f>
        <v>42458.64583</v>
      </c>
      <c r="F65" s="8">
        <f>IFERROR(__xludf.DUMMYFUNCTION("""COMPUTED_VALUE"""),526.9)</f>
        <v>526.9</v>
      </c>
      <c r="H65" s="4">
        <f t="shared" si="1"/>
        <v>598.85</v>
      </c>
      <c r="I65" s="16">
        <f t="shared" si="2"/>
        <v>625.232</v>
      </c>
      <c r="J65" s="16">
        <f t="shared" si="3"/>
        <v>17.01098674</v>
      </c>
      <c r="K65" s="16">
        <f t="shared" si="4"/>
        <v>642.2429867</v>
      </c>
      <c r="L65" s="16">
        <f t="shared" si="5"/>
        <v>608.2210133</v>
      </c>
      <c r="N65" s="17" t="str">
        <f t="shared" si="6"/>
        <v>T</v>
      </c>
      <c r="O65" s="17" t="str">
        <f t="shared" si="7"/>
        <v>F</v>
      </c>
      <c r="P65" s="8">
        <f t="shared" si="8"/>
        <v>1</v>
      </c>
      <c r="R65" s="17" t="str">
        <f t="shared" si="9"/>
        <v>F</v>
      </c>
      <c r="S65" s="3" t="str">
        <f t="shared" si="10"/>
        <v>T</v>
      </c>
      <c r="T65" s="8">
        <f t="shared" si="11"/>
        <v>0</v>
      </c>
      <c r="V65" s="4">
        <f t="shared" si="12"/>
        <v>1</v>
      </c>
      <c r="W65" s="8">
        <f t="shared" si="13"/>
        <v>-20.75</v>
      </c>
      <c r="X65" s="8">
        <f t="shared" si="14"/>
        <v>0</v>
      </c>
      <c r="Y65" s="8">
        <f t="shared" si="15"/>
        <v>25.86</v>
      </c>
    </row>
    <row r="66">
      <c r="A66" s="2">
        <v>59.0</v>
      </c>
      <c r="B66" s="15">
        <f>IFERROR(__xludf.DUMMYFUNCTION("""COMPUTED_VALUE"""),42459.64583333333)</f>
        <v>42459.64583</v>
      </c>
      <c r="C66" s="8">
        <f>IFERROR(__xludf.DUMMYFUNCTION("""COMPUTED_VALUE"""),1115.3)</f>
        <v>1115.3</v>
      </c>
      <c r="E66" s="15">
        <f>IFERROR(__xludf.DUMMYFUNCTION("""COMPUTED_VALUE"""),42459.64583333333)</f>
        <v>42459.64583</v>
      </c>
      <c r="F66" s="8">
        <f>IFERROR(__xludf.DUMMYFUNCTION("""COMPUTED_VALUE"""),532.48)</f>
        <v>532.48</v>
      </c>
      <c r="H66" s="4">
        <f t="shared" si="1"/>
        <v>582.82</v>
      </c>
      <c r="I66" s="16">
        <f t="shared" si="2"/>
        <v>616.106</v>
      </c>
      <c r="J66" s="16">
        <f t="shared" si="3"/>
        <v>25.1470551</v>
      </c>
      <c r="K66" s="16">
        <f t="shared" si="4"/>
        <v>641.2530551</v>
      </c>
      <c r="L66" s="16">
        <f t="shared" si="5"/>
        <v>590.9589449</v>
      </c>
      <c r="N66" s="17" t="str">
        <f t="shared" si="6"/>
        <v>T</v>
      </c>
      <c r="O66" s="17" t="str">
        <f t="shared" si="7"/>
        <v>F</v>
      </c>
      <c r="P66" s="8">
        <f t="shared" si="8"/>
        <v>1</v>
      </c>
      <c r="R66" s="17" t="str">
        <f t="shared" si="9"/>
        <v>F</v>
      </c>
      <c r="S66" s="3" t="str">
        <f t="shared" si="10"/>
        <v>T</v>
      </c>
      <c r="T66" s="8">
        <f t="shared" si="11"/>
        <v>0</v>
      </c>
      <c r="V66" s="4">
        <f t="shared" si="12"/>
        <v>1</v>
      </c>
      <c r="W66" s="8">
        <f t="shared" si="13"/>
        <v>-16.03</v>
      </c>
      <c r="X66" s="8">
        <f t="shared" si="14"/>
        <v>-16.03</v>
      </c>
      <c r="Y66" s="8">
        <f t="shared" si="15"/>
        <v>9.83</v>
      </c>
    </row>
    <row r="67">
      <c r="A67" s="2">
        <v>60.0</v>
      </c>
      <c r="B67" s="15">
        <f>IFERROR(__xludf.DUMMYFUNCTION("""COMPUTED_VALUE"""),42460.64583333333)</f>
        <v>42460.64583</v>
      </c>
      <c r="C67" s="8">
        <f>IFERROR(__xludf.DUMMYFUNCTION("""COMPUTED_VALUE"""),1105.6)</f>
        <v>1105.6</v>
      </c>
      <c r="E67" s="15">
        <f>IFERROR(__xludf.DUMMYFUNCTION("""COMPUTED_VALUE"""),42460.64583333333)</f>
        <v>42460.64583</v>
      </c>
      <c r="F67" s="8">
        <f>IFERROR(__xludf.DUMMYFUNCTION("""COMPUTED_VALUE"""),535.58)</f>
        <v>535.58</v>
      </c>
      <c r="H67" s="4">
        <f t="shared" si="1"/>
        <v>570.02</v>
      </c>
      <c r="I67" s="16">
        <f t="shared" si="2"/>
        <v>601.874</v>
      </c>
      <c r="J67" s="16">
        <f t="shared" si="3"/>
        <v>27.44067383</v>
      </c>
      <c r="K67" s="16">
        <f t="shared" si="4"/>
        <v>629.3146738</v>
      </c>
      <c r="L67" s="16">
        <f t="shared" si="5"/>
        <v>574.4333262</v>
      </c>
      <c r="N67" s="17" t="str">
        <f t="shared" si="6"/>
        <v>T</v>
      </c>
      <c r="O67" s="17" t="str">
        <f t="shared" si="7"/>
        <v>F</v>
      </c>
      <c r="P67" s="8">
        <f t="shared" si="8"/>
        <v>1</v>
      </c>
      <c r="R67" s="17" t="str">
        <f t="shared" si="9"/>
        <v>F</v>
      </c>
      <c r="S67" s="3" t="str">
        <f t="shared" si="10"/>
        <v>T</v>
      </c>
      <c r="T67" s="8">
        <f t="shared" si="11"/>
        <v>0</v>
      </c>
      <c r="V67" s="4">
        <f t="shared" si="12"/>
        <v>1</v>
      </c>
      <c r="W67" s="8">
        <f t="shared" si="13"/>
        <v>-12.8</v>
      </c>
      <c r="X67" s="8">
        <f t="shared" si="14"/>
        <v>-12.8</v>
      </c>
      <c r="Y67" s="8">
        <f t="shared" si="15"/>
        <v>-2.97</v>
      </c>
    </row>
    <row r="68">
      <c r="A68" s="2">
        <v>61.0</v>
      </c>
      <c r="B68" s="15">
        <f>IFERROR(__xludf.DUMMYFUNCTION("""COMPUTED_VALUE"""),42461.64583333333)</f>
        <v>42461.64583</v>
      </c>
      <c r="C68" s="8">
        <f>IFERROR(__xludf.DUMMYFUNCTION("""COMPUTED_VALUE"""),1113.4)</f>
        <v>1113.4</v>
      </c>
      <c r="E68" s="15">
        <f>IFERROR(__xludf.DUMMYFUNCTION("""COMPUTED_VALUE"""),42461.64583333333)</f>
        <v>42461.64583</v>
      </c>
      <c r="F68" s="8">
        <f>IFERROR(__xludf.DUMMYFUNCTION("""COMPUTED_VALUE"""),532.23)</f>
        <v>532.23</v>
      </c>
      <c r="H68" s="4">
        <f t="shared" si="1"/>
        <v>581.17</v>
      </c>
      <c r="I68" s="16">
        <f t="shared" si="2"/>
        <v>590.492</v>
      </c>
      <c r="J68" s="16">
        <f t="shared" si="3"/>
        <v>19.24833681</v>
      </c>
      <c r="K68" s="16">
        <f t="shared" si="4"/>
        <v>609.7403368</v>
      </c>
      <c r="L68" s="16">
        <f t="shared" si="5"/>
        <v>571.2436632</v>
      </c>
      <c r="N68" s="17" t="str">
        <f t="shared" si="6"/>
        <v>F</v>
      </c>
      <c r="O68" s="17" t="str">
        <f t="shared" si="7"/>
        <v>F</v>
      </c>
      <c r="P68" s="8">
        <f t="shared" si="8"/>
        <v>1</v>
      </c>
      <c r="R68" s="17" t="str">
        <f t="shared" si="9"/>
        <v>F</v>
      </c>
      <c r="S68" s="3" t="str">
        <f t="shared" si="10"/>
        <v>T</v>
      </c>
      <c r="T68" s="8">
        <f t="shared" si="11"/>
        <v>0</v>
      </c>
      <c r="V68" s="4">
        <f t="shared" si="12"/>
        <v>1</v>
      </c>
      <c r="W68" s="8">
        <f t="shared" si="13"/>
        <v>11.15</v>
      </c>
      <c r="X68" s="8">
        <f t="shared" si="14"/>
        <v>11.15</v>
      </c>
      <c r="Y68" s="8">
        <f t="shared" si="15"/>
        <v>8.18</v>
      </c>
    </row>
    <row r="69">
      <c r="A69" s="2">
        <v>62.0</v>
      </c>
      <c r="B69" s="15">
        <f>IFERROR(__xludf.DUMMYFUNCTION("""COMPUTED_VALUE"""),42464.64583333333)</f>
        <v>42464.64583</v>
      </c>
      <c r="C69" s="8">
        <f>IFERROR(__xludf.DUMMYFUNCTION("""COMPUTED_VALUE"""),1103.7)</f>
        <v>1103.7</v>
      </c>
      <c r="E69" s="15">
        <f>IFERROR(__xludf.DUMMYFUNCTION("""COMPUTED_VALUE"""),42464.64583333333)</f>
        <v>42464.64583</v>
      </c>
      <c r="F69" s="8">
        <f>IFERROR(__xludf.DUMMYFUNCTION("""COMPUTED_VALUE"""),534.53)</f>
        <v>534.53</v>
      </c>
      <c r="H69" s="4">
        <f t="shared" si="1"/>
        <v>569.17</v>
      </c>
      <c r="I69" s="16">
        <f t="shared" si="2"/>
        <v>580.406</v>
      </c>
      <c r="J69" s="16">
        <f t="shared" si="3"/>
        <v>12.04895141</v>
      </c>
      <c r="K69" s="16">
        <f t="shared" si="4"/>
        <v>592.4549514</v>
      </c>
      <c r="L69" s="16">
        <f t="shared" si="5"/>
        <v>568.3570486</v>
      </c>
      <c r="N69" s="17" t="str">
        <f t="shared" si="6"/>
        <v>F</v>
      </c>
      <c r="O69" s="17" t="str">
        <f t="shared" si="7"/>
        <v>F</v>
      </c>
      <c r="P69" s="8">
        <f t="shared" si="8"/>
        <v>1</v>
      </c>
      <c r="R69" s="17" t="str">
        <f t="shared" si="9"/>
        <v>F</v>
      </c>
      <c r="S69" s="3" t="str">
        <f t="shared" si="10"/>
        <v>T</v>
      </c>
      <c r="T69" s="8">
        <f t="shared" si="11"/>
        <v>0</v>
      </c>
      <c r="V69" s="4">
        <f t="shared" si="12"/>
        <v>1</v>
      </c>
      <c r="W69" s="8">
        <f t="shared" si="13"/>
        <v>-12</v>
      </c>
      <c r="X69" s="8">
        <f t="shared" si="14"/>
        <v>-12</v>
      </c>
      <c r="Y69" s="8">
        <f t="shared" si="15"/>
        <v>-3.82</v>
      </c>
    </row>
    <row r="70">
      <c r="A70" s="2">
        <v>63.0</v>
      </c>
      <c r="B70" s="15">
        <f>IFERROR(__xludf.DUMMYFUNCTION("""COMPUTED_VALUE"""),42465.64583333333)</f>
        <v>42465.64583</v>
      </c>
      <c r="C70" s="8">
        <f>IFERROR(__xludf.DUMMYFUNCTION("""COMPUTED_VALUE"""),1103.45)</f>
        <v>1103.45</v>
      </c>
      <c r="E70" s="15">
        <f>IFERROR(__xludf.DUMMYFUNCTION("""COMPUTED_VALUE"""),42465.64583333333)</f>
        <v>42465.64583</v>
      </c>
      <c r="F70" s="8">
        <f>IFERROR(__xludf.DUMMYFUNCTION("""COMPUTED_VALUE"""),528.73)</f>
        <v>528.73</v>
      </c>
      <c r="H70" s="4">
        <f t="shared" si="1"/>
        <v>574.72</v>
      </c>
      <c r="I70" s="16">
        <f t="shared" si="2"/>
        <v>575.58</v>
      </c>
      <c r="J70" s="16">
        <f t="shared" si="3"/>
        <v>6.253139212</v>
      </c>
      <c r="K70" s="16">
        <f t="shared" si="4"/>
        <v>581.8331392</v>
      </c>
      <c r="L70" s="16">
        <f t="shared" si="5"/>
        <v>569.3268608</v>
      </c>
      <c r="N70" s="17" t="str">
        <f t="shared" si="6"/>
        <v>F</v>
      </c>
      <c r="O70" s="17" t="str">
        <f t="shared" si="7"/>
        <v>F</v>
      </c>
      <c r="P70" s="8">
        <f t="shared" si="8"/>
        <v>1</v>
      </c>
      <c r="R70" s="17" t="str">
        <f t="shared" si="9"/>
        <v>F</v>
      </c>
      <c r="S70" s="3" t="str">
        <f t="shared" si="10"/>
        <v>T</v>
      </c>
      <c r="T70" s="8">
        <f t="shared" si="11"/>
        <v>0</v>
      </c>
      <c r="V70" s="4">
        <f t="shared" si="12"/>
        <v>1</v>
      </c>
      <c r="W70" s="8">
        <f t="shared" si="13"/>
        <v>5.55</v>
      </c>
      <c r="X70" s="8">
        <f t="shared" si="14"/>
        <v>5.55</v>
      </c>
      <c r="Y70" s="8">
        <f t="shared" si="15"/>
        <v>1.73</v>
      </c>
    </row>
    <row r="71">
      <c r="A71" s="2">
        <v>64.0</v>
      </c>
      <c r="B71" s="15">
        <f>IFERROR(__xludf.DUMMYFUNCTION("""COMPUTED_VALUE"""),42466.64583333333)</f>
        <v>42466.64583</v>
      </c>
      <c r="C71" s="8">
        <f>IFERROR(__xludf.DUMMYFUNCTION("""COMPUTED_VALUE"""),1102.05)</f>
        <v>1102.05</v>
      </c>
      <c r="E71" s="15">
        <f>IFERROR(__xludf.DUMMYFUNCTION("""COMPUTED_VALUE"""),42466.64583333333)</f>
        <v>42466.64583</v>
      </c>
      <c r="F71" s="8">
        <f>IFERROR(__xludf.DUMMYFUNCTION("""COMPUTED_VALUE"""),530.75)</f>
        <v>530.75</v>
      </c>
      <c r="H71" s="4">
        <f t="shared" si="1"/>
        <v>571.3</v>
      </c>
      <c r="I71" s="16">
        <f t="shared" si="2"/>
        <v>573.276</v>
      </c>
      <c r="J71" s="16">
        <f t="shared" si="3"/>
        <v>4.892998058</v>
      </c>
      <c r="K71" s="16">
        <f t="shared" si="4"/>
        <v>578.1689981</v>
      </c>
      <c r="L71" s="16">
        <f t="shared" si="5"/>
        <v>568.3830019</v>
      </c>
      <c r="N71" s="17" t="str">
        <f t="shared" si="6"/>
        <v>F</v>
      </c>
      <c r="O71" s="17" t="str">
        <f t="shared" si="7"/>
        <v>F</v>
      </c>
      <c r="P71" s="8">
        <f t="shared" si="8"/>
        <v>1</v>
      </c>
      <c r="R71" s="17" t="str">
        <f t="shared" si="9"/>
        <v>F</v>
      </c>
      <c r="S71" s="3" t="str">
        <f t="shared" si="10"/>
        <v>T</v>
      </c>
      <c r="T71" s="8">
        <f t="shared" si="11"/>
        <v>0</v>
      </c>
      <c r="V71" s="4">
        <f t="shared" si="12"/>
        <v>1</v>
      </c>
      <c r="W71" s="8">
        <f t="shared" si="13"/>
        <v>-3.42</v>
      </c>
      <c r="X71" s="8">
        <f t="shared" si="14"/>
        <v>-3.42</v>
      </c>
      <c r="Y71" s="8">
        <f t="shared" si="15"/>
        <v>-1.69</v>
      </c>
    </row>
    <row r="72">
      <c r="A72" s="2">
        <v>65.0</v>
      </c>
      <c r="B72" s="15">
        <f>IFERROR(__xludf.DUMMYFUNCTION("""COMPUTED_VALUE"""),42467.64583333333)</f>
        <v>42467.64583</v>
      </c>
      <c r="C72" s="8">
        <f>IFERROR(__xludf.DUMMYFUNCTION("""COMPUTED_VALUE"""),1070.85)</f>
        <v>1070.85</v>
      </c>
      <c r="E72" s="15">
        <f>IFERROR(__xludf.DUMMYFUNCTION("""COMPUTED_VALUE"""),42467.64583333333)</f>
        <v>42467.64583</v>
      </c>
      <c r="F72" s="8">
        <f>IFERROR(__xludf.DUMMYFUNCTION("""COMPUTED_VALUE"""),527.75)</f>
        <v>527.75</v>
      </c>
      <c r="H72" s="4">
        <f t="shared" si="1"/>
        <v>543.1</v>
      </c>
      <c r="I72" s="16">
        <f t="shared" si="2"/>
        <v>567.892</v>
      </c>
      <c r="J72" s="16">
        <f t="shared" si="3"/>
        <v>14.58439131</v>
      </c>
      <c r="K72" s="16">
        <f t="shared" si="4"/>
        <v>582.4763913</v>
      </c>
      <c r="L72" s="16">
        <f t="shared" si="5"/>
        <v>553.3076087</v>
      </c>
      <c r="N72" s="17" t="str">
        <f t="shared" si="6"/>
        <v>T</v>
      </c>
      <c r="O72" s="17" t="str">
        <f t="shared" si="7"/>
        <v>F</v>
      </c>
      <c r="P72" s="8">
        <f t="shared" si="8"/>
        <v>1</v>
      </c>
      <c r="R72" s="17" t="str">
        <f t="shared" si="9"/>
        <v>F</v>
      </c>
      <c r="S72" s="3" t="str">
        <f t="shared" si="10"/>
        <v>T</v>
      </c>
      <c r="T72" s="8">
        <f t="shared" si="11"/>
        <v>0</v>
      </c>
      <c r="V72" s="4">
        <f t="shared" si="12"/>
        <v>1</v>
      </c>
      <c r="W72" s="8">
        <f t="shared" si="13"/>
        <v>-28.2</v>
      </c>
      <c r="X72" s="8">
        <f t="shared" si="14"/>
        <v>-28.2</v>
      </c>
      <c r="Y72" s="8">
        <f t="shared" si="15"/>
        <v>-29.89</v>
      </c>
    </row>
    <row r="73">
      <c r="A73" s="2">
        <v>66.0</v>
      </c>
      <c r="B73" s="15">
        <f>IFERROR(__xludf.DUMMYFUNCTION("""COMPUTED_VALUE"""),42468.64583333333)</f>
        <v>42468.64583</v>
      </c>
      <c r="C73" s="8">
        <f>IFERROR(__xludf.DUMMYFUNCTION("""COMPUTED_VALUE"""),1079.55)</f>
        <v>1079.55</v>
      </c>
      <c r="E73" s="15">
        <f>IFERROR(__xludf.DUMMYFUNCTION("""COMPUTED_VALUE"""),42468.64583333333)</f>
        <v>42468.64583</v>
      </c>
      <c r="F73" s="8">
        <f>IFERROR(__xludf.DUMMYFUNCTION("""COMPUTED_VALUE"""),529.67)</f>
        <v>529.67</v>
      </c>
      <c r="H73" s="4">
        <f t="shared" si="1"/>
        <v>549.88</v>
      </c>
      <c r="I73" s="16">
        <f t="shared" si="2"/>
        <v>561.634</v>
      </c>
      <c r="J73" s="16">
        <f t="shared" si="3"/>
        <v>14.16979111</v>
      </c>
      <c r="K73" s="16">
        <f t="shared" si="4"/>
        <v>575.8037911</v>
      </c>
      <c r="L73" s="16">
        <f t="shared" si="5"/>
        <v>547.4642089</v>
      </c>
      <c r="N73" s="17" t="str">
        <f t="shared" si="6"/>
        <v>F</v>
      </c>
      <c r="O73" s="17" t="str">
        <f t="shared" si="7"/>
        <v>F</v>
      </c>
      <c r="P73" s="8">
        <f t="shared" si="8"/>
        <v>1</v>
      </c>
      <c r="R73" s="17" t="str">
        <f t="shared" si="9"/>
        <v>F</v>
      </c>
      <c r="S73" s="3" t="str">
        <f t="shared" si="10"/>
        <v>T</v>
      </c>
      <c r="T73" s="8">
        <f t="shared" si="11"/>
        <v>0</v>
      </c>
      <c r="V73" s="4">
        <f t="shared" si="12"/>
        <v>1</v>
      </c>
      <c r="W73" s="8">
        <f t="shared" si="13"/>
        <v>6.78</v>
      </c>
      <c r="X73" s="8">
        <f t="shared" si="14"/>
        <v>6.78</v>
      </c>
      <c r="Y73" s="8">
        <f t="shared" si="15"/>
        <v>-23.11</v>
      </c>
    </row>
    <row r="74">
      <c r="A74" s="2">
        <v>67.0</v>
      </c>
      <c r="B74" s="15">
        <f>IFERROR(__xludf.DUMMYFUNCTION("""COMPUTED_VALUE"""),42471.64583333333)</f>
        <v>42471.64583</v>
      </c>
      <c r="C74" s="8">
        <f>IFERROR(__xludf.DUMMYFUNCTION("""COMPUTED_VALUE"""),1079.8)</f>
        <v>1079.8</v>
      </c>
      <c r="E74" s="15">
        <f>IFERROR(__xludf.DUMMYFUNCTION("""COMPUTED_VALUE"""),42471.64583333333)</f>
        <v>42471.64583</v>
      </c>
      <c r="F74" s="8">
        <f>IFERROR(__xludf.DUMMYFUNCTION("""COMPUTED_VALUE"""),535.48)</f>
        <v>535.48</v>
      </c>
      <c r="H74" s="4">
        <f t="shared" si="1"/>
        <v>544.32</v>
      </c>
      <c r="I74" s="16">
        <f t="shared" si="2"/>
        <v>556.664</v>
      </c>
      <c r="J74" s="16">
        <f t="shared" si="3"/>
        <v>15.18725387</v>
      </c>
      <c r="K74" s="16">
        <f t="shared" si="4"/>
        <v>571.8512539</v>
      </c>
      <c r="L74" s="16">
        <f t="shared" si="5"/>
        <v>541.4767461</v>
      </c>
      <c r="N74" s="17" t="str">
        <f t="shared" si="6"/>
        <v>F</v>
      </c>
      <c r="O74" s="17" t="str">
        <f t="shared" si="7"/>
        <v>F</v>
      </c>
      <c r="P74" s="8">
        <f t="shared" si="8"/>
        <v>1</v>
      </c>
      <c r="R74" s="17" t="str">
        <f t="shared" si="9"/>
        <v>F</v>
      </c>
      <c r="S74" s="3" t="str">
        <f t="shared" si="10"/>
        <v>T</v>
      </c>
      <c r="T74" s="8">
        <f t="shared" si="11"/>
        <v>0</v>
      </c>
      <c r="V74" s="4">
        <f t="shared" si="12"/>
        <v>1</v>
      </c>
      <c r="W74" s="8">
        <f t="shared" si="13"/>
        <v>-5.56</v>
      </c>
      <c r="X74" s="8">
        <f t="shared" si="14"/>
        <v>-5.56</v>
      </c>
      <c r="Y74" s="8">
        <f t="shared" si="15"/>
        <v>-28.67</v>
      </c>
    </row>
    <row r="75">
      <c r="A75" s="2">
        <v>68.0</v>
      </c>
      <c r="B75" s="15">
        <f>IFERROR(__xludf.DUMMYFUNCTION("""COMPUTED_VALUE"""),42472.64583333333)</f>
        <v>42472.64583</v>
      </c>
      <c r="C75" s="8">
        <f>IFERROR(__xludf.DUMMYFUNCTION("""COMPUTED_VALUE"""),1090.5)</f>
        <v>1090.5</v>
      </c>
      <c r="E75" s="15">
        <f>IFERROR(__xludf.DUMMYFUNCTION("""COMPUTED_VALUE"""),42472.64583333333)</f>
        <v>42472.64583</v>
      </c>
      <c r="F75" s="8">
        <f>IFERROR(__xludf.DUMMYFUNCTION("""COMPUTED_VALUE"""),531.5)</f>
        <v>531.5</v>
      </c>
      <c r="H75" s="4">
        <f t="shared" si="1"/>
        <v>559</v>
      </c>
      <c r="I75" s="16">
        <f t="shared" si="2"/>
        <v>553.52</v>
      </c>
      <c r="J75" s="16">
        <f t="shared" si="3"/>
        <v>11.75398656</v>
      </c>
      <c r="K75" s="16">
        <f t="shared" si="4"/>
        <v>565.2739866</v>
      </c>
      <c r="L75" s="16">
        <f t="shared" si="5"/>
        <v>541.7660134</v>
      </c>
      <c r="N75" s="17" t="str">
        <f t="shared" si="6"/>
        <v>F</v>
      </c>
      <c r="O75" s="17" t="str">
        <f t="shared" si="7"/>
        <v>T</v>
      </c>
      <c r="P75" s="8">
        <f t="shared" si="8"/>
        <v>0</v>
      </c>
      <c r="R75" s="17" t="str">
        <f t="shared" si="9"/>
        <v>F</v>
      </c>
      <c r="S75" s="3" t="str">
        <f t="shared" si="10"/>
        <v>F</v>
      </c>
      <c r="T75" s="8">
        <f t="shared" si="11"/>
        <v>0</v>
      </c>
      <c r="V75" s="4">
        <f t="shared" si="12"/>
        <v>0</v>
      </c>
      <c r="W75" s="8">
        <f t="shared" si="13"/>
        <v>14.68</v>
      </c>
      <c r="X75" s="8">
        <f t="shared" si="14"/>
        <v>14.68</v>
      </c>
      <c r="Y75" s="8">
        <f t="shared" si="15"/>
        <v>-13.99</v>
      </c>
    </row>
    <row r="76">
      <c r="A76" s="2">
        <v>69.0</v>
      </c>
      <c r="B76" s="15">
        <f>IFERROR(__xludf.DUMMYFUNCTION("""COMPUTED_VALUE"""),42473.64583333333)</f>
        <v>42473.64583</v>
      </c>
      <c r="C76" s="8">
        <f>IFERROR(__xludf.DUMMYFUNCTION("""COMPUTED_VALUE"""),1114.95)</f>
        <v>1114.95</v>
      </c>
      <c r="E76" s="15">
        <f>IFERROR(__xludf.DUMMYFUNCTION("""COMPUTED_VALUE"""),42473.64583333333)</f>
        <v>42473.64583</v>
      </c>
      <c r="F76" s="8">
        <f>IFERROR(__xludf.DUMMYFUNCTION("""COMPUTED_VALUE"""),540.88)</f>
        <v>540.88</v>
      </c>
      <c r="H76" s="4">
        <f t="shared" si="1"/>
        <v>574.07</v>
      </c>
      <c r="I76" s="16">
        <f t="shared" si="2"/>
        <v>554.074</v>
      </c>
      <c r="J76" s="16">
        <f t="shared" si="3"/>
        <v>12.81858339</v>
      </c>
      <c r="K76" s="16">
        <f t="shared" si="4"/>
        <v>566.8925834</v>
      </c>
      <c r="L76" s="16">
        <f t="shared" si="5"/>
        <v>541.2554166</v>
      </c>
      <c r="N76" s="17" t="str">
        <f t="shared" si="6"/>
        <v>F</v>
      </c>
      <c r="O76" s="17" t="str">
        <f t="shared" si="7"/>
        <v>T</v>
      </c>
      <c r="P76" s="8">
        <f t="shared" si="8"/>
        <v>0</v>
      </c>
      <c r="R76" s="17" t="str">
        <f t="shared" si="9"/>
        <v>T</v>
      </c>
      <c r="S76" s="3" t="str">
        <f t="shared" si="10"/>
        <v>F</v>
      </c>
      <c r="T76" s="8">
        <f t="shared" si="11"/>
        <v>-1</v>
      </c>
      <c r="V76" s="4">
        <f t="shared" si="12"/>
        <v>-1</v>
      </c>
      <c r="W76" s="8">
        <f t="shared" si="13"/>
        <v>15.07</v>
      </c>
      <c r="X76" s="8">
        <f t="shared" si="14"/>
        <v>0</v>
      </c>
      <c r="Y76" s="8">
        <f t="shared" si="15"/>
        <v>-13.99</v>
      </c>
    </row>
    <row r="77">
      <c r="A77" s="2">
        <v>70.0</v>
      </c>
      <c r="B77" s="15">
        <f>IFERROR(__xludf.DUMMYFUNCTION("""COMPUTED_VALUE"""),42478.64583333333)</f>
        <v>42478.64583</v>
      </c>
      <c r="C77" s="8">
        <f>IFERROR(__xludf.DUMMYFUNCTION("""COMPUTED_VALUE"""),1132.4)</f>
        <v>1132.4</v>
      </c>
      <c r="E77" s="15">
        <f>IFERROR(__xludf.DUMMYFUNCTION("""COMPUTED_VALUE"""),42478.64583333333)</f>
        <v>42478.64583</v>
      </c>
      <c r="F77" s="8">
        <f>IFERROR(__xludf.DUMMYFUNCTION("""COMPUTED_VALUE"""),543.9)</f>
        <v>543.9</v>
      </c>
      <c r="H77" s="4">
        <f t="shared" si="1"/>
        <v>588.5</v>
      </c>
      <c r="I77" s="16">
        <f t="shared" si="2"/>
        <v>563.154</v>
      </c>
      <c r="J77" s="16">
        <f t="shared" si="3"/>
        <v>18.09525573</v>
      </c>
      <c r="K77" s="16">
        <f t="shared" si="4"/>
        <v>581.2492557</v>
      </c>
      <c r="L77" s="16">
        <f t="shared" si="5"/>
        <v>545.0587443</v>
      </c>
      <c r="N77" s="17" t="str">
        <f t="shared" si="6"/>
        <v>F</v>
      </c>
      <c r="O77" s="17" t="str">
        <f t="shared" si="7"/>
        <v>T</v>
      </c>
      <c r="P77" s="8">
        <f t="shared" si="8"/>
        <v>0</v>
      </c>
      <c r="R77" s="17" t="str">
        <f t="shared" si="9"/>
        <v>T</v>
      </c>
      <c r="S77" s="3" t="str">
        <f t="shared" si="10"/>
        <v>F</v>
      </c>
      <c r="T77" s="8">
        <f t="shared" si="11"/>
        <v>-1</v>
      </c>
      <c r="V77" s="4">
        <f t="shared" si="12"/>
        <v>-1</v>
      </c>
      <c r="W77" s="8">
        <f t="shared" si="13"/>
        <v>14.43</v>
      </c>
      <c r="X77" s="8">
        <f t="shared" si="14"/>
        <v>-14.43</v>
      </c>
      <c r="Y77" s="8">
        <f t="shared" si="15"/>
        <v>-28.42</v>
      </c>
    </row>
    <row r="78">
      <c r="A78" s="2">
        <v>71.0</v>
      </c>
      <c r="B78" s="15">
        <f>IFERROR(__xludf.DUMMYFUNCTION("""COMPUTED_VALUE"""),42480.64583333333)</f>
        <v>42480.64583</v>
      </c>
      <c r="C78" s="8">
        <f>IFERROR(__xludf.DUMMYFUNCTION("""COMPUTED_VALUE"""),1140.0)</f>
        <v>1140</v>
      </c>
      <c r="E78" s="15">
        <f>IFERROR(__xludf.DUMMYFUNCTION("""COMPUTED_VALUE"""),42480.64583333333)</f>
        <v>42480.64583</v>
      </c>
      <c r="F78" s="8">
        <f>IFERROR(__xludf.DUMMYFUNCTION("""COMPUTED_VALUE"""),548.92)</f>
        <v>548.92</v>
      </c>
      <c r="H78" s="4">
        <f t="shared" si="1"/>
        <v>591.08</v>
      </c>
      <c r="I78" s="16">
        <f t="shared" si="2"/>
        <v>571.394</v>
      </c>
      <c r="J78" s="16">
        <f t="shared" si="3"/>
        <v>19.83637769</v>
      </c>
      <c r="K78" s="16">
        <f t="shared" si="4"/>
        <v>591.2303777</v>
      </c>
      <c r="L78" s="16">
        <f t="shared" si="5"/>
        <v>551.5576223</v>
      </c>
      <c r="N78" s="17" t="str">
        <f t="shared" si="6"/>
        <v>F</v>
      </c>
      <c r="O78" s="17" t="str">
        <f t="shared" si="7"/>
        <v>T</v>
      </c>
      <c r="P78" s="8">
        <f t="shared" si="8"/>
        <v>0</v>
      </c>
      <c r="R78" s="17" t="str">
        <f t="shared" si="9"/>
        <v>F</v>
      </c>
      <c r="S78" s="3" t="str">
        <f t="shared" si="10"/>
        <v>F</v>
      </c>
      <c r="T78" s="8">
        <f t="shared" si="11"/>
        <v>-1</v>
      </c>
      <c r="V78" s="4">
        <f t="shared" si="12"/>
        <v>-1</v>
      </c>
      <c r="W78" s="8">
        <f t="shared" si="13"/>
        <v>2.58</v>
      </c>
      <c r="X78" s="8">
        <f t="shared" si="14"/>
        <v>-2.58</v>
      </c>
      <c r="Y78" s="8">
        <f t="shared" si="15"/>
        <v>-31</v>
      </c>
    </row>
    <row r="79">
      <c r="A79" s="2">
        <v>72.0</v>
      </c>
      <c r="B79" s="15">
        <f>IFERROR(__xludf.DUMMYFUNCTION("""COMPUTED_VALUE"""),42481.64583333333)</f>
        <v>42481.64583</v>
      </c>
      <c r="C79" s="8">
        <f>IFERROR(__xludf.DUMMYFUNCTION("""COMPUTED_VALUE"""),1150.1)</f>
        <v>1150.1</v>
      </c>
      <c r="E79" s="15">
        <f>IFERROR(__xludf.DUMMYFUNCTION("""COMPUTED_VALUE"""),42481.64583333333)</f>
        <v>42481.64583</v>
      </c>
      <c r="F79" s="8">
        <f>IFERROR(__xludf.DUMMYFUNCTION("""COMPUTED_VALUE"""),545.58)</f>
        <v>545.58</v>
      </c>
      <c r="H79" s="4">
        <f t="shared" si="1"/>
        <v>604.52</v>
      </c>
      <c r="I79" s="16">
        <f t="shared" si="2"/>
        <v>583.434</v>
      </c>
      <c r="J79" s="16">
        <f t="shared" si="3"/>
        <v>17.41730404</v>
      </c>
      <c r="K79" s="16">
        <f t="shared" si="4"/>
        <v>600.851304</v>
      </c>
      <c r="L79" s="16">
        <f t="shared" si="5"/>
        <v>566.016696</v>
      </c>
      <c r="N79" s="17" t="str">
        <f t="shared" si="6"/>
        <v>F</v>
      </c>
      <c r="O79" s="17" t="str">
        <f t="shared" si="7"/>
        <v>T</v>
      </c>
      <c r="P79" s="8">
        <f t="shared" si="8"/>
        <v>0</v>
      </c>
      <c r="R79" s="17" t="str">
        <f t="shared" si="9"/>
        <v>T</v>
      </c>
      <c r="S79" s="3" t="str">
        <f t="shared" si="10"/>
        <v>F</v>
      </c>
      <c r="T79" s="8">
        <f t="shared" si="11"/>
        <v>-1</v>
      </c>
      <c r="V79" s="4">
        <f t="shared" si="12"/>
        <v>-1</v>
      </c>
      <c r="W79" s="8">
        <f t="shared" si="13"/>
        <v>13.44</v>
      </c>
      <c r="X79" s="8">
        <f t="shared" si="14"/>
        <v>-13.44</v>
      </c>
      <c r="Y79" s="8">
        <f t="shared" si="15"/>
        <v>-44.44</v>
      </c>
    </row>
    <row r="80">
      <c r="A80" s="2">
        <v>73.0</v>
      </c>
      <c r="B80" s="15">
        <f>IFERROR(__xludf.DUMMYFUNCTION("""COMPUTED_VALUE"""),42482.64583333333)</f>
        <v>42482.64583</v>
      </c>
      <c r="C80" s="8">
        <f>IFERROR(__xludf.DUMMYFUNCTION("""COMPUTED_VALUE"""),1131.9)</f>
        <v>1131.9</v>
      </c>
      <c r="E80" s="15">
        <f>IFERROR(__xludf.DUMMYFUNCTION("""COMPUTED_VALUE"""),42482.64583333333)</f>
        <v>42482.64583</v>
      </c>
      <c r="F80" s="8">
        <f>IFERROR(__xludf.DUMMYFUNCTION("""COMPUTED_VALUE"""),546.08)</f>
        <v>546.08</v>
      </c>
      <c r="H80" s="4">
        <f t="shared" si="1"/>
        <v>585.82</v>
      </c>
      <c r="I80" s="16">
        <f t="shared" si="2"/>
        <v>588.798</v>
      </c>
      <c r="J80" s="16">
        <f t="shared" si="3"/>
        <v>10.9345791</v>
      </c>
      <c r="K80" s="16">
        <f t="shared" si="4"/>
        <v>599.7325791</v>
      </c>
      <c r="L80" s="16">
        <f t="shared" si="5"/>
        <v>577.8634209</v>
      </c>
      <c r="N80" s="17" t="str">
        <f t="shared" si="6"/>
        <v>F</v>
      </c>
      <c r="O80" s="17" t="str">
        <f t="shared" si="7"/>
        <v>F</v>
      </c>
      <c r="P80" s="8">
        <f t="shared" si="8"/>
        <v>0</v>
      </c>
      <c r="R80" s="17" t="str">
        <f t="shared" si="9"/>
        <v>F</v>
      </c>
      <c r="S80" s="3" t="str">
        <f t="shared" si="10"/>
        <v>T</v>
      </c>
      <c r="T80" s="8">
        <f t="shared" si="11"/>
        <v>0</v>
      </c>
      <c r="V80" s="4">
        <f t="shared" si="12"/>
        <v>0</v>
      </c>
      <c r="W80" s="8">
        <f t="shared" si="13"/>
        <v>-18.7</v>
      </c>
      <c r="X80" s="8">
        <f t="shared" si="14"/>
        <v>18.7</v>
      </c>
      <c r="Y80" s="8">
        <f t="shared" si="15"/>
        <v>-25.74</v>
      </c>
    </row>
    <row r="81">
      <c r="A81" s="2">
        <v>74.0</v>
      </c>
      <c r="B81" s="15">
        <f>IFERROR(__xludf.DUMMYFUNCTION("""COMPUTED_VALUE"""),42485.64583333333)</f>
        <v>42485.64583</v>
      </c>
      <c r="C81" s="8">
        <f>IFERROR(__xludf.DUMMYFUNCTION("""COMPUTED_VALUE"""),1112.0)</f>
        <v>1112</v>
      </c>
      <c r="E81" s="15">
        <f>IFERROR(__xludf.DUMMYFUNCTION("""COMPUTED_VALUE"""),42485.64583333333)</f>
        <v>42485.64583</v>
      </c>
      <c r="F81" s="8">
        <f>IFERROR(__xludf.DUMMYFUNCTION("""COMPUTED_VALUE"""),546.63)</f>
        <v>546.63</v>
      </c>
      <c r="H81" s="4">
        <f t="shared" si="1"/>
        <v>565.37</v>
      </c>
      <c r="I81" s="16">
        <f t="shared" si="2"/>
        <v>587.058</v>
      </c>
      <c r="J81" s="16">
        <f t="shared" si="3"/>
        <v>14.09857511</v>
      </c>
      <c r="K81" s="16">
        <f t="shared" si="4"/>
        <v>601.1565751</v>
      </c>
      <c r="L81" s="16">
        <f t="shared" si="5"/>
        <v>572.9594249</v>
      </c>
      <c r="N81" s="17" t="str">
        <f t="shared" si="6"/>
        <v>T</v>
      </c>
      <c r="O81" s="17" t="str">
        <f t="shared" si="7"/>
        <v>F</v>
      </c>
      <c r="P81" s="8">
        <f t="shared" si="8"/>
        <v>1</v>
      </c>
      <c r="R81" s="17" t="str">
        <f t="shared" si="9"/>
        <v>F</v>
      </c>
      <c r="S81" s="3" t="str">
        <f t="shared" si="10"/>
        <v>T</v>
      </c>
      <c r="T81" s="8">
        <f t="shared" si="11"/>
        <v>0</v>
      </c>
      <c r="V81" s="4">
        <f t="shared" si="12"/>
        <v>1</v>
      </c>
      <c r="W81" s="8">
        <f t="shared" si="13"/>
        <v>-20.45</v>
      </c>
      <c r="X81" s="8">
        <f t="shared" si="14"/>
        <v>0</v>
      </c>
      <c r="Y81" s="8">
        <f t="shared" si="15"/>
        <v>-25.74</v>
      </c>
    </row>
    <row r="82">
      <c r="A82" s="2">
        <v>75.0</v>
      </c>
      <c r="B82" s="15">
        <f>IFERROR(__xludf.DUMMYFUNCTION("""COMPUTED_VALUE"""),42486.64583333333)</f>
        <v>42486.64583</v>
      </c>
      <c r="C82" s="8">
        <f>IFERROR(__xludf.DUMMYFUNCTION("""COMPUTED_VALUE"""),1127.3)</f>
        <v>1127.3</v>
      </c>
      <c r="E82" s="15">
        <f>IFERROR(__xludf.DUMMYFUNCTION("""COMPUTED_VALUE"""),42486.64583333333)</f>
        <v>42486.64583</v>
      </c>
      <c r="F82" s="8">
        <f>IFERROR(__xludf.DUMMYFUNCTION("""COMPUTED_VALUE"""),556.92)</f>
        <v>556.92</v>
      </c>
      <c r="H82" s="4">
        <f t="shared" si="1"/>
        <v>570.38</v>
      </c>
      <c r="I82" s="16">
        <f t="shared" si="2"/>
        <v>583.434</v>
      </c>
      <c r="J82" s="16">
        <f t="shared" si="3"/>
        <v>15.85472106</v>
      </c>
      <c r="K82" s="16">
        <f t="shared" si="4"/>
        <v>599.2887211</v>
      </c>
      <c r="L82" s="16">
        <f t="shared" si="5"/>
        <v>567.5792789</v>
      </c>
      <c r="N82" s="17" t="str">
        <f t="shared" si="6"/>
        <v>F</v>
      </c>
      <c r="O82" s="17" t="str">
        <f t="shared" si="7"/>
        <v>F</v>
      </c>
      <c r="P82" s="8">
        <f t="shared" si="8"/>
        <v>1</v>
      </c>
      <c r="R82" s="17" t="str">
        <f t="shared" si="9"/>
        <v>F</v>
      </c>
      <c r="S82" s="3" t="str">
        <f t="shared" si="10"/>
        <v>T</v>
      </c>
      <c r="T82" s="8">
        <f t="shared" si="11"/>
        <v>0</v>
      </c>
      <c r="V82" s="4">
        <f t="shared" si="12"/>
        <v>1</v>
      </c>
      <c r="W82" s="8">
        <f t="shared" si="13"/>
        <v>5.01</v>
      </c>
      <c r="X82" s="8">
        <f t="shared" si="14"/>
        <v>5.01</v>
      </c>
      <c r="Y82" s="8">
        <f t="shared" si="15"/>
        <v>-20.73</v>
      </c>
    </row>
    <row r="83">
      <c r="A83" s="2">
        <v>76.0</v>
      </c>
      <c r="B83" s="15">
        <f>IFERROR(__xludf.DUMMYFUNCTION("""COMPUTED_VALUE"""),42487.64583333333)</f>
        <v>42487.64583</v>
      </c>
      <c r="C83" s="8">
        <f>IFERROR(__xludf.DUMMYFUNCTION("""COMPUTED_VALUE"""),1121.5)</f>
        <v>1121.5</v>
      </c>
      <c r="E83" s="15">
        <f>IFERROR(__xludf.DUMMYFUNCTION("""COMPUTED_VALUE"""),42487.64583333333)</f>
        <v>42487.64583</v>
      </c>
      <c r="F83" s="8">
        <f>IFERROR(__xludf.DUMMYFUNCTION("""COMPUTED_VALUE"""),562.1)</f>
        <v>562.1</v>
      </c>
      <c r="H83" s="4">
        <f t="shared" si="1"/>
        <v>559.4</v>
      </c>
      <c r="I83" s="16">
        <f t="shared" si="2"/>
        <v>577.098</v>
      </c>
      <c r="J83" s="16">
        <f t="shared" si="3"/>
        <v>18.19296622</v>
      </c>
      <c r="K83" s="16">
        <f t="shared" si="4"/>
        <v>595.2909662</v>
      </c>
      <c r="L83" s="16">
        <f t="shared" si="5"/>
        <v>558.9050338</v>
      </c>
      <c r="N83" s="17" t="str">
        <f t="shared" si="6"/>
        <v>F</v>
      </c>
      <c r="O83" s="17" t="str">
        <f t="shared" si="7"/>
        <v>F</v>
      </c>
      <c r="P83" s="8">
        <f t="shared" si="8"/>
        <v>1</v>
      </c>
      <c r="R83" s="17" t="str">
        <f t="shared" si="9"/>
        <v>F</v>
      </c>
      <c r="S83" s="3" t="str">
        <f t="shared" si="10"/>
        <v>T</v>
      </c>
      <c r="T83" s="8">
        <f t="shared" si="11"/>
        <v>0</v>
      </c>
      <c r="V83" s="4">
        <f t="shared" si="12"/>
        <v>1</v>
      </c>
      <c r="W83" s="8">
        <f t="shared" si="13"/>
        <v>-10.98</v>
      </c>
      <c r="X83" s="8">
        <f t="shared" si="14"/>
        <v>-10.98</v>
      </c>
      <c r="Y83" s="8">
        <f t="shared" si="15"/>
        <v>-31.71</v>
      </c>
    </row>
    <row r="84">
      <c r="A84" s="2">
        <v>77.0</v>
      </c>
      <c r="B84" s="15">
        <f>IFERROR(__xludf.DUMMYFUNCTION("""COMPUTED_VALUE"""),42488.64583333333)</f>
        <v>42488.64583</v>
      </c>
      <c r="C84" s="8">
        <f>IFERROR(__xludf.DUMMYFUNCTION("""COMPUTED_VALUE"""),1085.55)</f>
        <v>1085.55</v>
      </c>
      <c r="E84" s="15">
        <f>IFERROR(__xludf.DUMMYFUNCTION("""COMPUTED_VALUE"""),42488.64583333333)</f>
        <v>42488.64583</v>
      </c>
      <c r="F84" s="8">
        <f>IFERROR(__xludf.DUMMYFUNCTION("""COMPUTED_VALUE"""),556.98)</f>
        <v>556.98</v>
      </c>
      <c r="H84" s="4">
        <f t="shared" si="1"/>
        <v>528.57</v>
      </c>
      <c r="I84" s="16">
        <f t="shared" si="2"/>
        <v>561.908</v>
      </c>
      <c r="J84" s="16">
        <f t="shared" si="3"/>
        <v>21.05502482</v>
      </c>
      <c r="K84" s="16">
        <f t="shared" si="4"/>
        <v>582.9630248</v>
      </c>
      <c r="L84" s="16">
        <f t="shared" si="5"/>
        <v>540.8529752</v>
      </c>
      <c r="N84" s="17" t="str">
        <f t="shared" si="6"/>
        <v>T</v>
      </c>
      <c r="O84" s="17" t="str">
        <f t="shared" si="7"/>
        <v>F</v>
      </c>
      <c r="P84" s="8">
        <f t="shared" si="8"/>
        <v>1</v>
      </c>
      <c r="R84" s="17" t="str">
        <f t="shared" si="9"/>
        <v>F</v>
      </c>
      <c r="S84" s="3" t="str">
        <f t="shared" si="10"/>
        <v>T</v>
      </c>
      <c r="T84" s="8">
        <f t="shared" si="11"/>
        <v>0</v>
      </c>
      <c r="V84" s="4">
        <f t="shared" si="12"/>
        <v>1</v>
      </c>
      <c r="W84" s="8">
        <f t="shared" si="13"/>
        <v>-30.83</v>
      </c>
      <c r="X84" s="8">
        <f t="shared" si="14"/>
        <v>-30.83</v>
      </c>
      <c r="Y84" s="8">
        <f t="shared" si="15"/>
        <v>-62.54</v>
      </c>
    </row>
    <row r="85">
      <c r="A85" s="2">
        <v>78.0</v>
      </c>
      <c r="B85" s="15">
        <f>IFERROR(__xludf.DUMMYFUNCTION("""COMPUTED_VALUE"""),42489.64583333333)</f>
        <v>42489.64583</v>
      </c>
      <c r="C85" s="8">
        <f>IFERROR(__xludf.DUMMYFUNCTION("""COMPUTED_VALUE"""),1088.45)</f>
        <v>1088.45</v>
      </c>
      <c r="E85" s="15">
        <f>IFERROR(__xludf.DUMMYFUNCTION("""COMPUTED_VALUE"""),42489.64583333333)</f>
        <v>42489.64583</v>
      </c>
      <c r="F85" s="8">
        <f>IFERROR(__xludf.DUMMYFUNCTION("""COMPUTED_VALUE"""),566.17)</f>
        <v>566.17</v>
      </c>
      <c r="H85" s="4">
        <f t="shared" si="1"/>
        <v>522.28</v>
      </c>
      <c r="I85" s="16">
        <f t="shared" si="2"/>
        <v>549.2</v>
      </c>
      <c r="J85" s="16">
        <f t="shared" si="3"/>
        <v>22.16068929</v>
      </c>
      <c r="K85" s="16">
        <f t="shared" si="4"/>
        <v>571.3606893</v>
      </c>
      <c r="L85" s="16">
        <f t="shared" si="5"/>
        <v>527.0393107</v>
      </c>
      <c r="N85" s="17" t="str">
        <f t="shared" si="6"/>
        <v>T</v>
      </c>
      <c r="O85" s="17" t="str">
        <f t="shared" si="7"/>
        <v>F</v>
      </c>
      <c r="P85" s="8">
        <f t="shared" si="8"/>
        <v>1</v>
      </c>
      <c r="R85" s="17" t="str">
        <f t="shared" si="9"/>
        <v>F</v>
      </c>
      <c r="S85" s="3" t="str">
        <f t="shared" si="10"/>
        <v>T</v>
      </c>
      <c r="T85" s="8">
        <f t="shared" si="11"/>
        <v>0</v>
      </c>
      <c r="V85" s="4">
        <f t="shared" si="12"/>
        <v>1</v>
      </c>
      <c r="W85" s="8">
        <f t="shared" si="13"/>
        <v>-6.29</v>
      </c>
      <c r="X85" s="8">
        <f t="shared" si="14"/>
        <v>-6.29</v>
      </c>
      <c r="Y85" s="8">
        <f t="shared" si="15"/>
        <v>-68.83</v>
      </c>
    </row>
    <row r="86">
      <c r="A86" s="2">
        <v>79.0</v>
      </c>
      <c r="B86" s="15">
        <f>IFERROR(__xludf.DUMMYFUNCTION("""COMPUTED_VALUE"""),42492.64583333333)</f>
        <v>42492.64583</v>
      </c>
      <c r="C86" s="8">
        <f>IFERROR(__xludf.DUMMYFUNCTION("""COMPUTED_VALUE"""),1091.9)</f>
        <v>1091.9</v>
      </c>
      <c r="E86" s="15">
        <f>IFERROR(__xludf.DUMMYFUNCTION("""COMPUTED_VALUE"""),42492.64583333333)</f>
        <v>42492.64583</v>
      </c>
      <c r="F86" s="8">
        <f>IFERROR(__xludf.DUMMYFUNCTION("""COMPUTED_VALUE"""),558.83)</f>
        <v>558.83</v>
      </c>
      <c r="H86" s="4">
        <f t="shared" si="1"/>
        <v>533.07</v>
      </c>
      <c r="I86" s="16">
        <f t="shared" si="2"/>
        <v>542.74</v>
      </c>
      <c r="J86" s="16">
        <f t="shared" si="3"/>
        <v>20.9429857</v>
      </c>
      <c r="K86" s="16">
        <f t="shared" si="4"/>
        <v>563.6829857</v>
      </c>
      <c r="L86" s="16">
        <f t="shared" si="5"/>
        <v>521.7970143</v>
      </c>
      <c r="N86" s="17" t="str">
        <f t="shared" si="6"/>
        <v>F</v>
      </c>
      <c r="O86" s="17" t="str">
        <f t="shared" si="7"/>
        <v>F</v>
      </c>
      <c r="P86" s="8">
        <f t="shared" si="8"/>
        <v>1</v>
      </c>
      <c r="R86" s="17" t="str">
        <f t="shared" si="9"/>
        <v>F</v>
      </c>
      <c r="S86" s="3" t="str">
        <f t="shared" si="10"/>
        <v>T</v>
      </c>
      <c r="T86" s="8">
        <f t="shared" si="11"/>
        <v>0</v>
      </c>
      <c r="V86" s="4">
        <f t="shared" si="12"/>
        <v>1</v>
      </c>
      <c r="W86" s="8">
        <f t="shared" si="13"/>
        <v>10.79</v>
      </c>
      <c r="X86" s="8">
        <f t="shared" si="14"/>
        <v>10.79</v>
      </c>
      <c r="Y86" s="8">
        <f t="shared" si="15"/>
        <v>-58.04</v>
      </c>
    </row>
    <row r="87">
      <c r="A87" s="2">
        <v>80.0</v>
      </c>
      <c r="B87" s="15">
        <f>IFERROR(__xludf.DUMMYFUNCTION("""COMPUTED_VALUE"""),42493.64583333333)</f>
        <v>42493.64583</v>
      </c>
      <c r="C87" s="8">
        <f>IFERROR(__xludf.DUMMYFUNCTION("""COMPUTED_VALUE"""),1099.6)</f>
        <v>1099.6</v>
      </c>
      <c r="E87" s="15">
        <f>IFERROR(__xludf.DUMMYFUNCTION("""COMPUTED_VALUE"""),42493.64583333333)</f>
        <v>42493.64583</v>
      </c>
      <c r="F87" s="8">
        <f>IFERROR(__xludf.DUMMYFUNCTION("""COMPUTED_VALUE"""),559.0)</f>
        <v>559</v>
      </c>
      <c r="H87" s="4">
        <f t="shared" si="1"/>
        <v>540.6</v>
      </c>
      <c r="I87" s="16">
        <f t="shared" si="2"/>
        <v>536.784</v>
      </c>
      <c r="J87" s="16">
        <f t="shared" si="3"/>
        <v>14.29750782</v>
      </c>
      <c r="K87" s="16">
        <f t="shared" si="4"/>
        <v>551.0815078</v>
      </c>
      <c r="L87" s="16">
        <f t="shared" si="5"/>
        <v>522.4864922</v>
      </c>
      <c r="N87" s="17" t="str">
        <f t="shared" si="6"/>
        <v>F</v>
      </c>
      <c r="O87" s="17" t="str">
        <f t="shared" si="7"/>
        <v>T</v>
      </c>
      <c r="P87" s="8">
        <f t="shared" si="8"/>
        <v>0</v>
      </c>
      <c r="R87" s="17" t="str">
        <f t="shared" si="9"/>
        <v>F</v>
      </c>
      <c r="S87" s="3" t="str">
        <f t="shared" si="10"/>
        <v>F</v>
      </c>
      <c r="T87" s="8">
        <f t="shared" si="11"/>
        <v>0</v>
      </c>
      <c r="V87" s="4">
        <f t="shared" si="12"/>
        <v>0</v>
      </c>
      <c r="W87" s="8">
        <f t="shared" si="13"/>
        <v>7.53</v>
      </c>
      <c r="X87" s="8">
        <f t="shared" si="14"/>
        <v>7.53</v>
      </c>
      <c r="Y87" s="8">
        <f t="shared" si="15"/>
        <v>-50.51</v>
      </c>
    </row>
    <row r="88">
      <c r="A88" s="2">
        <v>81.0</v>
      </c>
      <c r="B88" s="15">
        <f>IFERROR(__xludf.DUMMYFUNCTION("""COMPUTED_VALUE"""),42494.64583333333)</f>
        <v>42494.64583</v>
      </c>
      <c r="C88" s="8">
        <f>IFERROR(__xludf.DUMMYFUNCTION("""COMPUTED_VALUE"""),1129.9)</f>
        <v>1129.9</v>
      </c>
      <c r="E88" s="15">
        <f>IFERROR(__xludf.DUMMYFUNCTION("""COMPUTED_VALUE"""),42494.64583333333)</f>
        <v>42494.64583</v>
      </c>
      <c r="F88" s="8">
        <f>IFERROR(__xludf.DUMMYFUNCTION("""COMPUTED_VALUE"""),563.67)</f>
        <v>563.67</v>
      </c>
      <c r="H88" s="4">
        <f t="shared" si="1"/>
        <v>566.23</v>
      </c>
      <c r="I88" s="16">
        <f t="shared" si="2"/>
        <v>538.15</v>
      </c>
      <c r="J88" s="16">
        <f t="shared" si="3"/>
        <v>17.05819891</v>
      </c>
      <c r="K88" s="16">
        <f t="shared" si="4"/>
        <v>555.2081989</v>
      </c>
      <c r="L88" s="16">
        <f t="shared" si="5"/>
        <v>521.0918011</v>
      </c>
      <c r="N88" s="17" t="str">
        <f t="shared" si="6"/>
        <v>F</v>
      </c>
      <c r="O88" s="17" t="str">
        <f t="shared" si="7"/>
        <v>T</v>
      </c>
      <c r="P88" s="8">
        <f t="shared" si="8"/>
        <v>0</v>
      </c>
      <c r="R88" s="17" t="str">
        <f t="shared" si="9"/>
        <v>T</v>
      </c>
      <c r="S88" s="3" t="str">
        <f t="shared" si="10"/>
        <v>F</v>
      </c>
      <c r="T88" s="8">
        <f t="shared" si="11"/>
        <v>-1</v>
      </c>
      <c r="V88" s="4">
        <f t="shared" si="12"/>
        <v>-1</v>
      </c>
      <c r="W88" s="8">
        <f t="shared" si="13"/>
        <v>25.63</v>
      </c>
      <c r="X88" s="8">
        <f t="shared" si="14"/>
        <v>0</v>
      </c>
      <c r="Y88" s="8">
        <f t="shared" si="15"/>
        <v>-50.51</v>
      </c>
    </row>
    <row r="89">
      <c r="A89" s="2">
        <v>82.0</v>
      </c>
      <c r="B89" s="15">
        <f>IFERROR(__xludf.DUMMYFUNCTION("""COMPUTED_VALUE"""),42495.64583333333)</f>
        <v>42495.64583</v>
      </c>
      <c r="C89" s="8">
        <f>IFERROR(__xludf.DUMMYFUNCTION("""COMPUTED_VALUE"""),1162.65)</f>
        <v>1162.65</v>
      </c>
      <c r="E89" s="15">
        <f>IFERROR(__xludf.DUMMYFUNCTION("""COMPUTED_VALUE"""),42495.64583333333)</f>
        <v>42495.64583</v>
      </c>
      <c r="F89" s="8">
        <f>IFERROR(__xludf.DUMMYFUNCTION("""COMPUTED_VALUE"""),566.15)</f>
        <v>566.15</v>
      </c>
      <c r="H89" s="4">
        <f t="shared" si="1"/>
        <v>596.5</v>
      </c>
      <c r="I89" s="16">
        <f t="shared" si="2"/>
        <v>551.736</v>
      </c>
      <c r="J89" s="16">
        <f t="shared" si="3"/>
        <v>29.80762369</v>
      </c>
      <c r="K89" s="16">
        <f t="shared" si="4"/>
        <v>581.5436237</v>
      </c>
      <c r="L89" s="16">
        <f t="shared" si="5"/>
        <v>521.9283763</v>
      </c>
      <c r="N89" s="17" t="str">
        <f t="shared" si="6"/>
        <v>F</v>
      </c>
      <c r="O89" s="17" t="str">
        <f t="shared" si="7"/>
        <v>T</v>
      </c>
      <c r="P89" s="8">
        <f t="shared" si="8"/>
        <v>0</v>
      </c>
      <c r="R89" s="17" t="str">
        <f t="shared" si="9"/>
        <v>T</v>
      </c>
      <c r="S89" s="3" t="str">
        <f t="shared" si="10"/>
        <v>F</v>
      </c>
      <c r="T89" s="8">
        <f t="shared" si="11"/>
        <v>-1</v>
      </c>
      <c r="V89" s="4">
        <f t="shared" si="12"/>
        <v>-1</v>
      </c>
      <c r="W89" s="8">
        <f t="shared" si="13"/>
        <v>30.27</v>
      </c>
      <c r="X89" s="8">
        <f t="shared" si="14"/>
        <v>-30.27</v>
      </c>
      <c r="Y89" s="8">
        <f t="shared" si="15"/>
        <v>-80.78</v>
      </c>
    </row>
    <row r="90">
      <c r="A90" s="2">
        <v>83.0</v>
      </c>
      <c r="B90" s="15">
        <f>IFERROR(__xludf.DUMMYFUNCTION("""COMPUTED_VALUE"""),42496.64583333333)</f>
        <v>42496.64583</v>
      </c>
      <c r="C90" s="8">
        <f>IFERROR(__xludf.DUMMYFUNCTION("""COMPUTED_VALUE"""),1167.8)</f>
        <v>1167.8</v>
      </c>
      <c r="E90" s="15">
        <f>IFERROR(__xludf.DUMMYFUNCTION("""COMPUTED_VALUE"""),42496.64583333333)</f>
        <v>42496.64583</v>
      </c>
      <c r="F90" s="8">
        <f>IFERROR(__xludf.DUMMYFUNCTION("""COMPUTED_VALUE"""),559.83)</f>
        <v>559.83</v>
      </c>
      <c r="H90" s="4">
        <f t="shared" si="1"/>
        <v>607.97</v>
      </c>
      <c r="I90" s="16">
        <f t="shared" si="2"/>
        <v>568.874</v>
      </c>
      <c r="J90" s="16">
        <f t="shared" si="3"/>
        <v>33.09089497</v>
      </c>
      <c r="K90" s="16">
        <f t="shared" si="4"/>
        <v>601.964895</v>
      </c>
      <c r="L90" s="16">
        <f t="shared" si="5"/>
        <v>535.783105</v>
      </c>
      <c r="N90" s="17" t="str">
        <f t="shared" si="6"/>
        <v>F</v>
      </c>
      <c r="O90" s="17" t="str">
        <f t="shared" si="7"/>
        <v>T</v>
      </c>
      <c r="P90" s="8">
        <f t="shared" si="8"/>
        <v>0</v>
      </c>
      <c r="R90" s="17" t="str">
        <f t="shared" si="9"/>
        <v>T</v>
      </c>
      <c r="S90" s="3" t="str">
        <f t="shared" si="10"/>
        <v>F</v>
      </c>
      <c r="T90" s="8">
        <f t="shared" si="11"/>
        <v>-1</v>
      </c>
      <c r="V90" s="4">
        <f t="shared" si="12"/>
        <v>-1</v>
      </c>
      <c r="W90" s="8">
        <f t="shared" si="13"/>
        <v>11.47</v>
      </c>
      <c r="X90" s="8">
        <f t="shared" si="14"/>
        <v>-11.47</v>
      </c>
      <c r="Y90" s="8">
        <f t="shared" si="15"/>
        <v>-92.25</v>
      </c>
    </row>
    <row r="91">
      <c r="A91" s="2">
        <v>84.0</v>
      </c>
      <c r="B91" s="15">
        <f>IFERROR(__xludf.DUMMYFUNCTION("""COMPUTED_VALUE"""),42499.64583333333)</f>
        <v>42499.64583</v>
      </c>
      <c r="C91" s="8">
        <f>IFERROR(__xludf.DUMMYFUNCTION("""COMPUTED_VALUE"""),1203.6)</f>
        <v>1203.6</v>
      </c>
      <c r="E91" s="15">
        <f>IFERROR(__xludf.DUMMYFUNCTION("""COMPUTED_VALUE"""),42499.64583333333)</f>
        <v>42499.64583</v>
      </c>
      <c r="F91" s="8">
        <f>IFERROR(__xludf.DUMMYFUNCTION("""COMPUTED_VALUE"""),570.7)</f>
        <v>570.7</v>
      </c>
      <c r="H91" s="4">
        <f t="shared" si="1"/>
        <v>632.9</v>
      </c>
      <c r="I91" s="16">
        <f t="shared" si="2"/>
        <v>588.84</v>
      </c>
      <c r="J91" s="16">
        <f t="shared" si="3"/>
        <v>36.0701601</v>
      </c>
      <c r="K91" s="16">
        <f t="shared" si="4"/>
        <v>624.9101601</v>
      </c>
      <c r="L91" s="16">
        <f t="shared" si="5"/>
        <v>552.7698399</v>
      </c>
      <c r="N91" s="17" t="str">
        <f t="shared" si="6"/>
        <v>F</v>
      </c>
      <c r="O91" s="17" t="str">
        <f t="shared" si="7"/>
        <v>T</v>
      </c>
      <c r="P91" s="8">
        <f t="shared" si="8"/>
        <v>0</v>
      </c>
      <c r="R91" s="17" t="str">
        <f t="shared" si="9"/>
        <v>T</v>
      </c>
      <c r="S91" s="3" t="str">
        <f t="shared" si="10"/>
        <v>F</v>
      </c>
      <c r="T91" s="8">
        <f t="shared" si="11"/>
        <v>-1</v>
      </c>
      <c r="V91" s="4">
        <f t="shared" si="12"/>
        <v>-1</v>
      </c>
      <c r="W91" s="8">
        <f t="shared" si="13"/>
        <v>24.93</v>
      </c>
      <c r="X91" s="8">
        <f t="shared" si="14"/>
        <v>-24.93</v>
      </c>
      <c r="Y91" s="8">
        <f t="shared" si="15"/>
        <v>-117.18</v>
      </c>
    </row>
    <row r="92">
      <c r="A92" s="2">
        <v>85.0</v>
      </c>
      <c r="B92" s="15">
        <f>IFERROR(__xludf.DUMMYFUNCTION("""COMPUTED_VALUE"""),42500.64583333333)</f>
        <v>42500.64583</v>
      </c>
      <c r="C92" s="8">
        <f>IFERROR(__xludf.DUMMYFUNCTION("""COMPUTED_VALUE"""),1218.55)</f>
        <v>1218.55</v>
      </c>
      <c r="E92" s="15">
        <f>IFERROR(__xludf.DUMMYFUNCTION("""COMPUTED_VALUE"""),42500.64583333333)</f>
        <v>42500.64583</v>
      </c>
      <c r="F92" s="8">
        <f>IFERROR(__xludf.DUMMYFUNCTION("""COMPUTED_VALUE"""),572.45)</f>
        <v>572.45</v>
      </c>
      <c r="H92" s="4">
        <f t="shared" si="1"/>
        <v>646.1</v>
      </c>
      <c r="I92" s="16">
        <f t="shared" si="2"/>
        <v>609.94</v>
      </c>
      <c r="J92" s="16">
        <f t="shared" si="3"/>
        <v>31.34400182</v>
      </c>
      <c r="K92" s="16">
        <f t="shared" si="4"/>
        <v>641.2840018</v>
      </c>
      <c r="L92" s="16">
        <f t="shared" si="5"/>
        <v>578.5959982</v>
      </c>
      <c r="N92" s="17" t="str">
        <f t="shared" si="6"/>
        <v>F</v>
      </c>
      <c r="O92" s="17" t="str">
        <f t="shared" si="7"/>
        <v>T</v>
      </c>
      <c r="P92" s="8">
        <f t="shared" si="8"/>
        <v>0</v>
      </c>
      <c r="R92" s="17" t="str">
        <f t="shared" si="9"/>
        <v>T</v>
      </c>
      <c r="S92" s="3" t="str">
        <f t="shared" si="10"/>
        <v>F</v>
      </c>
      <c r="T92" s="8">
        <f t="shared" si="11"/>
        <v>-1</v>
      </c>
      <c r="V92" s="4">
        <f t="shared" si="12"/>
        <v>-1</v>
      </c>
      <c r="W92" s="8">
        <f t="shared" si="13"/>
        <v>13.2</v>
      </c>
      <c r="X92" s="8">
        <f t="shared" si="14"/>
        <v>-13.2</v>
      </c>
      <c r="Y92" s="8">
        <f t="shared" si="15"/>
        <v>-130.38</v>
      </c>
    </row>
    <row r="93">
      <c r="A93" s="2">
        <v>86.0</v>
      </c>
      <c r="B93" s="15">
        <f>IFERROR(__xludf.DUMMYFUNCTION("""COMPUTED_VALUE"""),42501.64583333333)</f>
        <v>42501.64583</v>
      </c>
      <c r="C93" s="8">
        <f>IFERROR(__xludf.DUMMYFUNCTION("""COMPUTED_VALUE"""),1203.8)</f>
        <v>1203.8</v>
      </c>
      <c r="E93" s="15">
        <f>IFERROR(__xludf.DUMMYFUNCTION("""COMPUTED_VALUE"""),42501.64583333333)</f>
        <v>42501.64583</v>
      </c>
      <c r="F93" s="8">
        <f>IFERROR(__xludf.DUMMYFUNCTION("""COMPUTED_VALUE"""),569.4)</f>
        <v>569.4</v>
      </c>
      <c r="H93" s="4">
        <f t="shared" si="1"/>
        <v>634.4</v>
      </c>
      <c r="I93" s="16">
        <f t="shared" si="2"/>
        <v>623.574</v>
      </c>
      <c r="J93" s="16">
        <f t="shared" si="3"/>
        <v>20.54314679</v>
      </c>
      <c r="K93" s="16">
        <f t="shared" si="4"/>
        <v>644.1171468</v>
      </c>
      <c r="L93" s="16">
        <f t="shared" si="5"/>
        <v>603.0308532</v>
      </c>
      <c r="N93" s="17" t="str">
        <f t="shared" si="6"/>
        <v>F</v>
      </c>
      <c r="O93" s="17" t="str">
        <f t="shared" si="7"/>
        <v>T</v>
      </c>
      <c r="P93" s="8">
        <f t="shared" si="8"/>
        <v>0</v>
      </c>
      <c r="R93" s="17" t="str">
        <f t="shared" si="9"/>
        <v>F</v>
      </c>
      <c r="S93" s="3" t="str">
        <f t="shared" si="10"/>
        <v>F</v>
      </c>
      <c r="T93" s="8">
        <f t="shared" si="11"/>
        <v>-1</v>
      </c>
      <c r="V93" s="4">
        <f t="shared" si="12"/>
        <v>-1</v>
      </c>
      <c r="W93" s="8">
        <f t="shared" si="13"/>
        <v>-11.7</v>
      </c>
      <c r="X93" s="8">
        <f t="shared" si="14"/>
        <v>11.7</v>
      </c>
      <c r="Y93" s="8">
        <f t="shared" si="15"/>
        <v>-118.68</v>
      </c>
    </row>
    <row r="94">
      <c r="A94" s="2">
        <v>87.0</v>
      </c>
      <c r="B94" s="15">
        <f>IFERROR(__xludf.DUMMYFUNCTION("""COMPUTED_VALUE"""),42502.64583333333)</f>
        <v>42502.64583</v>
      </c>
      <c r="C94" s="8">
        <f>IFERROR(__xludf.DUMMYFUNCTION("""COMPUTED_VALUE"""),1195.85)</f>
        <v>1195.85</v>
      </c>
      <c r="E94" s="15">
        <f>IFERROR(__xludf.DUMMYFUNCTION("""COMPUTED_VALUE"""),42502.64583333333)</f>
        <v>42502.64583</v>
      </c>
      <c r="F94" s="8">
        <f>IFERROR(__xludf.DUMMYFUNCTION("""COMPUTED_VALUE"""),574.55)</f>
        <v>574.55</v>
      </c>
      <c r="H94" s="4">
        <f t="shared" si="1"/>
        <v>621.3</v>
      </c>
      <c r="I94" s="16">
        <f t="shared" si="2"/>
        <v>628.534</v>
      </c>
      <c r="J94" s="16">
        <f t="shared" si="3"/>
        <v>14.46759413</v>
      </c>
      <c r="K94" s="16">
        <f t="shared" si="4"/>
        <v>643.0015941</v>
      </c>
      <c r="L94" s="16">
        <f t="shared" si="5"/>
        <v>614.0664059</v>
      </c>
      <c r="N94" s="17" t="str">
        <f t="shared" si="6"/>
        <v>F</v>
      </c>
      <c r="O94" s="17" t="str">
        <f t="shared" si="7"/>
        <v>F</v>
      </c>
      <c r="P94" s="8">
        <f t="shared" si="8"/>
        <v>0</v>
      </c>
      <c r="R94" s="17" t="str">
        <f t="shared" si="9"/>
        <v>F</v>
      </c>
      <c r="S94" s="3" t="str">
        <f t="shared" si="10"/>
        <v>T</v>
      </c>
      <c r="T94" s="8">
        <f t="shared" si="11"/>
        <v>0</v>
      </c>
      <c r="V94" s="4">
        <f t="shared" si="12"/>
        <v>0</v>
      </c>
      <c r="W94" s="8">
        <f t="shared" si="13"/>
        <v>-13.1</v>
      </c>
      <c r="X94" s="8">
        <f t="shared" si="14"/>
        <v>13.1</v>
      </c>
      <c r="Y94" s="8">
        <f t="shared" si="15"/>
        <v>-105.58</v>
      </c>
    </row>
    <row r="95">
      <c r="A95" s="2">
        <v>88.0</v>
      </c>
      <c r="B95" s="15">
        <f>IFERROR(__xludf.DUMMYFUNCTION("""COMPUTED_VALUE"""),42503.64583333333)</f>
        <v>42503.64583</v>
      </c>
      <c r="C95" s="8">
        <f>IFERROR(__xludf.DUMMYFUNCTION("""COMPUTED_VALUE"""),1166.0)</f>
        <v>1166</v>
      </c>
      <c r="E95" s="15">
        <f>IFERROR(__xludf.DUMMYFUNCTION("""COMPUTED_VALUE"""),42503.64583333333)</f>
        <v>42503.64583</v>
      </c>
      <c r="F95" s="8">
        <f>IFERROR(__xludf.DUMMYFUNCTION("""COMPUTED_VALUE"""),570.45)</f>
        <v>570.45</v>
      </c>
      <c r="H95" s="4">
        <f t="shared" si="1"/>
        <v>595.55</v>
      </c>
      <c r="I95" s="16">
        <f t="shared" si="2"/>
        <v>626.05</v>
      </c>
      <c r="J95" s="16">
        <f t="shared" si="3"/>
        <v>19.17980709</v>
      </c>
      <c r="K95" s="16">
        <f t="shared" si="4"/>
        <v>645.2298071</v>
      </c>
      <c r="L95" s="16">
        <f t="shared" si="5"/>
        <v>606.8701929</v>
      </c>
      <c r="N95" s="17" t="str">
        <f t="shared" si="6"/>
        <v>T</v>
      </c>
      <c r="O95" s="17" t="str">
        <f t="shared" si="7"/>
        <v>F</v>
      </c>
      <c r="P95" s="8">
        <f t="shared" si="8"/>
        <v>1</v>
      </c>
      <c r="R95" s="17" t="str">
        <f t="shared" si="9"/>
        <v>F</v>
      </c>
      <c r="S95" s="3" t="str">
        <f t="shared" si="10"/>
        <v>T</v>
      </c>
      <c r="T95" s="8">
        <f t="shared" si="11"/>
        <v>0</v>
      </c>
      <c r="V95" s="4">
        <f t="shared" si="12"/>
        <v>1</v>
      </c>
      <c r="W95" s="8">
        <f t="shared" si="13"/>
        <v>-25.75</v>
      </c>
      <c r="X95" s="8">
        <f t="shared" si="14"/>
        <v>0</v>
      </c>
      <c r="Y95" s="8">
        <f t="shared" si="15"/>
        <v>-105.58</v>
      </c>
    </row>
    <row r="96">
      <c r="A96" s="2">
        <v>89.0</v>
      </c>
      <c r="B96" s="15">
        <f>IFERROR(__xludf.DUMMYFUNCTION("""COMPUTED_VALUE"""),42506.64583333333)</f>
        <v>42506.64583</v>
      </c>
      <c r="C96" s="8">
        <f>IFERROR(__xludf.DUMMYFUNCTION("""COMPUTED_VALUE"""),1186.45)</f>
        <v>1186.45</v>
      </c>
      <c r="E96" s="15">
        <f>IFERROR(__xludf.DUMMYFUNCTION("""COMPUTED_VALUE"""),42506.64583333333)</f>
        <v>42506.64583</v>
      </c>
      <c r="F96" s="8">
        <f>IFERROR(__xludf.DUMMYFUNCTION("""COMPUTED_VALUE"""),581.4)</f>
        <v>581.4</v>
      </c>
      <c r="H96" s="4">
        <f t="shared" si="1"/>
        <v>605.05</v>
      </c>
      <c r="I96" s="16">
        <f t="shared" si="2"/>
        <v>620.48</v>
      </c>
      <c r="J96" s="16">
        <f t="shared" si="3"/>
        <v>20.67856982</v>
      </c>
      <c r="K96" s="16">
        <f t="shared" si="4"/>
        <v>641.1585698</v>
      </c>
      <c r="L96" s="16">
        <f t="shared" si="5"/>
        <v>599.8014302</v>
      </c>
      <c r="N96" s="17" t="str">
        <f t="shared" si="6"/>
        <v>F</v>
      </c>
      <c r="O96" s="17" t="str">
        <f t="shared" si="7"/>
        <v>F</v>
      </c>
      <c r="P96" s="8">
        <f t="shared" si="8"/>
        <v>1</v>
      </c>
      <c r="R96" s="17" t="str">
        <f t="shared" si="9"/>
        <v>F</v>
      </c>
      <c r="S96" s="3" t="str">
        <f t="shared" si="10"/>
        <v>T</v>
      </c>
      <c r="T96" s="8">
        <f t="shared" si="11"/>
        <v>0</v>
      </c>
      <c r="V96" s="4">
        <f t="shared" si="12"/>
        <v>1</v>
      </c>
      <c r="W96" s="8">
        <f t="shared" si="13"/>
        <v>9.5</v>
      </c>
      <c r="X96" s="8">
        <f t="shared" si="14"/>
        <v>9.5</v>
      </c>
      <c r="Y96" s="8">
        <f t="shared" si="15"/>
        <v>-96.08</v>
      </c>
    </row>
    <row r="97">
      <c r="A97" s="2">
        <v>90.0</v>
      </c>
      <c r="B97" s="15">
        <f>IFERROR(__xludf.DUMMYFUNCTION("""COMPUTED_VALUE"""),42507.64583333333)</f>
        <v>42507.64583</v>
      </c>
      <c r="C97" s="8">
        <f>IFERROR(__xludf.DUMMYFUNCTION("""COMPUTED_VALUE"""),1217.85)</f>
        <v>1217.85</v>
      </c>
      <c r="E97" s="15">
        <f>IFERROR(__xludf.DUMMYFUNCTION("""COMPUTED_VALUE"""),42507.64583333333)</f>
        <v>42507.64583</v>
      </c>
      <c r="F97" s="8">
        <f>IFERROR(__xludf.DUMMYFUNCTION("""COMPUTED_VALUE"""),576.73)</f>
        <v>576.73</v>
      </c>
      <c r="H97" s="4">
        <f t="shared" si="1"/>
        <v>641.12</v>
      </c>
      <c r="I97" s="16">
        <f t="shared" si="2"/>
        <v>619.484</v>
      </c>
      <c r="J97" s="16">
        <f t="shared" si="3"/>
        <v>19.20337288</v>
      </c>
      <c r="K97" s="16">
        <f t="shared" si="4"/>
        <v>638.6873729</v>
      </c>
      <c r="L97" s="16">
        <f t="shared" si="5"/>
        <v>600.2806271</v>
      </c>
      <c r="N97" s="17" t="str">
        <f t="shared" si="6"/>
        <v>F</v>
      </c>
      <c r="O97" s="17" t="str">
        <f t="shared" si="7"/>
        <v>T</v>
      </c>
      <c r="P97" s="8">
        <f t="shared" si="8"/>
        <v>0</v>
      </c>
      <c r="R97" s="17" t="str">
        <f t="shared" si="9"/>
        <v>T</v>
      </c>
      <c r="S97" s="3" t="str">
        <f t="shared" si="10"/>
        <v>F</v>
      </c>
      <c r="T97" s="8">
        <f t="shared" si="11"/>
        <v>-1</v>
      </c>
      <c r="V97" s="4">
        <f t="shared" si="12"/>
        <v>-1</v>
      </c>
      <c r="W97" s="8">
        <f t="shared" si="13"/>
        <v>36.07</v>
      </c>
      <c r="X97" s="8">
        <f t="shared" si="14"/>
        <v>36.07</v>
      </c>
      <c r="Y97" s="8">
        <f t="shared" si="15"/>
        <v>-60.01</v>
      </c>
    </row>
    <row r="98">
      <c r="A98" s="2">
        <v>91.0</v>
      </c>
      <c r="B98" s="15">
        <f>IFERROR(__xludf.DUMMYFUNCTION("""COMPUTED_VALUE"""),42508.64583333333)</f>
        <v>42508.64583</v>
      </c>
      <c r="C98" s="8">
        <f>IFERROR(__xludf.DUMMYFUNCTION("""COMPUTED_VALUE"""),1208.2)</f>
        <v>1208.2</v>
      </c>
      <c r="E98" s="15">
        <f>IFERROR(__xludf.DUMMYFUNCTION("""COMPUTED_VALUE"""),42508.64583333333)</f>
        <v>42508.64583</v>
      </c>
      <c r="F98" s="8">
        <f>IFERROR(__xludf.DUMMYFUNCTION("""COMPUTED_VALUE"""),570.33)</f>
        <v>570.33</v>
      </c>
      <c r="H98" s="4">
        <f t="shared" si="1"/>
        <v>637.87</v>
      </c>
      <c r="I98" s="16">
        <f t="shared" si="2"/>
        <v>620.178</v>
      </c>
      <c r="J98" s="16">
        <f t="shared" si="3"/>
        <v>19.92628842</v>
      </c>
      <c r="K98" s="16">
        <f t="shared" si="4"/>
        <v>640.1042884</v>
      </c>
      <c r="L98" s="16">
        <f t="shared" si="5"/>
        <v>600.2517116</v>
      </c>
      <c r="N98" s="17" t="str">
        <f t="shared" si="6"/>
        <v>F</v>
      </c>
      <c r="O98" s="17" t="str">
        <f t="shared" si="7"/>
        <v>T</v>
      </c>
      <c r="P98" s="8">
        <f t="shared" si="8"/>
        <v>0</v>
      </c>
      <c r="R98" s="17" t="str">
        <f t="shared" si="9"/>
        <v>F</v>
      </c>
      <c r="S98" s="3" t="str">
        <f t="shared" si="10"/>
        <v>F</v>
      </c>
      <c r="T98" s="8">
        <f t="shared" si="11"/>
        <v>-1</v>
      </c>
      <c r="V98" s="4">
        <f t="shared" si="12"/>
        <v>-1</v>
      </c>
      <c r="W98" s="8">
        <f t="shared" si="13"/>
        <v>-3.25</v>
      </c>
      <c r="X98" s="8">
        <f t="shared" si="14"/>
        <v>3.25</v>
      </c>
      <c r="Y98" s="8">
        <f t="shared" si="15"/>
        <v>-56.76</v>
      </c>
    </row>
    <row r="99">
      <c r="A99" s="2">
        <v>92.0</v>
      </c>
      <c r="B99" s="15">
        <f>IFERROR(__xludf.DUMMYFUNCTION("""COMPUTED_VALUE"""),42509.64583333333)</f>
        <v>42509.64583</v>
      </c>
      <c r="C99" s="8">
        <f>IFERROR(__xludf.DUMMYFUNCTION("""COMPUTED_VALUE"""),1175.85)</f>
        <v>1175.85</v>
      </c>
      <c r="E99" s="15">
        <f>IFERROR(__xludf.DUMMYFUNCTION("""COMPUTED_VALUE"""),42509.64583333333)</f>
        <v>42509.64583</v>
      </c>
      <c r="F99" s="8">
        <f>IFERROR(__xludf.DUMMYFUNCTION("""COMPUTED_VALUE"""),569.65)</f>
        <v>569.65</v>
      </c>
      <c r="H99" s="4">
        <f t="shared" si="1"/>
        <v>606.2</v>
      </c>
      <c r="I99" s="16">
        <f t="shared" si="2"/>
        <v>617.158</v>
      </c>
      <c r="J99" s="16">
        <f t="shared" si="3"/>
        <v>20.83717519</v>
      </c>
      <c r="K99" s="16">
        <f t="shared" si="4"/>
        <v>637.9951752</v>
      </c>
      <c r="L99" s="16">
        <f t="shared" si="5"/>
        <v>596.3208248</v>
      </c>
      <c r="N99" s="17" t="str">
        <f t="shared" si="6"/>
        <v>F</v>
      </c>
      <c r="O99" s="17" t="str">
        <f t="shared" si="7"/>
        <v>F</v>
      </c>
      <c r="P99" s="8">
        <f t="shared" si="8"/>
        <v>0</v>
      </c>
      <c r="R99" s="17" t="str">
        <f t="shared" si="9"/>
        <v>F</v>
      </c>
      <c r="S99" s="3" t="str">
        <f t="shared" si="10"/>
        <v>T</v>
      </c>
      <c r="T99" s="8">
        <f t="shared" si="11"/>
        <v>0</v>
      </c>
      <c r="V99" s="4">
        <f t="shared" si="12"/>
        <v>0</v>
      </c>
      <c r="W99" s="8">
        <f t="shared" si="13"/>
        <v>-31.67</v>
      </c>
      <c r="X99" s="8">
        <f t="shared" si="14"/>
        <v>31.67</v>
      </c>
      <c r="Y99" s="8">
        <f t="shared" si="15"/>
        <v>-25.09</v>
      </c>
    </row>
    <row r="100">
      <c r="A100" s="2">
        <v>93.0</v>
      </c>
      <c r="B100" s="15">
        <f>IFERROR(__xludf.DUMMYFUNCTION("""COMPUTED_VALUE"""),42510.64583333333)</f>
        <v>42510.64583</v>
      </c>
      <c r="C100" s="8">
        <f>IFERROR(__xludf.DUMMYFUNCTION("""COMPUTED_VALUE"""),1179.55)</f>
        <v>1179.55</v>
      </c>
      <c r="E100" s="15">
        <f>IFERROR(__xludf.DUMMYFUNCTION("""COMPUTED_VALUE"""),42510.64583333333)</f>
        <v>42510.64583</v>
      </c>
      <c r="F100" s="8">
        <f>IFERROR(__xludf.DUMMYFUNCTION("""COMPUTED_VALUE"""),570.45)</f>
        <v>570.45</v>
      </c>
      <c r="H100" s="4">
        <f t="shared" si="1"/>
        <v>609.1</v>
      </c>
      <c r="I100" s="16">
        <f t="shared" si="2"/>
        <v>619.868</v>
      </c>
      <c r="J100" s="16">
        <f t="shared" si="3"/>
        <v>18.01427684</v>
      </c>
      <c r="K100" s="16">
        <f t="shared" si="4"/>
        <v>637.8822768</v>
      </c>
      <c r="L100" s="16">
        <f t="shared" si="5"/>
        <v>601.8537232</v>
      </c>
      <c r="N100" s="17" t="str">
        <f t="shared" si="6"/>
        <v>F</v>
      </c>
      <c r="O100" s="17" t="str">
        <f t="shared" si="7"/>
        <v>F</v>
      </c>
      <c r="P100" s="8">
        <f t="shared" si="8"/>
        <v>0</v>
      </c>
      <c r="R100" s="17" t="str">
        <f t="shared" si="9"/>
        <v>F</v>
      </c>
      <c r="S100" s="3" t="str">
        <f t="shared" si="10"/>
        <v>T</v>
      </c>
      <c r="T100" s="8">
        <f t="shared" si="11"/>
        <v>0</v>
      </c>
      <c r="V100" s="4">
        <f t="shared" si="12"/>
        <v>0</v>
      </c>
      <c r="W100" s="8">
        <f t="shared" si="13"/>
        <v>2.9</v>
      </c>
      <c r="X100" s="8">
        <f t="shared" si="14"/>
        <v>0</v>
      </c>
      <c r="Y100" s="8">
        <f t="shared" si="15"/>
        <v>-25.09</v>
      </c>
    </row>
    <row r="101">
      <c r="A101" s="2">
        <v>94.0</v>
      </c>
      <c r="B101" s="15">
        <f>IFERROR(__xludf.DUMMYFUNCTION("""COMPUTED_VALUE"""),42513.64583333333)</f>
        <v>42513.64583</v>
      </c>
      <c r="C101" s="8">
        <f>IFERROR(__xludf.DUMMYFUNCTION("""COMPUTED_VALUE"""),1160.25)</f>
        <v>1160.25</v>
      </c>
      <c r="E101" s="15">
        <f>IFERROR(__xludf.DUMMYFUNCTION("""COMPUTED_VALUE"""),42513.64583333333)</f>
        <v>42513.64583</v>
      </c>
      <c r="F101" s="8">
        <f>IFERROR(__xludf.DUMMYFUNCTION("""COMPUTED_VALUE"""),568.38)</f>
        <v>568.38</v>
      </c>
      <c r="H101" s="4">
        <f t="shared" si="1"/>
        <v>591.87</v>
      </c>
      <c r="I101" s="16">
        <f t="shared" si="2"/>
        <v>617.232</v>
      </c>
      <c r="J101" s="16">
        <f t="shared" si="3"/>
        <v>21.37538935</v>
      </c>
      <c r="K101" s="16">
        <f t="shared" si="4"/>
        <v>638.6073894</v>
      </c>
      <c r="L101" s="16">
        <f t="shared" si="5"/>
        <v>595.8566106</v>
      </c>
      <c r="N101" s="17" t="str">
        <f t="shared" si="6"/>
        <v>T</v>
      </c>
      <c r="O101" s="17" t="str">
        <f t="shared" si="7"/>
        <v>F</v>
      </c>
      <c r="P101" s="8">
        <f t="shared" si="8"/>
        <v>1</v>
      </c>
      <c r="R101" s="17" t="str">
        <f t="shared" si="9"/>
        <v>F</v>
      </c>
      <c r="S101" s="3" t="str">
        <f t="shared" si="10"/>
        <v>T</v>
      </c>
      <c r="T101" s="8">
        <f t="shared" si="11"/>
        <v>0</v>
      </c>
      <c r="V101" s="4">
        <f t="shared" si="12"/>
        <v>1</v>
      </c>
      <c r="W101" s="8">
        <f t="shared" si="13"/>
        <v>-17.23</v>
      </c>
      <c r="X101" s="8">
        <f t="shared" si="14"/>
        <v>0</v>
      </c>
      <c r="Y101" s="8">
        <f t="shared" si="15"/>
        <v>-25.09</v>
      </c>
    </row>
    <row r="102">
      <c r="A102" s="2">
        <v>95.0</v>
      </c>
      <c r="B102" s="15">
        <f>IFERROR(__xludf.DUMMYFUNCTION("""COMPUTED_VALUE"""),42514.64583333333)</f>
        <v>42514.64583</v>
      </c>
      <c r="C102" s="8">
        <f>IFERROR(__xludf.DUMMYFUNCTION("""COMPUTED_VALUE"""),1172.75)</f>
        <v>1172.75</v>
      </c>
      <c r="E102" s="15">
        <f>IFERROR(__xludf.DUMMYFUNCTION("""COMPUTED_VALUE"""),42514.64583333333)</f>
        <v>42514.64583</v>
      </c>
      <c r="F102" s="8">
        <f>IFERROR(__xludf.DUMMYFUNCTION("""COMPUTED_VALUE"""),569.98)</f>
        <v>569.98</v>
      </c>
      <c r="H102" s="4">
        <f t="shared" si="1"/>
        <v>602.77</v>
      </c>
      <c r="I102" s="16">
        <f t="shared" si="2"/>
        <v>609.562</v>
      </c>
      <c r="J102" s="16">
        <f t="shared" si="3"/>
        <v>17.11722437</v>
      </c>
      <c r="K102" s="16">
        <f t="shared" si="4"/>
        <v>626.6792244</v>
      </c>
      <c r="L102" s="16">
        <f t="shared" si="5"/>
        <v>592.4447756</v>
      </c>
      <c r="N102" s="17" t="str">
        <f t="shared" si="6"/>
        <v>F</v>
      </c>
      <c r="O102" s="17" t="str">
        <f t="shared" si="7"/>
        <v>F</v>
      </c>
      <c r="P102" s="8">
        <f t="shared" si="8"/>
        <v>1</v>
      </c>
      <c r="R102" s="17" t="str">
        <f t="shared" si="9"/>
        <v>F</v>
      </c>
      <c r="S102" s="3" t="str">
        <f t="shared" si="10"/>
        <v>T</v>
      </c>
      <c r="T102" s="8">
        <f t="shared" si="11"/>
        <v>0</v>
      </c>
      <c r="V102" s="4">
        <f t="shared" si="12"/>
        <v>1</v>
      </c>
      <c r="W102" s="8">
        <f t="shared" si="13"/>
        <v>10.9</v>
      </c>
      <c r="X102" s="8">
        <f t="shared" si="14"/>
        <v>10.9</v>
      </c>
      <c r="Y102" s="8">
        <f t="shared" si="15"/>
        <v>-14.19</v>
      </c>
    </row>
    <row r="103">
      <c r="A103" s="2">
        <v>96.0</v>
      </c>
      <c r="B103" s="15">
        <f>IFERROR(__xludf.DUMMYFUNCTION("""COMPUTED_VALUE"""),42515.64583333333)</f>
        <v>42515.64583</v>
      </c>
      <c r="C103" s="8">
        <f>IFERROR(__xludf.DUMMYFUNCTION("""COMPUTED_VALUE"""),1207.05)</f>
        <v>1207.05</v>
      </c>
      <c r="E103" s="15">
        <f>IFERROR(__xludf.DUMMYFUNCTION("""COMPUTED_VALUE"""),42515.64583333333)</f>
        <v>42515.64583</v>
      </c>
      <c r="F103" s="8">
        <f>IFERROR(__xludf.DUMMYFUNCTION("""COMPUTED_VALUE"""),586.65)</f>
        <v>586.65</v>
      </c>
      <c r="H103" s="4">
        <f t="shared" si="1"/>
        <v>620.4</v>
      </c>
      <c r="I103" s="16">
        <f t="shared" si="2"/>
        <v>606.068</v>
      </c>
      <c r="J103" s="16">
        <f t="shared" si="3"/>
        <v>10.33291682</v>
      </c>
      <c r="K103" s="16">
        <f t="shared" si="4"/>
        <v>616.4009168</v>
      </c>
      <c r="L103" s="16">
        <f t="shared" si="5"/>
        <v>595.7350832</v>
      </c>
      <c r="N103" s="17" t="str">
        <f t="shared" si="6"/>
        <v>F</v>
      </c>
      <c r="O103" s="17" t="str">
        <f t="shared" si="7"/>
        <v>T</v>
      </c>
      <c r="P103" s="8">
        <f t="shared" si="8"/>
        <v>0</v>
      </c>
      <c r="R103" s="17" t="str">
        <f t="shared" si="9"/>
        <v>T</v>
      </c>
      <c r="S103" s="3" t="str">
        <f t="shared" si="10"/>
        <v>F</v>
      </c>
      <c r="T103" s="8">
        <f t="shared" si="11"/>
        <v>-1</v>
      </c>
      <c r="V103" s="4">
        <f t="shared" si="12"/>
        <v>-1</v>
      </c>
      <c r="W103" s="8">
        <f t="shared" si="13"/>
        <v>17.63</v>
      </c>
      <c r="X103" s="8">
        <f t="shared" si="14"/>
        <v>17.63</v>
      </c>
      <c r="Y103" s="8">
        <f t="shared" si="15"/>
        <v>3.44</v>
      </c>
    </row>
    <row r="104">
      <c r="A104" s="2">
        <v>97.0</v>
      </c>
      <c r="B104" s="15">
        <f>IFERROR(__xludf.DUMMYFUNCTION("""COMPUTED_VALUE"""),42516.64583333333)</f>
        <v>42516.64583</v>
      </c>
      <c r="C104" s="8">
        <f>IFERROR(__xludf.DUMMYFUNCTION("""COMPUTED_VALUE"""),1228.25)</f>
        <v>1228.25</v>
      </c>
      <c r="E104" s="15">
        <f>IFERROR(__xludf.DUMMYFUNCTION("""COMPUTED_VALUE"""),42516.64583333333)</f>
        <v>42516.64583</v>
      </c>
      <c r="F104" s="8">
        <f>IFERROR(__xludf.DUMMYFUNCTION("""COMPUTED_VALUE"""),591.63)</f>
        <v>591.63</v>
      </c>
      <c r="H104" s="4">
        <f t="shared" si="1"/>
        <v>636.62</v>
      </c>
      <c r="I104" s="16">
        <f t="shared" si="2"/>
        <v>612.152</v>
      </c>
      <c r="J104" s="16">
        <f t="shared" si="3"/>
        <v>17.14211685</v>
      </c>
      <c r="K104" s="16">
        <f t="shared" si="4"/>
        <v>629.2941168</v>
      </c>
      <c r="L104" s="16">
        <f t="shared" si="5"/>
        <v>595.0098832</v>
      </c>
      <c r="N104" s="17" t="str">
        <f t="shared" si="6"/>
        <v>F</v>
      </c>
      <c r="O104" s="17" t="str">
        <f t="shared" si="7"/>
        <v>T</v>
      </c>
      <c r="P104" s="8">
        <f t="shared" si="8"/>
        <v>0</v>
      </c>
      <c r="R104" s="17" t="str">
        <f t="shared" si="9"/>
        <v>T</v>
      </c>
      <c r="S104" s="3" t="str">
        <f t="shared" si="10"/>
        <v>F</v>
      </c>
      <c r="T104" s="8">
        <f t="shared" si="11"/>
        <v>-1</v>
      </c>
      <c r="V104" s="4">
        <f t="shared" si="12"/>
        <v>-1</v>
      </c>
      <c r="W104" s="8">
        <f t="shared" si="13"/>
        <v>16.22</v>
      </c>
      <c r="X104" s="8">
        <f t="shared" si="14"/>
        <v>-16.22</v>
      </c>
      <c r="Y104" s="8">
        <f t="shared" si="15"/>
        <v>-12.78</v>
      </c>
    </row>
    <row r="105">
      <c r="A105" s="2">
        <v>98.0</v>
      </c>
      <c r="B105" s="15">
        <f>IFERROR(__xludf.DUMMYFUNCTION("""COMPUTED_VALUE"""),42517.64583333333)</f>
        <v>42517.64583</v>
      </c>
      <c r="C105" s="8">
        <f>IFERROR(__xludf.DUMMYFUNCTION("""COMPUTED_VALUE"""),1255.55)</f>
        <v>1255.55</v>
      </c>
      <c r="E105" s="15">
        <f>IFERROR(__xludf.DUMMYFUNCTION("""COMPUTED_VALUE"""),42517.64583333333)</f>
        <v>42517.64583</v>
      </c>
      <c r="F105" s="8">
        <f>IFERROR(__xludf.DUMMYFUNCTION("""COMPUTED_VALUE"""),593.4)</f>
        <v>593.4</v>
      </c>
      <c r="H105" s="4">
        <f t="shared" si="1"/>
        <v>662.15</v>
      </c>
      <c r="I105" s="16">
        <f t="shared" si="2"/>
        <v>622.762</v>
      </c>
      <c r="J105" s="16">
        <f t="shared" si="3"/>
        <v>27.85243921</v>
      </c>
      <c r="K105" s="16">
        <f t="shared" si="4"/>
        <v>650.6144392</v>
      </c>
      <c r="L105" s="16">
        <f t="shared" si="5"/>
        <v>594.9095608</v>
      </c>
      <c r="N105" s="17" t="str">
        <f t="shared" si="6"/>
        <v>F</v>
      </c>
      <c r="O105" s="17" t="str">
        <f t="shared" si="7"/>
        <v>T</v>
      </c>
      <c r="P105" s="8">
        <f t="shared" si="8"/>
        <v>0</v>
      </c>
      <c r="R105" s="17" t="str">
        <f t="shared" si="9"/>
        <v>T</v>
      </c>
      <c r="S105" s="3" t="str">
        <f t="shared" si="10"/>
        <v>F</v>
      </c>
      <c r="T105" s="8">
        <f t="shared" si="11"/>
        <v>-1</v>
      </c>
      <c r="V105" s="4">
        <f t="shared" si="12"/>
        <v>-1</v>
      </c>
      <c r="W105" s="8">
        <f t="shared" si="13"/>
        <v>25.53</v>
      </c>
      <c r="X105" s="8">
        <f t="shared" si="14"/>
        <v>-25.53</v>
      </c>
      <c r="Y105" s="8">
        <f t="shared" si="15"/>
        <v>-38.31</v>
      </c>
    </row>
    <row r="106">
      <c r="A106" s="2">
        <v>99.0</v>
      </c>
      <c r="B106" s="15">
        <f>IFERROR(__xludf.DUMMYFUNCTION("""COMPUTED_VALUE"""),42520.64583333333)</f>
        <v>42520.64583</v>
      </c>
      <c r="C106" s="8">
        <f>IFERROR(__xludf.DUMMYFUNCTION("""COMPUTED_VALUE"""),1233.95)</f>
        <v>1233.95</v>
      </c>
      <c r="E106" s="15">
        <f>IFERROR(__xludf.DUMMYFUNCTION("""COMPUTED_VALUE"""),42520.64583333333)</f>
        <v>42520.64583</v>
      </c>
      <c r="F106" s="8">
        <f>IFERROR(__xludf.DUMMYFUNCTION("""COMPUTED_VALUE"""),589.88)</f>
        <v>589.88</v>
      </c>
      <c r="H106" s="4">
        <f t="shared" si="1"/>
        <v>644.07</v>
      </c>
      <c r="I106" s="16">
        <f t="shared" si="2"/>
        <v>633.202</v>
      </c>
      <c r="J106" s="16">
        <f t="shared" si="3"/>
        <v>22.68138378</v>
      </c>
      <c r="K106" s="16">
        <f t="shared" si="4"/>
        <v>655.8833838</v>
      </c>
      <c r="L106" s="16">
        <f t="shared" si="5"/>
        <v>610.5206162</v>
      </c>
      <c r="N106" s="17" t="str">
        <f t="shared" si="6"/>
        <v>F</v>
      </c>
      <c r="O106" s="17" t="str">
        <f t="shared" si="7"/>
        <v>T</v>
      </c>
      <c r="P106" s="8">
        <f t="shared" si="8"/>
        <v>0</v>
      </c>
      <c r="R106" s="17" t="str">
        <f t="shared" si="9"/>
        <v>F</v>
      </c>
      <c r="S106" s="3" t="str">
        <f t="shared" si="10"/>
        <v>F</v>
      </c>
      <c r="T106" s="8">
        <f t="shared" si="11"/>
        <v>-1</v>
      </c>
      <c r="V106" s="4">
        <f t="shared" si="12"/>
        <v>-1</v>
      </c>
      <c r="W106" s="8">
        <f t="shared" si="13"/>
        <v>-18.08</v>
      </c>
      <c r="X106" s="8">
        <f t="shared" si="14"/>
        <v>18.08</v>
      </c>
      <c r="Y106" s="8">
        <f t="shared" si="15"/>
        <v>-20.23</v>
      </c>
    </row>
    <row r="107">
      <c r="A107" s="2">
        <v>100.0</v>
      </c>
      <c r="B107" s="15">
        <f>IFERROR(__xludf.DUMMYFUNCTION("""COMPUTED_VALUE"""),42521.64583333333)</f>
        <v>42521.64583</v>
      </c>
      <c r="C107" s="8">
        <f>IFERROR(__xludf.DUMMYFUNCTION("""COMPUTED_VALUE"""),1237.7)</f>
        <v>1237.7</v>
      </c>
      <c r="E107" s="15">
        <f>IFERROR(__xludf.DUMMYFUNCTION("""COMPUTED_VALUE"""),42521.64583333333)</f>
        <v>42521.64583</v>
      </c>
      <c r="F107" s="8">
        <f>IFERROR(__xludf.DUMMYFUNCTION("""COMPUTED_VALUE"""),590.95)</f>
        <v>590.95</v>
      </c>
      <c r="H107" s="4">
        <f t="shared" si="1"/>
        <v>646.75</v>
      </c>
      <c r="I107" s="16">
        <f t="shared" si="2"/>
        <v>641.998</v>
      </c>
      <c r="J107" s="16">
        <f t="shared" si="3"/>
        <v>15.23461749</v>
      </c>
      <c r="K107" s="16">
        <f t="shared" si="4"/>
        <v>657.2326175</v>
      </c>
      <c r="L107" s="16">
        <f t="shared" si="5"/>
        <v>626.7633825</v>
      </c>
      <c r="N107" s="17" t="str">
        <f t="shared" si="6"/>
        <v>F</v>
      </c>
      <c r="O107" s="17" t="str">
        <f t="shared" si="7"/>
        <v>T</v>
      </c>
      <c r="P107" s="8">
        <f t="shared" si="8"/>
        <v>0</v>
      </c>
      <c r="R107" s="17" t="str">
        <f t="shared" si="9"/>
        <v>F</v>
      </c>
      <c r="S107" s="3" t="str">
        <f t="shared" si="10"/>
        <v>F</v>
      </c>
      <c r="T107" s="8">
        <f t="shared" si="11"/>
        <v>-1</v>
      </c>
      <c r="V107" s="4">
        <f t="shared" si="12"/>
        <v>-1</v>
      </c>
      <c r="W107" s="8">
        <f t="shared" si="13"/>
        <v>2.68</v>
      </c>
      <c r="X107" s="8">
        <f t="shared" si="14"/>
        <v>-2.68</v>
      </c>
      <c r="Y107" s="8">
        <f t="shared" si="15"/>
        <v>-22.91</v>
      </c>
    </row>
    <row r="108">
      <c r="A108" s="2">
        <v>101.0</v>
      </c>
      <c r="B108" s="15">
        <f>IFERROR(__xludf.DUMMYFUNCTION("""COMPUTED_VALUE"""),42522.64583333333)</f>
        <v>42522.64583</v>
      </c>
      <c r="C108" s="8">
        <f>IFERROR(__xludf.DUMMYFUNCTION("""COMPUTED_VALUE"""),1243.25)</f>
        <v>1243.25</v>
      </c>
      <c r="E108" s="15">
        <f>IFERROR(__xludf.DUMMYFUNCTION("""COMPUTED_VALUE"""),42522.64583333333)</f>
        <v>42522.64583</v>
      </c>
      <c r="F108" s="8">
        <f>IFERROR(__xludf.DUMMYFUNCTION("""COMPUTED_VALUE"""),587.58)</f>
        <v>587.58</v>
      </c>
      <c r="H108" s="4">
        <f t="shared" si="1"/>
        <v>655.67</v>
      </c>
      <c r="I108" s="16">
        <f t="shared" si="2"/>
        <v>649.052</v>
      </c>
      <c r="J108" s="16">
        <f t="shared" si="3"/>
        <v>10.00037099</v>
      </c>
      <c r="K108" s="16">
        <f t="shared" si="4"/>
        <v>659.052371</v>
      </c>
      <c r="L108" s="16">
        <f t="shared" si="5"/>
        <v>639.051629</v>
      </c>
      <c r="N108" s="17" t="str">
        <f t="shared" si="6"/>
        <v>F</v>
      </c>
      <c r="O108" s="17" t="str">
        <f t="shared" si="7"/>
        <v>T</v>
      </c>
      <c r="P108" s="8">
        <f t="shared" si="8"/>
        <v>0</v>
      </c>
      <c r="R108" s="17" t="str">
        <f t="shared" si="9"/>
        <v>F</v>
      </c>
      <c r="S108" s="3" t="str">
        <f t="shared" si="10"/>
        <v>F</v>
      </c>
      <c r="T108" s="8">
        <f t="shared" si="11"/>
        <v>-1</v>
      </c>
      <c r="V108" s="4">
        <f t="shared" si="12"/>
        <v>-1</v>
      </c>
      <c r="W108" s="8">
        <f t="shared" si="13"/>
        <v>8.92</v>
      </c>
      <c r="X108" s="8">
        <f t="shared" si="14"/>
        <v>-8.92</v>
      </c>
      <c r="Y108" s="8">
        <f t="shared" si="15"/>
        <v>-31.83</v>
      </c>
    </row>
    <row r="109">
      <c r="A109" s="2">
        <v>102.0</v>
      </c>
      <c r="B109" s="15">
        <f>IFERROR(__xludf.DUMMYFUNCTION("""COMPUTED_VALUE"""),42523.64583333333)</f>
        <v>42523.64583</v>
      </c>
      <c r="C109" s="8">
        <f>IFERROR(__xludf.DUMMYFUNCTION("""COMPUTED_VALUE"""),1260.55)</f>
        <v>1260.55</v>
      </c>
      <c r="E109" s="15">
        <f>IFERROR(__xludf.DUMMYFUNCTION("""COMPUTED_VALUE"""),42523.64583333333)</f>
        <v>42523.64583</v>
      </c>
      <c r="F109" s="8">
        <f>IFERROR(__xludf.DUMMYFUNCTION("""COMPUTED_VALUE"""),587.48)</f>
        <v>587.48</v>
      </c>
      <c r="H109" s="4">
        <f t="shared" si="1"/>
        <v>673.07</v>
      </c>
      <c r="I109" s="16">
        <f t="shared" si="2"/>
        <v>656.342</v>
      </c>
      <c r="J109" s="16">
        <f t="shared" si="3"/>
        <v>11.79638589</v>
      </c>
      <c r="K109" s="16">
        <f t="shared" si="4"/>
        <v>668.1383859</v>
      </c>
      <c r="L109" s="16">
        <f t="shared" si="5"/>
        <v>644.5456141</v>
      </c>
      <c r="N109" s="17" t="str">
        <f t="shared" si="6"/>
        <v>F</v>
      </c>
      <c r="O109" s="17" t="str">
        <f t="shared" si="7"/>
        <v>T</v>
      </c>
      <c r="P109" s="8">
        <f t="shared" si="8"/>
        <v>0</v>
      </c>
      <c r="R109" s="17" t="str">
        <f t="shared" si="9"/>
        <v>T</v>
      </c>
      <c r="S109" s="3" t="str">
        <f t="shared" si="10"/>
        <v>F</v>
      </c>
      <c r="T109" s="8">
        <f t="shared" si="11"/>
        <v>-1</v>
      </c>
      <c r="V109" s="4">
        <f t="shared" si="12"/>
        <v>-1</v>
      </c>
      <c r="W109" s="8">
        <f t="shared" si="13"/>
        <v>17.4</v>
      </c>
      <c r="X109" s="8">
        <f t="shared" si="14"/>
        <v>-17.4</v>
      </c>
      <c r="Y109" s="8">
        <f t="shared" si="15"/>
        <v>-49.23</v>
      </c>
    </row>
    <row r="110">
      <c r="A110" s="2">
        <v>103.0</v>
      </c>
      <c r="B110" s="15">
        <f>IFERROR(__xludf.DUMMYFUNCTION("""COMPUTED_VALUE"""),42524.64583333333)</f>
        <v>42524.64583</v>
      </c>
      <c r="C110" s="8">
        <f>IFERROR(__xludf.DUMMYFUNCTION("""COMPUTED_VALUE"""),1254.9)</f>
        <v>1254.9</v>
      </c>
      <c r="E110" s="15">
        <f>IFERROR(__xludf.DUMMYFUNCTION("""COMPUTED_VALUE"""),42524.64583333333)</f>
        <v>42524.64583</v>
      </c>
      <c r="F110" s="8">
        <f>IFERROR(__xludf.DUMMYFUNCTION("""COMPUTED_VALUE"""),585.88)</f>
        <v>585.88</v>
      </c>
      <c r="H110" s="4">
        <f t="shared" si="1"/>
        <v>669.02</v>
      </c>
      <c r="I110" s="16">
        <f t="shared" si="2"/>
        <v>657.716</v>
      </c>
      <c r="J110" s="16">
        <f t="shared" si="3"/>
        <v>12.98247203</v>
      </c>
      <c r="K110" s="16">
        <f t="shared" si="4"/>
        <v>670.698472</v>
      </c>
      <c r="L110" s="16">
        <f t="shared" si="5"/>
        <v>644.733528</v>
      </c>
      <c r="N110" s="17" t="str">
        <f t="shared" si="6"/>
        <v>F</v>
      </c>
      <c r="O110" s="17" t="str">
        <f t="shared" si="7"/>
        <v>T</v>
      </c>
      <c r="P110" s="8">
        <f t="shared" si="8"/>
        <v>0</v>
      </c>
      <c r="R110" s="17" t="str">
        <f t="shared" si="9"/>
        <v>F</v>
      </c>
      <c r="S110" s="3" t="str">
        <f t="shared" si="10"/>
        <v>F</v>
      </c>
      <c r="T110" s="8">
        <f t="shared" si="11"/>
        <v>-1</v>
      </c>
      <c r="V110" s="4">
        <f t="shared" si="12"/>
        <v>-1</v>
      </c>
      <c r="W110" s="8">
        <f t="shared" si="13"/>
        <v>-4.05</v>
      </c>
      <c r="X110" s="8">
        <f t="shared" si="14"/>
        <v>4.05</v>
      </c>
      <c r="Y110" s="8">
        <f t="shared" si="15"/>
        <v>-45.18</v>
      </c>
    </row>
    <row r="111">
      <c r="A111" s="2">
        <v>104.0</v>
      </c>
      <c r="B111" s="15">
        <f>IFERROR(__xludf.DUMMYFUNCTION("""COMPUTED_VALUE"""),42527.64583333333)</f>
        <v>42527.64583</v>
      </c>
      <c r="C111" s="8">
        <f>IFERROR(__xludf.DUMMYFUNCTION("""COMPUTED_VALUE"""),1251.65)</f>
        <v>1251.65</v>
      </c>
      <c r="E111" s="15">
        <f>IFERROR(__xludf.DUMMYFUNCTION("""COMPUTED_VALUE"""),42527.64583333333)</f>
        <v>42527.64583</v>
      </c>
      <c r="F111" s="8">
        <f>IFERROR(__xludf.DUMMYFUNCTION("""COMPUTED_VALUE"""),585.55)</f>
        <v>585.55</v>
      </c>
      <c r="H111" s="4">
        <f t="shared" si="1"/>
        <v>666.1</v>
      </c>
      <c r="I111" s="16">
        <f t="shared" si="2"/>
        <v>662.122</v>
      </c>
      <c r="J111" s="16">
        <f t="shared" si="3"/>
        <v>10.73769389</v>
      </c>
      <c r="K111" s="16">
        <f t="shared" si="4"/>
        <v>672.8596939</v>
      </c>
      <c r="L111" s="16">
        <f t="shared" si="5"/>
        <v>651.3843061</v>
      </c>
      <c r="N111" s="17" t="str">
        <f t="shared" si="6"/>
        <v>F</v>
      </c>
      <c r="O111" s="17" t="str">
        <f t="shared" si="7"/>
        <v>T</v>
      </c>
      <c r="P111" s="8">
        <f t="shared" si="8"/>
        <v>0</v>
      </c>
      <c r="R111" s="17" t="str">
        <f t="shared" si="9"/>
        <v>F</v>
      </c>
      <c r="S111" s="3" t="str">
        <f t="shared" si="10"/>
        <v>F</v>
      </c>
      <c r="T111" s="8">
        <f t="shared" si="11"/>
        <v>-1</v>
      </c>
      <c r="V111" s="4">
        <f t="shared" si="12"/>
        <v>-1</v>
      </c>
      <c r="W111" s="8">
        <f t="shared" si="13"/>
        <v>-2.92</v>
      </c>
      <c r="X111" s="8">
        <f t="shared" si="14"/>
        <v>2.92</v>
      </c>
      <c r="Y111" s="8">
        <f t="shared" si="15"/>
        <v>-42.26</v>
      </c>
    </row>
    <row r="112">
      <c r="A112" s="2">
        <v>105.0</v>
      </c>
      <c r="B112" s="15">
        <f>IFERROR(__xludf.DUMMYFUNCTION("""COMPUTED_VALUE"""),42528.64583333333)</f>
        <v>42528.64583</v>
      </c>
      <c r="C112" s="8">
        <f>IFERROR(__xludf.DUMMYFUNCTION("""COMPUTED_VALUE"""),1251.3)</f>
        <v>1251.3</v>
      </c>
      <c r="E112" s="15">
        <f>IFERROR(__xludf.DUMMYFUNCTION("""COMPUTED_VALUE"""),42528.64583333333)</f>
        <v>42528.64583</v>
      </c>
      <c r="F112" s="8">
        <f>IFERROR(__xludf.DUMMYFUNCTION("""COMPUTED_VALUE"""),586.85)</f>
        <v>586.85</v>
      </c>
      <c r="H112" s="4">
        <f t="shared" si="1"/>
        <v>664.45</v>
      </c>
      <c r="I112" s="16">
        <f t="shared" si="2"/>
        <v>665.662</v>
      </c>
      <c r="J112" s="16">
        <f t="shared" si="3"/>
        <v>6.474092214</v>
      </c>
      <c r="K112" s="16">
        <f t="shared" si="4"/>
        <v>672.1360922</v>
      </c>
      <c r="L112" s="16">
        <f t="shared" si="5"/>
        <v>659.1879078</v>
      </c>
      <c r="N112" s="17" t="str">
        <f t="shared" si="6"/>
        <v>F</v>
      </c>
      <c r="O112" s="17" t="str">
        <f t="shared" si="7"/>
        <v>F</v>
      </c>
      <c r="P112" s="8">
        <f t="shared" si="8"/>
        <v>0</v>
      </c>
      <c r="R112" s="17" t="str">
        <f t="shared" si="9"/>
        <v>F</v>
      </c>
      <c r="S112" s="3" t="str">
        <f t="shared" si="10"/>
        <v>T</v>
      </c>
      <c r="T112" s="8">
        <f t="shared" si="11"/>
        <v>0</v>
      </c>
      <c r="V112" s="4">
        <f t="shared" si="12"/>
        <v>0</v>
      </c>
      <c r="W112" s="8">
        <f t="shared" si="13"/>
        <v>-1.65</v>
      </c>
      <c r="X112" s="8">
        <f t="shared" si="14"/>
        <v>1.65</v>
      </c>
      <c r="Y112" s="8">
        <f t="shared" si="15"/>
        <v>-40.61</v>
      </c>
    </row>
    <row r="113">
      <c r="A113" s="2">
        <v>106.0</v>
      </c>
      <c r="B113" s="15">
        <f>IFERROR(__xludf.DUMMYFUNCTION("""COMPUTED_VALUE"""),42529.64583333333)</f>
        <v>42529.64583</v>
      </c>
      <c r="C113" s="8">
        <f>IFERROR(__xludf.DUMMYFUNCTION("""COMPUTED_VALUE"""),1262.5)</f>
        <v>1262.5</v>
      </c>
      <c r="E113" s="15">
        <f>IFERROR(__xludf.DUMMYFUNCTION("""COMPUTED_VALUE"""),42529.64583333333)</f>
        <v>42529.64583</v>
      </c>
      <c r="F113" s="8">
        <f>IFERROR(__xludf.DUMMYFUNCTION("""COMPUTED_VALUE"""),581.3)</f>
        <v>581.3</v>
      </c>
      <c r="H113" s="4">
        <f t="shared" si="1"/>
        <v>681.2</v>
      </c>
      <c r="I113" s="16">
        <f t="shared" si="2"/>
        <v>670.768</v>
      </c>
      <c r="J113" s="16">
        <f t="shared" si="3"/>
        <v>6.687463645</v>
      </c>
      <c r="K113" s="16">
        <f t="shared" si="4"/>
        <v>677.4554636</v>
      </c>
      <c r="L113" s="16">
        <f t="shared" si="5"/>
        <v>664.0805364</v>
      </c>
      <c r="N113" s="17" t="str">
        <f t="shared" si="6"/>
        <v>F</v>
      </c>
      <c r="O113" s="17" t="str">
        <f t="shared" si="7"/>
        <v>T</v>
      </c>
      <c r="P113" s="8">
        <f t="shared" si="8"/>
        <v>0</v>
      </c>
      <c r="R113" s="17" t="str">
        <f t="shared" si="9"/>
        <v>T</v>
      </c>
      <c r="S113" s="3" t="str">
        <f t="shared" si="10"/>
        <v>F</v>
      </c>
      <c r="T113" s="8">
        <f t="shared" si="11"/>
        <v>-1</v>
      </c>
      <c r="V113" s="4">
        <f t="shared" si="12"/>
        <v>-1</v>
      </c>
      <c r="W113" s="8">
        <f t="shared" si="13"/>
        <v>16.75</v>
      </c>
      <c r="X113" s="8">
        <f t="shared" si="14"/>
        <v>0</v>
      </c>
      <c r="Y113" s="8">
        <f t="shared" si="15"/>
        <v>-40.61</v>
      </c>
    </row>
    <row r="114">
      <c r="A114" s="2">
        <v>107.0</v>
      </c>
      <c r="B114" s="15">
        <f>IFERROR(__xludf.DUMMYFUNCTION("""COMPUTED_VALUE"""),42530.64583333333)</f>
        <v>42530.64583</v>
      </c>
      <c r="C114" s="8">
        <f>IFERROR(__xludf.DUMMYFUNCTION("""COMPUTED_VALUE"""),1237.5)</f>
        <v>1237.5</v>
      </c>
      <c r="E114" s="15">
        <f>IFERROR(__xludf.DUMMYFUNCTION("""COMPUTED_VALUE"""),42530.64583333333)</f>
        <v>42530.64583</v>
      </c>
      <c r="F114" s="8">
        <f>IFERROR(__xludf.DUMMYFUNCTION("""COMPUTED_VALUE"""),579.7)</f>
        <v>579.7</v>
      </c>
      <c r="H114" s="4">
        <f t="shared" si="1"/>
        <v>657.8</v>
      </c>
      <c r="I114" s="16">
        <f t="shared" si="2"/>
        <v>667.714</v>
      </c>
      <c r="J114" s="16">
        <f t="shared" si="3"/>
        <v>8.589585555</v>
      </c>
      <c r="K114" s="16">
        <f t="shared" si="4"/>
        <v>676.3035856</v>
      </c>
      <c r="L114" s="16">
        <f t="shared" si="5"/>
        <v>659.1244144</v>
      </c>
      <c r="N114" s="17" t="str">
        <f t="shared" si="6"/>
        <v>T</v>
      </c>
      <c r="O114" s="17" t="str">
        <f t="shared" si="7"/>
        <v>F</v>
      </c>
      <c r="P114" s="8">
        <f t="shared" si="8"/>
        <v>1</v>
      </c>
      <c r="R114" s="17" t="str">
        <f t="shared" si="9"/>
        <v>F</v>
      </c>
      <c r="S114" s="3" t="str">
        <f t="shared" si="10"/>
        <v>T</v>
      </c>
      <c r="T114" s="8">
        <f t="shared" si="11"/>
        <v>0</v>
      </c>
      <c r="V114" s="4">
        <f t="shared" si="12"/>
        <v>1</v>
      </c>
      <c r="W114" s="8">
        <f t="shared" si="13"/>
        <v>-23.4</v>
      </c>
      <c r="X114" s="8">
        <f t="shared" si="14"/>
        <v>23.4</v>
      </c>
      <c r="Y114" s="8">
        <f t="shared" si="15"/>
        <v>-17.21</v>
      </c>
    </row>
    <row r="115">
      <c r="A115" s="2">
        <v>108.0</v>
      </c>
      <c r="B115" s="15">
        <f>IFERROR(__xludf.DUMMYFUNCTION("""COMPUTED_VALUE"""),42531.64583333333)</f>
        <v>42531.64583</v>
      </c>
      <c r="C115" s="8">
        <f>IFERROR(__xludf.DUMMYFUNCTION("""COMPUTED_VALUE"""),1230.4)</f>
        <v>1230.4</v>
      </c>
      <c r="E115" s="15">
        <f>IFERROR(__xludf.DUMMYFUNCTION("""COMPUTED_VALUE"""),42531.64583333333)</f>
        <v>42531.64583</v>
      </c>
      <c r="F115" s="8">
        <f>IFERROR(__xludf.DUMMYFUNCTION("""COMPUTED_VALUE"""),580.67)</f>
        <v>580.67</v>
      </c>
      <c r="H115" s="4">
        <f t="shared" si="1"/>
        <v>649.73</v>
      </c>
      <c r="I115" s="16">
        <f t="shared" si="2"/>
        <v>663.856</v>
      </c>
      <c r="J115" s="16">
        <f t="shared" si="3"/>
        <v>11.64497445</v>
      </c>
      <c r="K115" s="16">
        <f t="shared" si="4"/>
        <v>675.5009745</v>
      </c>
      <c r="L115" s="16">
        <f t="shared" si="5"/>
        <v>652.2110255</v>
      </c>
      <c r="N115" s="17" t="str">
        <f t="shared" si="6"/>
        <v>T</v>
      </c>
      <c r="O115" s="17" t="str">
        <f t="shared" si="7"/>
        <v>F</v>
      </c>
      <c r="P115" s="8">
        <f t="shared" si="8"/>
        <v>1</v>
      </c>
      <c r="R115" s="17" t="str">
        <f t="shared" si="9"/>
        <v>F</v>
      </c>
      <c r="S115" s="3" t="str">
        <f t="shared" si="10"/>
        <v>T</v>
      </c>
      <c r="T115" s="8">
        <f t="shared" si="11"/>
        <v>0</v>
      </c>
      <c r="V115" s="4">
        <f t="shared" si="12"/>
        <v>1</v>
      </c>
      <c r="W115" s="8">
        <f t="shared" si="13"/>
        <v>-8.07</v>
      </c>
      <c r="X115" s="8">
        <f t="shared" si="14"/>
        <v>-8.07</v>
      </c>
      <c r="Y115" s="8">
        <f t="shared" si="15"/>
        <v>-25.28</v>
      </c>
    </row>
    <row r="116">
      <c r="A116" s="2">
        <v>109.0</v>
      </c>
      <c r="B116" s="15">
        <f>IFERROR(__xludf.DUMMYFUNCTION("""COMPUTED_VALUE"""),42534.64583333333)</f>
        <v>42534.64583</v>
      </c>
      <c r="C116" s="8">
        <f>IFERROR(__xludf.DUMMYFUNCTION("""COMPUTED_VALUE"""),1205.35)</f>
        <v>1205.35</v>
      </c>
      <c r="E116" s="15">
        <f>IFERROR(__xludf.DUMMYFUNCTION("""COMPUTED_VALUE"""),42534.64583333333)</f>
        <v>42534.64583</v>
      </c>
      <c r="F116" s="8">
        <f>IFERROR(__xludf.DUMMYFUNCTION("""COMPUTED_VALUE"""),576.45)</f>
        <v>576.45</v>
      </c>
      <c r="H116" s="4">
        <f t="shared" si="1"/>
        <v>628.9</v>
      </c>
      <c r="I116" s="16">
        <f t="shared" si="2"/>
        <v>656.416</v>
      </c>
      <c r="J116" s="16">
        <f t="shared" si="3"/>
        <v>19.2518838</v>
      </c>
      <c r="K116" s="16">
        <f t="shared" si="4"/>
        <v>675.6678838</v>
      </c>
      <c r="L116" s="16">
        <f t="shared" si="5"/>
        <v>637.1641162</v>
      </c>
      <c r="N116" s="17" t="str">
        <f t="shared" si="6"/>
        <v>T</v>
      </c>
      <c r="O116" s="17" t="str">
        <f t="shared" si="7"/>
        <v>F</v>
      </c>
      <c r="P116" s="8">
        <f t="shared" si="8"/>
        <v>1</v>
      </c>
      <c r="R116" s="17" t="str">
        <f t="shared" si="9"/>
        <v>F</v>
      </c>
      <c r="S116" s="3" t="str">
        <f t="shared" si="10"/>
        <v>T</v>
      </c>
      <c r="T116" s="8">
        <f t="shared" si="11"/>
        <v>0</v>
      </c>
      <c r="V116" s="4">
        <f t="shared" si="12"/>
        <v>1</v>
      </c>
      <c r="W116" s="8">
        <f t="shared" si="13"/>
        <v>-20.83</v>
      </c>
      <c r="X116" s="8">
        <f t="shared" si="14"/>
        <v>-20.83</v>
      </c>
      <c r="Y116" s="8">
        <f t="shared" si="15"/>
        <v>-46.11</v>
      </c>
    </row>
    <row r="117">
      <c r="A117" s="2">
        <v>110.0</v>
      </c>
      <c r="B117" s="15">
        <f>IFERROR(__xludf.DUMMYFUNCTION("""COMPUTED_VALUE"""),42535.64583333333)</f>
        <v>42535.64583</v>
      </c>
      <c r="C117" s="8">
        <f>IFERROR(__xludf.DUMMYFUNCTION("""COMPUTED_VALUE"""),1198.2)</f>
        <v>1198.2</v>
      </c>
      <c r="E117" s="15">
        <f>IFERROR(__xludf.DUMMYFUNCTION("""COMPUTED_VALUE"""),42535.64583333333)</f>
        <v>42535.64583</v>
      </c>
      <c r="F117" s="8">
        <f>IFERROR(__xludf.DUMMYFUNCTION("""COMPUTED_VALUE"""),575.92)</f>
        <v>575.92</v>
      </c>
      <c r="H117" s="4">
        <f t="shared" si="1"/>
        <v>622.28</v>
      </c>
      <c r="I117" s="16">
        <f t="shared" si="2"/>
        <v>647.982</v>
      </c>
      <c r="J117" s="16">
        <f t="shared" si="3"/>
        <v>23.59872708</v>
      </c>
      <c r="K117" s="16">
        <f t="shared" si="4"/>
        <v>671.5807271</v>
      </c>
      <c r="L117" s="16">
        <f t="shared" si="5"/>
        <v>624.3832729</v>
      </c>
      <c r="N117" s="17" t="str">
        <f t="shared" si="6"/>
        <v>T</v>
      </c>
      <c r="O117" s="17" t="str">
        <f t="shared" si="7"/>
        <v>F</v>
      </c>
      <c r="P117" s="8">
        <f t="shared" si="8"/>
        <v>1</v>
      </c>
      <c r="R117" s="17" t="str">
        <f t="shared" si="9"/>
        <v>F</v>
      </c>
      <c r="S117" s="3" t="str">
        <f t="shared" si="10"/>
        <v>T</v>
      </c>
      <c r="T117" s="8">
        <f t="shared" si="11"/>
        <v>0</v>
      </c>
      <c r="V117" s="4">
        <f t="shared" si="12"/>
        <v>1</v>
      </c>
      <c r="W117" s="8">
        <f t="shared" si="13"/>
        <v>-6.62</v>
      </c>
      <c r="X117" s="8">
        <f t="shared" si="14"/>
        <v>-6.62</v>
      </c>
      <c r="Y117" s="8">
        <f t="shared" si="15"/>
        <v>-52.73</v>
      </c>
    </row>
    <row r="118">
      <c r="A118" s="2">
        <v>111.0</v>
      </c>
      <c r="B118" s="15">
        <f>IFERROR(__xludf.DUMMYFUNCTION("""COMPUTED_VALUE"""),42536.64583333333)</f>
        <v>42536.64583</v>
      </c>
      <c r="C118" s="8">
        <f>IFERROR(__xludf.DUMMYFUNCTION("""COMPUTED_VALUE"""),1205.15)</f>
        <v>1205.15</v>
      </c>
      <c r="E118" s="15">
        <f>IFERROR(__xludf.DUMMYFUNCTION("""COMPUTED_VALUE"""),42536.64583333333)</f>
        <v>42536.64583</v>
      </c>
      <c r="F118" s="8">
        <f>IFERROR(__xludf.DUMMYFUNCTION("""COMPUTED_VALUE"""),584.78)</f>
        <v>584.78</v>
      </c>
      <c r="H118" s="4">
        <f t="shared" si="1"/>
        <v>620.37</v>
      </c>
      <c r="I118" s="16">
        <f t="shared" si="2"/>
        <v>635.816</v>
      </c>
      <c r="J118" s="16">
        <f t="shared" si="3"/>
        <v>16.93021648</v>
      </c>
      <c r="K118" s="16">
        <f t="shared" si="4"/>
        <v>652.7462165</v>
      </c>
      <c r="L118" s="16">
        <f t="shared" si="5"/>
        <v>618.8857835</v>
      </c>
      <c r="N118" s="17" t="str">
        <f t="shared" si="6"/>
        <v>F</v>
      </c>
      <c r="O118" s="17" t="str">
        <f t="shared" si="7"/>
        <v>F</v>
      </c>
      <c r="P118" s="8">
        <f t="shared" si="8"/>
        <v>1</v>
      </c>
      <c r="R118" s="17" t="str">
        <f t="shared" si="9"/>
        <v>F</v>
      </c>
      <c r="S118" s="3" t="str">
        <f t="shared" si="10"/>
        <v>T</v>
      </c>
      <c r="T118" s="8">
        <f t="shared" si="11"/>
        <v>0</v>
      </c>
      <c r="V118" s="4">
        <f t="shared" si="12"/>
        <v>1</v>
      </c>
      <c r="W118" s="8">
        <f t="shared" si="13"/>
        <v>-1.91</v>
      </c>
      <c r="X118" s="8">
        <f t="shared" si="14"/>
        <v>-1.91</v>
      </c>
      <c r="Y118" s="8">
        <f t="shared" si="15"/>
        <v>-54.64</v>
      </c>
    </row>
    <row r="119">
      <c r="A119" s="2">
        <v>112.0</v>
      </c>
      <c r="B119" s="15">
        <f>IFERROR(__xludf.DUMMYFUNCTION("""COMPUTED_VALUE"""),42537.64583333333)</f>
        <v>42537.64583</v>
      </c>
      <c r="C119" s="8">
        <f>IFERROR(__xludf.DUMMYFUNCTION("""COMPUTED_VALUE"""),1200.95)</f>
        <v>1200.95</v>
      </c>
      <c r="E119" s="15">
        <f>IFERROR(__xludf.DUMMYFUNCTION("""COMPUTED_VALUE"""),42537.64583333333)</f>
        <v>42537.64583</v>
      </c>
      <c r="F119" s="8">
        <f>IFERROR(__xludf.DUMMYFUNCTION("""COMPUTED_VALUE"""),581.08)</f>
        <v>581.08</v>
      </c>
      <c r="H119" s="4">
        <f t="shared" si="1"/>
        <v>619.87</v>
      </c>
      <c r="I119" s="16">
        <f t="shared" si="2"/>
        <v>628.23</v>
      </c>
      <c r="J119" s="16">
        <f t="shared" si="3"/>
        <v>12.54761531</v>
      </c>
      <c r="K119" s="16">
        <f t="shared" si="4"/>
        <v>640.7776153</v>
      </c>
      <c r="L119" s="16">
        <f t="shared" si="5"/>
        <v>615.6823847</v>
      </c>
      <c r="N119" s="17" t="str">
        <f t="shared" si="6"/>
        <v>F</v>
      </c>
      <c r="O119" s="17" t="str">
        <f t="shared" si="7"/>
        <v>F</v>
      </c>
      <c r="P119" s="8">
        <f t="shared" si="8"/>
        <v>1</v>
      </c>
      <c r="R119" s="17" t="str">
        <f t="shared" si="9"/>
        <v>F</v>
      </c>
      <c r="S119" s="3" t="str">
        <f t="shared" si="10"/>
        <v>T</v>
      </c>
      <c r="T119" s="8">
        <f t="shared" si="11"/>
        <v>0</v>
      </c>
      <c r="V119" s="4">
        <f t="shared" si="12"/>
        <v>1</v>
      </c>
      <c r="W119" s="8">
        <f t="shared" si="13"/>
        <v>-0.5</v>
      </c>
      <c r="X119" s="8">
        <f t="shared" si="14"/>
        <v>-0.5</v>
      </c>
      <c r="Y119" s="8">
        <f t="shared" si="15"/>
        <v>-55.14</v>
      </c>
    </row>
    <row r="120">
      <c r="A120" s="2">
        <v>113.0</v>
      </c>
      <c r="B120" s="15">
        <f>IFERROR(__xludf.DUMMYFUNCTION("""COMPUTED_VALUE"""),42538.64583333333)</f>
        <v>42538.64583</v>
      </c>
      <c r="C120" s="8">
        <f>IFERROR(__xludf.DUMMYFUNCTION("""COMPUTED_VALUE"""),1227.3)</f>
        <v>1227.3</v>
      </c>
      <c r="E120" s="15">
        <f>IFERROR(__xludf.DUMMYFUNCTION("""COMPUTED_VALUE"""),42538.64583333333)</f>
        <v>42538.64583</v>
      </c>
      <c r="F120" s="8">
        <f>IFERROR(__xludf.DUMMYFUNCTION("""COMPUTED_VALUE"""),585.0)</f>
        <v>585</v>
      </c>
      <c r="H120" s="4">
        <f t="shared" si="1"/>
        <v>642.3</v>
      </c>
      <c r="I120" s="16">
        <f t="shared" si="2"/>
        <v>626.744</v>
      </c>
      <c r="J120" s="16">
        <f t="shared" si="3"/>
        <v>9.413348501</v>
      </c>
      <c r="K120" s="16">
        <f t="shared" si="4"/>
        <v>636.1573485</v>
      </c>
      <c r="L120" s="16">
        <f t="shared" si="5"/>
        <v>617.3306515</v>
      </c>
      <c r="N120" s="17" t="str">
        <f t="shared" si="6"/>
        <v>F</v>
      </c>
      <c r="O120" s="17" t="str">
        <f t="shared" si="7"/>
        <v>T</v>
      </c>
      <c r="P120" s="8">
        <f t="shared" si="8"/>
        <v>0</v>
      </c>
      <c r="R120" s="17" t="str">
        <f t="shared" si="9"/>
        <v>T</v>
      </c>
      <c r="S120" s="3" t="str">
        <f t="shared" si="10"/>
        <v>F</v>
      </c>
      <c r="T120" s="8">
        <f t="shared" si="11"/>
        <v>-1</v>
      </c>
      <c r="V120" s="4">
        <f t="shared" si="12"/>
        <v>-1</v>
      </c>
      <c r="W120" s="8">
        <f t="shared" si="13"/>
        <v>22.43</v>
      </c>
      <c r="X120" s="8">
        <f t="shared" si="14"/>
        <v>22.43</v>
      </c>
      <c r="Y120" s="8">
        <f t="shared" si="15"/>
        <v>-32.71</v>
      </c>
    </row>
    <row r="121">
      <c r="A121" s="2">
        <v>114.0</v>
      </c>
      <c r="B121" s="15">
        <f>IFERROR(__xludf.DUMMYFUNCTION("""COMPUTED_VALUE"""),42541.64583333333)</f>
        <v>42541.64583</v>
      </c>
      <c r="C121" s="8">
        <f>IFERROR(__xludf.DUMMYFUNCTION("""COMPUTED_VALUE"""),1227.55)</f>
        <v>1227.55</v>
      </c>
      <c r="E121" s="15">
        <f>IFERROR(__xludf.DUMMYFUNCTION("""COMPUTED_VALUE"""),42541.64583333333)</f>
        <v>42541.64583</v>
      </c>
      <c r="F121" s="8">
        <f>IFERROR(__xludf.DUMMYFUNCTION("""COMPUTED_VALUE"""),586.03)</f>
        <v>586.03</v>
      </c>
      <c r="H121" s="4">
        <f t="shared" si="1"/>
        <v>641.52</v>
      </c>
      <c r="I121" s="16">
        <f t="shared" si="2"/>
        <v>629.268</v>
      </c>
      <c r="J121" s="16">
        <f t="shared" si="3"/>
        <v>11.57878966</v>
      </c>
      <c r="K121" s="16">
        <f t="shared" si="4"/>
        <v>640.8467897</v>
      </c>
      <c r="L121" s="16">
        <f t="shared" si="5"/>
        <v>617.6892103</v>
      </c>
      <c r="N121" s="17" t="str">
        <f t="shared" si="6"/>
        <v>F</v>
      </c>
      <c r="O121" s="17" t="str">
        <f t="shared" si="7"/>
        <v>T</v>
      </c>
      <c r="P121" s="8">
        <f t="shared" si="8"/>
        <v>0</v>
      </c>
      <c r="R121" s="17" t="str">
        <f t="shared" si="9"/>
        <v>T</v>
      </c>
      <c r="S121" s="3" t="str">
        <f t="shared" si="10"/>
        <v>F</v>
      </c>
      <c r="T121" s="8">
        <f t="shared" si="11"/>
        <v>-1</v>
      </c>
      <c r="V121" s="4">
        <f t="shared" si="12"/>
        <v>-1</v>
      </c>
      <c r="W121" s="8">
        <f t="shared" si="13"/>
        <v>-0.78</v>
      </c>
      <c r="X121" s="8">
        <f t="shared" si="14"/>
        <v>0.78</v>
      </c>
      <c r="Y121" s="8">
        <f t="shared" si="15"/>
        <v>-31.93</v>
      </c>
    </row>
    <row r="122">
      <c r="A122" s="2">
        <v>115.0</v>
      </c>
      <c r="B122" s="15">
        <f>IFERROR(__xludf.DUMMYFUNCTION("""COMPUTED_VALUE"""),42542.64583333333)</f>
        <v>42542.64583</v>
      </c>
      <c r="C122" s="8">
        <f>IFERROR(__xludf.DUMMYFUNCTION("""COMPUTED_VALUE"""),1238.15)</f>
        <v>1238.15</v>
      </c>
      <c r="E122" s="15">
        <f>IFERROR(__xludf.DUMMYFUNCTION("""COMPUTED_VALUE"""),42542.64583333333)</f>
        <v>42542.64583</v>
      </c>
      <c r="F122" s="8">
        <f>IFERROR(__xludf.DUMMYFUNCTION("""COMPUTED_VALUE"""),583.33)</f>
        <v>583.33</v>
      </c>
      <c r="H122" s="4">
        <f t="shared" si="1"/>
        <v>654.82</v>
      </c>
      <c r="I122" s="16">
        <f t="shared" si="2"/>
        <v>635.776</v>
      </c>
      <c r="J122" s="16">
        <f t="shared" si="3"/>
        <v>15.23627021</v>
      </c>
      <c r="K122" s="16">
        <f t="shared" si="4"/>
        <v>651.0122702</v>
      </c>
      <c r="L122" s="16">
        <f t="shared" si="5"/>
        <v>620.5397298</v>
      </c>
      <c r="N122" s="17" t="str">
        <f t="shared" si="6"/>
        <v>F</v>
      </c>
      <c r="O122" s="17" t="str">
        <f t="shared" si="7"/>
        <v>T</v>
      </c>
      <c r="P122" s="8">
        <f t="shared" si="8"/>
        <v>0</v>
      </c>
      <c r="R122" s="17" t="str">
        <f t="shared" si="9"/>
        <v>T</v>
      </c>
      <c r="S122" s="3" t="str">
        <f t="shared" si="10"/>
        <v>F</v>
      </c>
      <c r="T122" s="8">
        <f t="shared" si="11"/>
        <v>-1</v>
      </c>
      <c r="V122" s="4">
        <f t="shared" si="12"/>
        <v>-1</v>
      </c>
      <c r="W122" s="8">
        <f t="shared" si="13"/>
        <v>13.3</v>
      </c>
      <c r="X122" s="8">
        <f t="shared" si="14"/>
        <v>-13.3</v>
      </c>
      <c r="Y122" s="8">
        <f t="shared" si="15"/>
        <v>-45.23</v>
      </c>
    </row>
    <row r="123">
      <c r="A123" s="2">
        <v>116.0</v>
      </c>
      <c r="B123" s="15">
        <f>IFERROR(__xludf.DUMMYFUNCTION("""COMPUTED_VALUE"""),42543.64583333333)</f>
        <v>42543.64583</v>
      </c>
      <c r="C123" s="8">
        <f>IFERROR(__xludf.DUMMYFUNCTION("""COMPUTED_VALUE"""),1238.35)</f>
        <v>1238.35</v>
      </c>
      <c r="E123" s="15">
        <f>IFERROR(__xludf.DUMMYFUNCTION("""COMPUTED_VALUE"""),42543.64583333333)</f>
        <v>42543.64583</v>
      </c>
      <c r="F123" s="8">
        <f>IFERROR(__xludf.DUMMYFUNCTION("""COMPUTED_VALUE"""),585.75)</f>
        <v>585.75</v>
      </c>
      <c r="H123" s="4">
        <f t="shared" si="1"/>
        <v>652.6</v>
      </c>
      <c r="I123" s="16">
        <f t="shared" si="2"/>
        <v>642.222</v>
      </c>
      <c r="J123" s="16">
        <f t="shared" si="3"/>
        <v>13.84307841</v>
      </c>
      <c r="K123" s="16">
        <f t="shared" si="4"/>
        <v>656.0650784</v>
      </c>
      <c r="L123" s="16">
        <f t="shared" si="5"/>
        <v>628.3789216</v>
      </c>
      <c r="N123" s="17" t="str">
        <f t="shared" si="6"/>
        <v>F</v>
      </c>
      <c r="O123" s="17" t="str">
        <f t="shared" si="7"/>
        <v>T</v>
      </c>
      <c r="P123" s="8">
        <f t="shared" si="8"/>
        <v>0</v>
      </c>
      <c r="R123" s="17" t="str">
        <f t="shared" si="9"/>
        <v>F</v>
      </c>
      <c r="S123" s="3" t="str">
        <f t="shared" si="10"/>
        <v>F</v>
      </c>
      <c r="T123" s="8">
        <f t="shared" si="11"/>
        <v>-1</v>
      </c>
      <c r="V123" s="4">
        <f t="shared" si="12"/>
        <v>-1</v>
      </c>
      <c r="W123" s="8">
        <f t="shared" si="13"/>
        <v>-2.22</v>
      </c>
      <c r="X123" s="8">
        <f t="shared" si="14"/>
        <v>2.22</v>
      </c>
      <c r="Y123" s="8">
        <f t="shared" si="15"/>
        <v>-43.01</v>
      </c>
    </row>
    <row r="124">
      <c r="A124" s="2">
        <v>117.0</v>
      </c>
      <c r="B124" s="15">
        <f>IFERROR(__xludf.DUMMYFUNCTION("""COMPUTED_VALUE"""),42544.64583333333)</f>
        <v>42544.64583</v>
      </c>
      <c r="C124" s="8">
        <f>IFERROR(__xludf.DUMMYFUNCTION("""COMPUTED_VALUE"""),1245.5)</f>
        <v>1245.5</v>
      </c>
      <c r="E124" s="15">
        <f>IFERROR(__xludf.DUMMYFUNCTION("""COMPUTED_VALUE"""),42544.64583333333)</f>
        <v>42544.64583</v>
      </c>
      <c r="F124" s="8">
        <f>IFERROR(__xludf.DUMMYFUNCTION("""COMPUTED_VALUE"""),595.05)</f>
        <v>595.05</v>
      </c>
      <c r="H124" s="4">
        <f t="shared" si="1"/>
        <v>650.45</v>
      </c>
      <c r="I124" s="16">
        <f t="shared" si="2"/>
        <v>648.338</v>
      </c>
      <c r="J124" s="16">
        <f t="shared" si="3"/>
        <v>6.074209414</v>
      </c>
      <c r="K124" s="16">
        <f t="shared" si="4"/>
        <v>654.4122094</v>
      </c>
      <c r="L124" s="16">
        <f t="shared" si="5"/>
        <v>642.2637906</v>
      </c>
      <c r="N124" s="17" t="str">
        <f t="shared" si="6"/>
        <v>F</v>
      </c>
      <c r="O124" s="17" t="str">
        <f t="shared" si="7"/>
        <v>T</v>
      </c>
      <c r="P124" s="8">
        <f t="shared" si="8"/>
        <v>0</v>
      </c>
      <c r="R124" s="17" t="str">
        <f t="shared" si="9"/>
        <v>F</v>
      </c>
      <c r="S124" s="3" t="str">
        <f t="shared" si="10"/>
        <v>F</v>
      </c>
      <c r="T124" s="8">
        <f t="shared" si="11"/>
        <v>-1</v>
      </c>
      <c r="V124" s="4">
        <f t="shared" si="12"/>
        <v>-1</v>
      </c>
      <c r="W124" s="8">
        <f t="shared" si="13"/>
        <v>-2.15</v>
      </c>
      <c r="X124" s="8">
        <f t="shared" si="14"/>
        <v>2.15</v>
      </c>
      <c r="Y124" s="8">
        <f t="shared" si="15"/>
        <v>-40.86</v>
      </c>
    </row>
    <row r="125">
      <c r="A125" s="2">
        <v>118.0</v>
      </c>
      <c r="B125" s="15">
        <f>IFERROR(__xludf.DUMMYFUNCTION("""COMPUTED_VALUE"""),42545.64583333333)</f>
        <v>42545.64583</v>
      </c>
      <c r="C125" s="8">
        <f>IFERROR(__xludf.DUMMYFUNCTION("""COMPUTED_VALUE"""),1222.75)</f>
        <v>1222.75</v>
      </c>
      <c r="E125" s="15">
        <f>IFERROR(__xludf.DUMMYFUNCTION("""COMPUTED_VALUE"""),42545.64583333333)</f>
        <v>42545.64583</v>
      </c>
      <c r="F125" s="8">
        <f>IFERROR(__xludf.DUMMYFUNCTION("""COMPUTED_VALUE"""),580.95)</f>
        <v>580.95</v>
      </c>
      <c r="H125" s="4">
        <f t="shared" si="1"/>
        <v>641.8</v>
      </c>
      <c r="I125" s="16">
        <f t="shared" si="2"/>
        <v>648.238</v>
      </c>
      <c r="J125" s="16">
        <f t="shared" si="3"/>
        <v>6.201251487</v>
      </c>
      <c r="K125" s="16">
        <f t="shared" si="4"/>
        <v>654.4392515</v>
      </c>
      <c r="L125" s="16">
        <f t="shared" si="5"/>
        <v>642.0367485</v>
      </c>
      <c r="N125" s="17" t="str">
        <f t="shared" si="6"/>
        <v>T</v>
      </c>
      <c r="O125" s="17" t="str">
        <f t="shared" si="7"/>
        <v>F</v>
      </c>
      <c r="P125" s="8">
        <f t="shared" si="8"/>
        <v>1</v>
      </c>
      <c r="R125" s="17" t="str">
        <f t="shared" si="9"/>
        <v>F</v>
      </c>
      <c r="S125" s="3" t="str">
        <f t="shared" si="10"/>
        <v>T</v>
      </c>
      <c r="T125" s="8">
        <f t="shared" si="11"/>
        <v>0</v>
      </c>
      <c r="V125" s="4">
        <f t="shared" si="12"/>
        <v>1</v>
      </c>
      <c r="W125" s="8">
        <f t="shared" si="13"/>
        <v>-8.65</v>
      </c>
      <c r="X125" s="8">
        <f t="shared" si="14"/>
        <v>8.65</v>
      </c>
      <c r="Y125" s="8">
        <f t="shared" si="15"/>
        <v>-32.21</v>
      </c>
    </row>
    <row r="126">
      <c r="A126" s="2">
        <v>119.0</v>
      </c>
      <c r="B126" s="15">
        <f>IFERROR(__xludf.DUMMYFUNCTION("""COMPUTED_VALUE"""),42548.64583333333)</f>
        <v>42548.64583</v>
      </c>
      <c r="C126" s="8">
        <f>IFERROR(__xludf.DUMMYFUNCTION("""COMPUTED_VALUE"""),1214.6)</f>
        <v>1214.6</v>
      </c>
      <c r="E126" s="15">
        <f>IFERROR(__xludf.DUMMYFUNCTION("""COMPUTED_VALUE"""),42548.64583333333)</f>
        <v>42548.64583</v>
      </c>
      <c r="F126" s="8">
        <f>IFERROR(__xludf.DUMMYFUNCTION("""COMPUTED_VALUE"""),579.98)</f>
        <v>579.98</v>
      </c>
      <c r="H126" s="4">
        <f t="shared" si="1"/>
        <v>634.62</v>
      </c>
      <c r="I126" s="16">
        <f t="shared" si="2"/>
        <v>646.858</v>
      </c>
      <c r="J126" s="16">
        <f t="shared" si="3"/>
        <v>8.435319792</v>
      </c>
      <c r="K126" s="16">
        <f t="shared" si="4"/>
        <v>655.2933198</v>
      </c>
      <c r="L126" s="16">
        <f t="shared" si="5"/>
        <v>638.4226802</v>
      </c>
      <c r="N126" s="17" t="str">
        <f t="shared" si="6"/>
        <v>T</v>
      </c>
      <c r="O126" s="17" t="str">
        <f t="shared" si="7"/>
        <v>F</v>
      </c>
      <c r="P126" s="8">
        <f t="shared" si="8"/>
        <v>1</v>
      </c>
      <c r="R126" s="17" t="str">
        <f t="shared" si="9"/>
        <v>F</v>
      </c>
      <c r="S126" s="3" t="str">
        <f t="shared" si="10"/>
        <v>T</v>
      </c>
      <c r="T126" s="8">
        <f t="shared" si="11"/>
        <v>0</v>
      </c>
      <c r="V126" s="4">
        <f t="shared" si="12"/>
        <v>1</v>
      </c>
      <c r="W126" s="8">
        <f t="shared" si="13"/>
        <v>-7.18</v>
      </c>
      <c r="X126" s="8">
        <f t="shared" si="14"/>
        <v>-7.18</v>
      </c>
      <c r="Y126" s="8">
        <f t="shared" si="15"/>
        <v>-39.39</v>
      </c>
    </row>
    <row r="127">
      <c r="A127" s="2">
        <v>120.0</v>
      </c>
      <c r="B127" s="15">
        <f>IFERROR(__xludf.DUMMYFUNCTION("""COMPUTED_VALUE"""),42549.64583333333)</f>
        <v>42549.64583</v>
      </c>
      <c r="C127" s="8">
        <f>IFERROR(__xludf.DUMMYFUNCTION("""COMPUTED_VALUE"""),1228.9)</f>
        <v>1228.9</v>
      </c>
      <c r="E127" s="15">
        <f>IFERROR(__xludf.DUMMYFUNCTION("""COMPUTED_VALUE"""),42549.64583333333)</f>
        <v>42549.64583</v>
      </c>
      <c r="F127" s="8">
        <f>IFERROR(__xludf.DUMMYFUNCTION("""COMPUTED_VALUE"""),583.48)</f>
        <v>583.48</v>
      </c>
      <c r="H127" s="4">
        <f t="shared" si="1"/>
        <v>645.42</v>
      </c>
      <c r="I127" s="16">
        <f t="shared" si="2"/>
        <v>644.978</v>
      </c>
      <c r="J127" s="16">
        <f t="shared" si="3"/>
        <v>7.169743371</v>
      </c>
      <c r="K127" s="16">
        <f t="shared" si="4"/>
        <v>652.1477434</v>
      </c>
      <c r="L127" s="16">
        <f t="shared" si="5"/>
        <v>637.8082566</v>
      </c>
      <c r="N127" s="17" t="str">
        <f t="shared" si="6"/>
        <v>F</v>
      </c>
      <c r="O127" s="17" t="str">
        <f t="shared" si="7"/>
        <v>T</v>
      </c>
      <c r="P127" s="8">
        <f t="shared" si="8"/>
        <v>0</v>
      </c>
      <c r="R127" s="17" t="str">
        <f t="shared" si="9"/>
        <v>F</v>
      </c>
      <c r="S127" s="3" t="str">
        <f t="shared" si="10"/>
        <v>F</v>
      </c>
      <c r="T127" s="8">
        <f t="shared" si="11"/>
        <v>0</v>
      </c>
      <c r="V127" s="4">
        <f t="shared" si="12"/>
        <v>0</v>
      </c>
      <c r="W127" s="8">
        <f t="shared" si="13"/>
        <v>10.8</v>
      </c>
      <c r="X127" s="8">
        <f t="shared" si="14"/>
        <v>10.8</v>
      </c>
      <c r="Y127" s="8">
        <f t="shared" si="15"/>
        <v>-28.59</v>
      </c>
    </row>
    <row r="128">
      <c r="A128" s="2">
        <v>121.0</v>
      </c>
      <c r="B128" s="15">
        <f>IFERROR(__xludf.DUMMYFUNCTION("""COMPUTED_VALUE"""),42550.64583333333)</f>
        <v>42550.64583</v>
      </c>
      <c r="C128" s="8">
        <f>IFERROR(__xludf.DUMMYFUNCTION("""COMPUTED_VALUE"""),1248.55)</f>
        <v>1248.55</v>
      </c>
      <c r="E128" s="15">
        <f>IFERROR(__xludf.DUMMYFUNCTION("""COMPUTED_VALUE"""),42550.64583333333)</f>
        <v>42550.64583</v>
      </c>
      <c r="F128" s="8">
        <f>IFERROR(__xludf.DUMMYFUNCTION("""COMPUTED_VALUE"""),584.15)</f>
        <v>584.15</v>
      </c>
      <c r="H128" s="4">
        <f t="shared" si="1"/>
        <v>664.4</v>
      </c>
      <c r="I128" s="16">
        <f t="shared" si="2"/>
        <v>647.338</v>
      </c>
      <c r="J128" s="16">
        <f t="shared" si="3"/>
        <v>11.14553812</v>
      </c>
      <c r="K128" s="16">
        <f t="shared" si="4"/>
        <v>658.4835381</v>
      </c>
      <c r="L128" s="16">
        <f t="shared" si="5"/>
        <v>636.1924619</v>
      </c>
      <c r="N128" s="17" t="str">
        <f t="shared" si="6"/>
        <v>F</v>
      </c>
      <c r="O128" s="17" t="str">
        <f t="shared" si="7"/>
        <v>T</v>
      </c>
      <c r="P128" s="8">
        <f t="shared" si="8"/>
        <v>0</v>
      </c>
      <c r="R128" s="17" t="str">
        <f t="shared" si="9"/>
        <v>T</v>
      </c>
      <c r="S128" s="3" t="str">
        <f t="shared" si="10"/>
        <v>F</v>
      </c>
      <c r="T128" s="8">
        <f t="shared" si="11"/>
        <v>-1</v>
      </c>
      <c r="V128" s="4">
        <f t="shared" si="12"/>
        <v>-1</v>
      </c>
      <c r="W128" s="8">
        <f t="shared" si="13"/>
        <v>18.98</v>
      </c>
      <c r="X128" s="8">
        <f t="shared" si="14"/>
        <v>0</v>
      </c>
      <c r="Y128" s="8">
        <f t="shared" si="15"/>
        <v>-28.59</v>
      </c>
    </row>
    <row r="129">
      <c r="A129" s="2">
        <v>122.0</v>
      </c>
      <c r="B129" s="15">
        <f>IFERROR(__xludf.DUMMYFUNCTION("""COMPUTED_VALUE"""),42551.64583333333)</f>
        <v>42551.64583</v>
      </c>
      <c r="C129" s="8">
        <f>IFERROR(__xludf.DUMMYFUNCTION("""COMPUTED_VALUE"""),1253.6)</f>
        <v>1253.6</v>
      </c>
      <c r="E129" s="15">
        <f>IFERROR(__xludf.DUMMYFUNCTION("""COMPUTED_VALUE"""),42551.64583333333)</f>
        <v>42551.64583</v>
      </c>
      <c r="F129" s="8">
        <f>IFERROR(__xludf.DUMMYFUNCTION("""COMPUTED_VALUE"""),588.23)</f>
        <v>588.23</v>
      </c>
      <c r="H129" s="4">
        <f t="shared" si="1"/>
        <v>665.37</v>
      </c>
      <c r="I129" s="16">
        <f t="shared" si="2"/>
        <v>650.322</v>
      </c>
      <c r="J129" s="16">
        <f t="shared" si="3"/>
        <v>13.85495651</v>
      </c>
      <c r="K129" s="16">
        <f t="shared" si="4"/>
        <v>664.1769565</v>
      </c>
      <c r="L129" s="16">
        <f t="shared" si="5"/>
        <v>636.4670435</v>
      </c>
      <c r="N129" s="17" t="str">
        <f t="shared" si="6"/>
        <v>F</v>
      </c>
      <c r="O129" s="17" t="str">
        <f t="shared" si="7"/>
        <v>T</v>
      </c>
      <c r="P129" s="8">
        <f t="shared" si="8"/>
        <v>0</v>
      </c>
      <c r="R129" s="17" t="str">
        <f t="shared" si="9"/>
        <v>T</v>
      </c>
      <c r="S129" s="3" t="str">
        <f t="shared" si="10"/>
        <v>F</v>
      </c>
      <c r="T129" s="8">
        <f t="shared" si="11"/>
        <v>-1</v>
      </c>
      <c r="V129" s="4">
        <f t="shared" si="12"/>
        <v>-1</v>
      </c>
      <c r="W129" s="8">
        <f t="shared" si="13"/>
        <v>0.97</v>
      </c>
      <c r="X129" s="8">
        <f t="shared" si="14"/>
        <v>-0.97</v>
      </c>
      <c r="Y129" s="8">
        <f t="shared" si="15"/>
        <v>-29.56</v>
      </c>
    </row>
    <row r="130">
      <c r="A130" s="2">
        <v>123.0</v>
      </c>
      <c r="B130" s="15">
        <f>IFERROR(__xludf.DUMMYFUNCTION("""COMPUTED_VALUE"""),42552.64583333333)</f>
        <v>42552.64583</v>
      </c>
      <c r="C130" s="8">
        <f>IFERROR(__xludf.DUMMYFUNCTION("""COMPUTED_VALUE"""),1242.35)</f>
        <v>1242.35</v>
      </c>
      <c r="E130" s="15">
        <f>IFERROR(__xludf.DUMMYFUNCTION("""COMPUTED_VALUE"""),42552.64583333333)</f>
        <v>42552.64583</v>
      </c>
      <c r="F130" s="8">
        <f>IFERROR(__xludf.DUMMYFUNCTION("""COMPUTED_VALUE"""),587.25)</f>
        <v>587.25</v>
      </c>
      <c r="H130" s="4">
        <f t="shared" si="1"/>
        <v>655.1</v>
      </c>
      <c r="I130" s="16">
        <f t="shared" si="2"/>
        <v>652.982</v>
      </c>
      <c r="J130" s="16">
        <f t="shared" si="3"/>
        <v>13.06393968</v>
      </c>
      <c r="K130" s="16">
        <f t="shared" si="4"/>
        <v>666.0459397</v>
      </c>
      <c r="L130" s="16">
        <f t="shared" si="5"/>
        <v>639.9180603</v>
      </c>
      <c r="N130" s="17" t="str">
        <f t="shared" si="6"/>
        <v>F</v>
      </c>
      <c r="O130" s="17" t="str">
        <f t="shared" si="7"/>
        <v>T</v>
      </c>
      <c r="P130" s="8">
        <f t="shared" si="8"/>
        <v>0</v>
      </c>
      <c r="R130" s="17" t="str">
        <f t="shared" si="9"/>
        <v>F</v>
      </c>
      <c r="S130" s="3" t="str">
        <f t="shared" si="10"/>
        <v>F</v>
      </c>
      <c r="T130" s="8">
        <f t="shared" si="11"/>
        <v>-1</v>
      </c>
      <c r="V130" s="4">
        <f t="shared" si="12"/>
        <v>-1</v>
      </c>
      <c r="W130" s="8">
        <f t="shared" si="13"/>
        <v>-10.27</v>
      </c>
      <c r="X130" s="8">
        <f t="shared" si="14"/>
        <v>10.27</v>
      </c>
      <c r="Y130" s="8">
        <f t="shared" si="15"/>
        <v>-19.29</v>
      </c>
    </row>
    <row r="131">
      <c r="A131" s="2">
        <v>124.0</v>
      </c>
      <c r="B131" s="15">
        <f>IFERROR(__xludf.DUMMYFUNCTION("""COMPUTED_VALUE"""),42555.64583333333)</f>
        <v>42555.64583</v>
      </c>
      <c r="C131" s="8">
        <f>IFERROR(__xludf.DUMMYFUNCTION("""COMPUTED_VALUE"""),1256.25)</f>
        <v>1256.25</v>
      </c>
      <c r="E131" s="15">
        <f>IFERROR(__xludf.DUMMYFUNCTION("""COMPUTED_VALUE"""),42555.64583333333)</f>
        <v>42555.64583</v>
      </c>
      <c r="F131" s="8">
        <f>IFERROR(__xludf.DUMMYFUNCTION("""COMPUTED_VALUE"""),586.4)</f>
        <v>586.4</v>
      </c>
      <c r="H131" s="4">
        <f t="shared" si="1"/>
        <v>669.85</v>
      </c>
      <c r="I131" s="16">
        <f t="shared" si="2"/>
        <v>660.028</v>
      </c>
      <c r="J131" s="16">
        <f t="shared" si="3"/>
        <v>9.769875639</v>
      </c>
      <c r="K131" s="16">
        <f t="shared" si="4"/>
        <v>669.7978756</v>
      </c>
      <c r="L131" s="16">
        <f t="shared" si="5"/>
        <v>650.2581244</v>
      </c>
      <c r="N131" s="17" t="str">
        <f t="shared" si="6"/>
        <v>F</v>
      </c>
      <c r="O131" s="17" t="str">
        <f t="shared" si="7"/>
        <v>T</v>
      </c>
      <c r="P131" s="8">
        <f t="shared" si="8"/>
        <v>0</v>
      </c>
      <c r="R131" s="17" t="str">
        <f t="shared" si="9"/>
        <v>T</v>
      </c>
      <c r="S131" s="3" t="str">
        <f t="shared" si="10"/>
        <v>F</v>
      </c>
      <c r="T131" s="8">
        <f t="shared" si="11"/>
        <v>-1</v>
      </c>
      <c r="V131" s="4">
        <f t="shared" si="12"/>
        <v>-1</v>
      </c>
      <c r="W131" s="8">
        <f t="shared" si="13"/>
        <v>14.75</v>
      </c>
      <c r="X131" s="8">
        <f t="shared" si="14"/>
        <v>-14.75</v>
      </c>
      <c r="Y131" s="8">
        <f t="shared" si="15"/>
        <v>-34.04</v>
      </c>
    </row>
    <row r="132">
      <c r="A132" s="2">
        <v>125.0</v>
      </c>
      <c r="B132" s="15">
        <f>IFERROR(__xludf.DUMMYFUNCTION("""COMPUTED_VALUE"""),42556.64583333333)</f>
        <v>42556.64583</v>
      </c>
      <c r="C132" s="8">
        <f>IFERROR(__xludf.DUMMYFUNCTION("""COMPUTED_VALUE"""),1260.7)</f>
        <v>1260.7</v>
      </c>
      <c r="E132" s="15">
        <f>IFERROR(__xludf.DUMMYFUNCTION("""COMPUTED_VALUE"""),42556.64583333333)</f>
        <v>42556.64583</v>
      </c>
      <c r="F132" s="8">
        <f>IFERROR(__xludf.DUMMYFUNCTION("""COMPUTED_VALUE"""),582.8)</f>
        <v>582.8</v>
      </c>
      <c r="H132" s="4">
        <f t="shared" si="1"/>
        <v>677.9</v>
      </c>
      <c r="I132" s="16">
        <f t="shared" si="2"/>
        <v>666.524</v>
      </c>
      <c r="J132" s="16">
        <f t="shared" si="3"/>
        <v>8.31905223</v>
      </c>
      <c r="K132" s="16">
        <f t="shared" si="4"/>
        <v>674.8430522</v>
      </c>
      <c r="L132" s="16">
        <f t="shared" si="5"/>
        <v>658.2049478</v>
      </c>
      <c r="N132" s="17" t="str">
        <f t="shared" si="6"/>
        <v>F</v>
      </c>
      <c r="O132" s="17" t="str">
        <f t="shared" si="7"/>
        <v>T</v>
      </c>
      <c r="P132" s="8">
        <f t="shared" si="8"/>
        <v>0</v>
      </c>
      <c r="R132" s="17" t="str">
        <f t="shared" si="9"/>
        <v>T</v>
      </c>
      <c r="S132" s="3" t="str">
        <f t="shared" si="10"/>
        <v>F</v>
      </c>
      <c r="T132" s="8">
        <f t="shared" si="11"/>
        <v>-1</v>
      </c>
      <c r="V132" s="4">
        <f t="shared" si="12"/>
        <v>-1</v>
      </c>
      <c r="W132" s="8">
        <f t="shared" si="13"/>
        <v>8.05</v>
      </c>
      <c r="X132" s="8">
        <f t="shared" si="14"/>
        <v>-8.05</v>
      </c>
      <c r="Y132" s="8">
        <f t="shared" si="15"/>
        <v>-42.09</v>
      </c>
    </row>
    <row r="133">
      <c r="A133" s="2">
        <v>126.0</v>
      </c>
      <c r="B133" s="15">
        <f>IFERROR(__xludf.DUMMYFUNCTION("""COMPUTED_VALUE"""),42558.64583333333)</f>
        <v>42558.64583</v>
      </c>
      <c r="C133" s="8">
        <f>IFERROR(__xludf.DUMMYFUNCTION("""COMPUTED_VALUE"""),1290.55)</f>
        <v>1290.55</v>
      </c>
      <c r="E133" s="15">
        <f>IFERROR(__xludf.DUMMYFUNCTION("""COMPUTED_VALUE"""),42558.64583333333)</f>
        <v>42558.64583</v>
      </c>
      <c r="F133" s="8">
        <f>IFERROR(__xludf.DUMMYFUNCTION("""COMPUTED_VALUE"""),592.83)</f>
        <v>592.83</v>
      </c>
      <c r="H133" s="4">
        <f t="shared" si="1"/>
        <v>697.72</v>
      </c>
      <c r="I133" s="16">
        <f t="shared" si="2"/>
        <v>673.188</v>
      </c>
      <c r="J133" s="16">
        <f t="shared" si="3"/>
        <v>15.99578913</v>
      </c>
      <c r="K133" s="16">
        <f t="shared" si="4"/>
        <v>689.1837891</v>
      </c>
      <c r="L133" s="16">
        <f t="shared" si="5"/>
        <v>657.1922109</v>
      </c>
      <c r="N133" s="17" t="str">
        <f t="shared" si="6"/>
        <v>F</v>
      </c>
      <c r="O133" s="17" t="str">
        <f t="shared" si="7"/>
        <v>T</v>
      </c>
      <c r="P133" s="8">
        <f t="shared" si="8"/>
        <v>0</v>
      </c>
      <c r="R133" s="17" t="str">
        <f t="shared" si="9"/>
        <v>T</v>
      </c>
      <c r="S133" s="3" t="str">
        <f t="shared" si="10"/>
        <v>F</v>
      </c>
      <c r="T133" s="8">
        <f t="shared" si="11"/>
        <v>-1</v>
      </c>
      <c r="V133" s="4">
        <f t="shared" si="12"/>
        <v>-1</v>
      </c>
      <c r="W133" s="8">
        <f t="shared" si="13"/>
        <v>19.82</v>
      </c>
      <c r="X133" s="8">
        <f t="shared" si="14"/>
        <v>-19.82</v>
      </c>
      <c r="Y133" s="8">
        <f t="shared" si="15"/>
        <v>-61.91</v>
      </c>
    </row>
    <row r="134">
      <c r="A134" s="2">
        <v>127.0</v>
      </c>
      <c r="B134" s="15">
        <f>IFERROR(__xludf.DUMMYFUNCTION("""COMPUTED_VALUE"""),42559.64583333333)</f>
        <v>42559.64583</v>
      </c>
      <c r="C134" s="8">
        <f>IFERROR(__xludf.DUMMYFUNCTION("""COMPUTED_VALUE"""),1286.9)</f>
        <v>1286.9</v>
      </c>
      <c r="E134" s="15">
        <f>IFERROR(__xludf.DUMMYFUNCTION("""COMPUTED_VALUE"""),42559.64583333333)</f>
        <v>42559.64583</v>
      </c>
      <c r="F134" s="8">
        <f>IFERROR(__xludf.DUMMYFUNCTION("""COMPUTED_VALUE"""),587.42)</f>
        <v>587.42</v>
      </c>
      <c r="H134" s="4">
        <f t="shared" si="1"/>
        <v>699.48</v>
      </c>
      <c r="I134" s="16">
        <f t="shared" si="2"/>
        <v>680.01</v>
      </c>
      <c r="J134" s="16">
        <f t="shared" si="3"/>
        <v>18.84748524</v>
      </c>
      <c r="K134" s="16">
        <f t="shared" si="4"/>
        <v>698.8574852</v>
      </c>
      <c r="L134" s="16">
        <f t="shared" si="5"/>
        <v>661.1625148</v>
      </c>
      <c r="N134" s="17" t="str">
        <f t="shared" si="6"/>
        <v>F</v>
      </c>
      <c r="O134" s="17" t="str">
        <f t="shared" si="7"/>
        <v>T</v>
      </c>
      <c r="P134" s="8">
        <f t="shared" si="8"/>
        <v>0</v>
      </c>
      <c r="R134" s="17" t="str">
        <f t="shared" si="9"/>
        <v>T</v>
      </c>
      <c r="S134" s="3" t="str">
        <f t="shared" si="10"/>
        <v>F</v>
      </c>
      <c r="T134" s="8">
        <f t="shared" si="11"/>
        <v>-1</v>
      </c>
      <c r="V134" s="4">
        <f t="shared" si="12"/>
        <v>-1</v>
      </c>
      <c r="W134" s="8">
        <f t="shared" si="13"/>
        <v>1.76</v>
      </c>
      <c r="X134" s="8">
        <f t="shared" si="14"/>
        <v>-1.76</v>
      </c>
      <c r="Y134" s="8">
        <f t="shared" si="15"/>
        <v>-63.67</v>
      </c>
    </row>
    <row r="135">
      <c r="A135" s="2">
        <v>128.0</v>
      </c>
      <c r="B135" s="15">
        <f>IFERROR(__xludf.DUMMYFUNCTION("""COMPUTED_VALUE"""),42562.64583333333)</f>
        <v>42562.64583</v>
      </c>
      <c r="C135" s="8">
        <f>IFERROR(__xludf.DUMMYFUNCTION("""COMPUTED_VALUE"""),1314.1)</f>
        <v>1314.1</v>
      </c>
      <c r="E135" s="15">
        <f>IFERROR(__xludf.DUMMYFUNCTION("""COMPUTED_VALUE"""),42562.64583333333)</f>
        <v>42562.64583</v>
      </c>
      <c r="F135" s="8">
        <f>IFERROR(__xludf.DUMMYFUNCTION("""COMPUTED_VALUE"""),599.88)</f>
        <v>599.88</v>
      </c>
      <c r="H135" s="4">
        <f t="shared" si="1"/>
        <v>714.22</v>
      </c>
      <c r="I135" s="16">
        <f t="shared" si="2"/>
        <v>691.834</v>
      </c>
      <c r="J135" s="16">
        <f t="shared" si="3"/>
        <v>17.83039484</v>
      </c>
      <c r="K135" s="16">
        <f t="shared" si="4"/>
        <v>709.6643948</v>
      </c>
      <c r="L135" s="16">
        <f t="shared" si="5"/>
        <v>674.0036052</v>
      </c>
      <c r="N135" s="17" t="str">
        <f t="shared" si="6"/>
        <v>F</v>
      </c>
      <c r="O135" s="17" t="str">
        <f t="shared" si="7"/>
        <v>T</v>
      </c>
      <c r="P135" s="8">
        <f t="shared" si="8"/>
        <v>0</v>
      </c>
      <c r="R135" s="17" t="str">
        <f t="shared" si="9"/>
        <v>T</v>
      </c>
      <c r="S135" s="3" t="str">
        <f t="shared" si="10"/>
        <v>F</v>
      </c>
      <c r="T135" s="8">
        <f t="shared" si="11"/>
        <v>-1</v>
      </c>
      <c r="V135" s="4">
        <f t="shared" si="12"/>
        <v>-1</v>
      </c>
      <c r="W135" s="8">
        <f t="shared" si="13"/>
        <v>14.74</v>
      </c>
      <c r="X135" s="8">
        <f t="shared" si="14"/>
        <v>-14.74</v>
      </c>
      <c r="Y135" s="8">
        <f t="shared" si="15"/>
        <v>-78.41</v>
      </c>
    </row>
    <row r="136">
      <c r="A136" s="2">
        <v>129.0</v>
      </c>
      <c r="B136" s="15">
        <f>IFERROR(__xludf.DUMMYFUNCTION("""COMPUTED_VALUE"""),42563.64583333333)</f>
        <v>42563.64583</v>
      </c>
      <c r="C136" s="8">
        <f>IFERROR(__xludf.DUMMYFUNCTION("""COMPUTED_VALUE"""),1333.75)</f>
        <v>1333.75</v>
      </c>
      <c r="E136" s="15">
        <f>IFERROR(__xludf.DUMMYFUNCTION("""COMPUTED_VALUE"""),42563.64583333333)</f>
        <v>42563.64583</v>
      </c>
      <c r="F136" s="8">
        <f>IFERROR(__xludf.DUMMYFUNCTION("""COMPUTED_VALUE"""),601.08)</f>
        <v>601.08</v>
      </c>
      <c r="H136" s="4">
        <f t="shared" si="1"/>
        <v>732.67</v>
      </c>
      <c r="I136" s="16">
        <f t="shared" si="2"/>
        <v>704.398</v>
      </c>
      <c r="J136" s="16">
        <f t="shared" si="3"/>
        <v>20.41264363</v>
      </c>
      <c r="K136" s="16">
        <f t="shared" si="4"/>
        <v>724.8106436</v>
      </c>
      <c r="L136" s="16">
        <f t="shared" si="5"/>
        <v>683.9853564</v>
      </c>
      <c r="N136" s="17" t="str">
        <f t="shared" si="6"/>
        <v>F</v>
      </c>
      <c r="O136" s="17" t="str">
        <f t="shared" si="7"/>
        <v>T</v>
      </c>
      <c r="P136" s="8">
        <f t="shared" si="8"/>
        <v>0</v>
      </c>
      <c r="R136" s="17" t="str">
        <f t="shared" si="9"/>
        <v>T</v>
      </c>
      <c r="S136" s="3" t="str">
        <f t="shared" si="10"/>
        <v>F</v>
      </c>
      <c r="T136" s="8">
        <f t="shared" si="11"/>
        <v>-1</v>
      </c>
      <c r="V136" s="4">
        <f t="shared" si="12"/>
        <v>-1</v>
      </c>
      <c r="W136" s="8">
        <f t="shared" si="13"/>
        <v>18.45</v>
      </c>
      <c r="X136" s="8">
        <f t="shared" si="14"/>
        <v>-18.45</v>
      </c>
      <c r="Y136" s="8">
        <f t="shared" si="15"/>
        <v>-96.86</v>
      </c>
    </row>
    <row r="137">
      <c r="A137" s="2">
        <v>130.0</v>
      </c>
      <c r="B137" s="15">
        <f>IFERROR(__xludf.DUMMYFUNCTION("""COMPUTED_VALUE"""),42564.64583333333)</f>
        <v>42564.64583</v>
      </c>
      <c r="C137" s="8">
        <f>IFERROR(__xludf.DUMMYFUNCTION("""COMPUTED_VALUE"""),1330.45)</f>
        <v>1330.45</v>
      </c>
      <c r="E137" s="15">
        <f>IFERROR(__xludf.DUMMYFUNCTION("""COMPUTED_VALUE"""),42564.64583333333)</f>
        <v>42564.64583</v>
      </c>
      <c r="F137" s="8">
        <f>IFERROR(__xludf.DUMMYFUNCTION("""COMPUTED_VALUE"""),598.88)</f>
        <v>598.88</v>
      </c>
      <c r="H137" s="4">
        <f t="shared" si="1"/>
        <v>731.57</v>
      </c>
      <c r="I137" s="16">
        <f t="shared" si="2"/>
        <v>715.132</v>
      </c>
      <c r="J137" s="16">
        <f t="shared" si="3"/>
        <v>16.78380082</v>
      </c>
      <c r="K137" s="16">
        <f t="shared" si="4"/>
        <v>731.9158008</v>
      </c>
      <c r="L137" s="16">
        <f t="shared" si="5"/>
        <v>698.3481992</v>
      </c>
      <c r="N137" s="17" t="str">
        <f t="shared" si="6"/>
        <v>F</v>
      </c>
      <c r="O137" s="17" t="str">
        <f t="shared" si="7"/>
        <v>T</v>
      </c>
      <c r="P137" s="8">
        <f t="shared" si="8"/>
        <v>0</v>
      </c>
      <c r="R137" s="17" t="str">
        <f t="shared" si="9"/>
        <v>F</v>
      </c>
      <c r="S137" s="3" t="str">
        <f t="shared" si="10"/>
        <v>F</v>
      </c>
      <c r="T137" s="8">
        <f t="shared" si="11"/>
        <v>-1</v>
      </c>
      <c r="V137" s="4">
        <f t="shared" si="12"/>
        <v>-1</v>
      </c>
      <c r="W137" s="8">
        <f t="shared" si="13"/>
        <v>-1.1</v>
      </c>
      <c r="X137" s="8">
        <f t="shared" si="14"/>
        <v>1.1</v>
      </c>
      <c r="Y137" s="8">
        <f t="shared" si="15"/>
        <v>-95.76</v>
      </c>
    </row>
    <row r="138">
      <c r="A138" s="2">
        <v>131.0</v>
      </c>
      <c r="B138" s="15">
        <f>IFERROR(__xludf.DUMMYFUNCTION("""COMPUTED_VALUE"""),42565.64583333333)</f>
        <v>42565.64583</v>
      </c>
      <c r="C138" s="8">
        <f>IFERROR(__xludf.DUMMYFUNCTION("""COMPUTED_VALUE"""),1336.95)</f>
        <v>1336.95</v>
      </c>
      <c r="E138" s="15">
        <f>IFERROR(__xludf.DUMMYFUNCTION("""COMPUTED_VALUE"""),42565.64583333333)</f>
        <v>42565.64583</v>
      </c>
      <c r="F138" s="8">
        <f>IFERROR(__xludf.DUMMYFUNCTION("""COMPUTED_VALUE"""),600.17)</f>
        <v>600.17</v>
      </c>
      <c r="H138" s="4">
        <f t="shared" si="1"/>
        <v>736.78</v>
      </c>
      <c r="I138" s="16">
        <f t="shared" si="2"/>
        <v>722.944</v>
      </c>
      <c r="J138" s="16">
        <f t="shared" si="3"/>
        <v>15.70911614</v>
      </c>
      <c r="K138" s="16">
        <f t="shared" si="4"/>
        <v>738.6531161</v>
      </c>
      <c r="L138" s="16">
        <f t="shared" si="5"/>
        <v>707.2348839</v>
      </c>
      <c r="N138" s="17" t="str">
        <f t="shared" si="6"/>
        <v>F</v>
      </c>
      <c r="O138" s="17" t="str">
        <f t="shared" si="7"/>
        <v>T</v>
      </c>
      <c r="P138" s="8">
        <f t="shared" si="8"/>
        <v>0</v>
      </c>
      <c r="R138" s="17" t="str">
        <f t="shared" si="9"/>
        <v>F</v>
      </c>
      <c r="S138" s="3" t="str">
        <f t="shared" si="10"/>
        <v>F</v>
      </c>
      <c r="T138" s="8">
        <f t="shared" si="11"/>
        <v>-1</v>
      </c>
      <c r="V138" s="4">
        <f t="shared" si="12"/>
        <v>-1</v>
      </c>
      <c r="W138" s="8">
        <f t="shared" si="13"/>
        <v>5.21</v>
      </c>
      <c r="X138" s="8">
        <f t="shared" si="14"/>
        <v>-5.21</v>
      </c>
      <c r="Y138" s="8">
        <f t="shared" si="15"/>
        <v>-100.97</v>
      </c>
    </row>
    <row r="139">
      <c r="A139" s="2">
        <v>132.0</v>
      </c>
      <c r="B139" s="15">
        <f>IFERROR(__xludf.DUMMYFUNCTION("""COMPUTED_VALUE"""),42566.64583333333)</f>
        <v>42566.64583</v>
      </c>
      <c r="C139" s="8">
        <f>IFERROR(__xludf.DUMMYFUNCTION("""COMPUTED_VALUE"""),1364.1)</f>
        <v>1364.1</v>
      </c>
      <c r="E139" s="15">
        <f>IFERROR(__xludf.DUMMYFUNCTION("""COMPUTED_VALUE"""),42566.64583333333)</f>
        <v>42566.64583</v>
      </c>
      <c r="F139" s="8">
        <f>IFERROR(__xludf.DUMMYFUNCTION("""COMPUTED_VALUE"""),611.85)</f>
        <v>611.85</v>
      </c>
      <c r="H139" s="4">
        <f t="shared" si="1"/>
        <v>752.25</v>
      </c>
      <c r="I139" s="16">
        <f t="shared" si="2"/>
        <v>733.498</v>
      </c>
      <c r="J139" s="16">
        <f t="shared" si="3"/>
        <v>13.58724659</v>
      </c>
      <c r="K139" s="16">
        <f t="shared" si="4"/>
        <v>747.0852466</v>
      </c>
      <c r="L139" s="16">
        <f t="shared" si="5"/>
        <v>719.9107534</v>
      </c>
      <c r="N139" s="17" t="str">
        <f t="shared" si="6"/>
        <v>F</v>
      </c>
      <c r="O139" s="17" t="str">
        <f t="shared" si="7"/>
        <v>T</v>
      </c>
      <c r="P139" s="8">
        <f t="shared" si="8"/>
        <v>0</v>
      </c>
      <c r="R139" s="17" t="str">
        <f t="shared" si="9"/>
        <v>T</v>
      </c>
      <c r="S139" s="3" t="str">
        <f t="shared" si="10"/>
        <v>F</v>
      </c>
      <c r="T139" s="8">
        <f t="shared" si="11"/>
        <v>-1</v>
      </c>
      <c r="V139" s="4">
        <f t="shared" si="12"/>
        <v>-1</v>
      </c>
      <c r="W139" s="8">
        <f t="shared" si="13"/>
        <v>15.47</v>
      </c>
      <c r="X139" s="8">
        <f t="shared" si="14"/>
        <v>-15.47</v>
      </c>
      <c r="Y139" s="8">
        <f t="shared" si="15"/>
        <v>-116.44</v>
      </c>
    </row>
    <row r="140">
      <c r="A140" s="2">
        <v>133.0</v>
      </c>
      <c r="B140" s="15">
        <f>IFERROR(__xludf.DUMMYFUNCTION("""COMPUTED_VALUE"""),42569.64583333333)</f>
        <v>42569.64583</v>
      </c>
      <c r="C140" s="8">
        <f>IFERROR(__xludf.DUMMYFUNCTION("""COMPUTED_VALUE"""),1346.35)</f>
        <v>1346.35</v>
      </c>
      <c r="E140" s="15">
        <f>IFERROR(__xludf.DUMMYFUNCTION("""COMPUTED_VALUE"""),42569.64583333333)</f>
        <v>42569.64583</v>
      </c>
      <c r="F140" s="8">
        <f>IFERROR(__xludf.DUMMYFUNCTION("""COMPUTED_VALUE"""),613.73)</f>
        <v>613.73</v>
      </c>
      <c r="H140" s="4">
        <f t="shared" si="1"/>
        <v>732.62</v>
      </c>
      <c r="I140" s="16">
        <f t="shared" si="2"/>
        <v>737.178</v>
      </c>
      <c r="J140" s="16">
        <f t="shared" si="3"/>
        <v>8.658387263</v>
      </c>
      <c r="K140" s="16">
        <f t="shared" si="4"/>
        <v>745.8363873</v>
      </c>
      <c r="L140" s="16">
        <f t="shared" si="5"/>
        <v>728.5196127</v>
      </c>
      <c r="N140" s="17" t="str">
        <f t="shared" si="6"/>
        <v>F</v>
      </c>
      <c r="O140" s="17" t="str">
        <f t="shared" si="7"/>
        <v>F</v>
      </c>
      <c r="P140" s="8">
        <f t="shared" si="8"/>
        <v>0</v>
      </c>
      <c r="R140" s="17" t="str">
        <f t="shared" si="9"/>
        <v>F</v>
      </c>
      <c r="S140" s="3" t="str">
        <f t="shared" si="10"/>
        <v>T</v>
      </c>
      <c r="T140" s="8">
        <f t="shared" si="11"/>
        <v>0</v>
      </c>
      <c r="V140" s="4">
        <f t="shared" si="12"/>
        <v>0</v>
      </c>
      <c r="W140" s="8">
        <f t="shared" si="13"/>
        <v>-19.63</v>
      </c>
      <c r="X140" s="8">
        <f t="shared" si="14"/>
        <v>19.63</v>
      </c>
      <c r="Y140" s="8">
        <f t="shared" si="15"/>
        <v>-96.81</v>
      </c>
    </row>
    <row r="141">
      <c r="A141" s="2">
        <v>134.0</v>
      </c>
      <c r="B141" s="15">
        <f>IFERROR(__xludf.DUMMYFUNCTION("""COMPUTED_VALUE"""),42570.64583333333)</f>
        <v>42570.64583</v>
      </c>
      <c r="C141" s="8">
        <f>IFERROR(__xludf.DUMMYFUNCTION("""COMPUTED_VALUE"""),1338.55)</f>
        <v>1338.55</v>
      </c>
      <c r="E141" s="15">
        <f>IFERROR(__xludf.DUMMYFUNCTION("""COMPUTED_VALUE"""),42570.64583333333)</f>
        <v>42570.64583</v>
      </c>
      <c r="F141" s="8">
        <f>IFERROR(__xludf.DUMMYFUNCTION("""COMPUTED_VALUE"""),609.17)</f>
        <v>609.17</v>
      </c>
      <c r="H141" s="4">
        <f t="shared" si="1"/>
        <v>729.38</v>
      </c>
      <c r="I141" s="16">
        <f t="shared" si="2"/>
        <v>736.52</v>
      </c>
      <c r="J141" s="16">
        <f t="shared" si="3"/>
        <v>9.195006797</v>
      </c>
      <c r="K141" s="16">
        <f t="shared" si="4"/>
        <v>745.7150068</v>
      </c>
      <c r="L141" s="16">
        <f t="shared" si="5"/>
        <v>727.3249932</v>
      </c>
      <c r="N141" s="17" t="str">
        <f t="shared" si="6"/>
        <v>F</v>
      </c>
      <c r="O141" s="17" t="str">
        <f t="shared" si="7"/>
        <v>F</v>
      </c>
      <c r="P141" s="8">
        <f t="shared" si="8"/>
        <v>0</v>
      </c>
      <c r="R141" s="17" t="str">
        <f t="shared" si="9"/>
        <v>F</v>
      </c>
      <c r="S141" s="3" t="str">
        <f t="shared" si="10"/>
        <v>T</v>
      </c>
      <c r="T141" s="8">
        <f t="shared" si="11"/>
        <v>0</v>
      </c>
      <c r="V141" s="4">
        <f t="shared" si="12"/>
        <v>0</v>
      </c>
      <c r="W141" s="8">
        <f t="shared" si="13"/>
        <v>-3.24</v>
      </c>
      <c r="X141" s="8">
        <f t="shared" si="14"/>
        <v>0</v>
      </c>
      <c r="Y141" s="8">
        <f t="shared" si="15"/>
        <v>-96.81</v>
      </c>
    </row>
    <row r="142">
      <c r="A142" s="2">
        <v>135.0</v>
      </c>
      <c r="B142" s="15">
        <f>IFERROR(__xludf.DUMMYFUNCTION("""COMPUTED_VALUE"""),42571.64583333333)</f>
        <v>42571.64583</v>
      </c>
      <c r="C142" s="8">
        <f>IFERROR(__xludf.DUMMYFUNCTION("""COMPUTED_VALUE"""),1334.45)</f>
        <v>1334.45</v>
      </c>
      <c r="E142" s="15">
        <f>IFERROR(__xludf.DUMMYFUNCTION("""COMPUTED_VALUE"""),42571.64583333333)</f>
        <v>42571.64583</v>
      </c>
      <c r="F142" s="8">
        <f>IFERROR(__xludf.DUMMYFUNCTION("""COMPUTED_VALUE"""),616.1)</f>
        <v>616.1</v>
      </c>
      <c r="H142" s="4">
        <f t="shared" si="1"/>
        <v>718.35</v>
      </c>
      <c r="I142" s="16">
        <f t="shared" si="2"/>
        <v>733.876</v>
      </c>
      <c r="J142" s="16">
        <f t="shared" si="3"/>
        <v>12.33780086</v>
      </c>
      <c r="K142" s="16">
        <f t="shared" si="4"/>
        <v>746.2138009</v>
      </c>
      <c r="L142" s="16">
        <f t="shared" si="5"/>
        <v>721.5381991</v>
      </c>
      <c r="N142" s="17" t="str">
        <f t="shared" si="6"/>
        <v>T</v>
      </c>
      <c r="O142" s="17" t="str">
        <f t="shared" si="7"/>
        <v>F</v>
      </c>
      <c r="P142" s="8">
        <f t="shared" si="8"/>
        <v>1</v>
      </c>
      <c r="R142" s="17" t="str">
        <f t="shared" si="9"/>
        <v>F</v>
      </c>
      <c r="S142" s="3" t="str">
        <f t="shared" si="10"/>
        <v>T</v>
      </c>
      <c r="T142" s="8">
        <f t="shared" si="11"/>
        <v>0</v>
      </c>
      <c r="V142" s="4">
        <f t="shared" si="12"/>
        <v>1</v>
      </c>
      <c r="W142" s="8">
        <f t="shared" si="13"/>
        <v>-11.03</v>
      </c>
      <c r="X142" s="8">
        <f t="shared" si="14"/>
        <v>0</v>
      </c>
      <c r="Y142" s="8">
        <f t="shared" si="15"/>
        <v>-96.81</v>
      </c>
    </row>
    <row r="143">
      <c r="A143" s="2">
        <v>136.0</v>
      </c>
      <c r="B143" s="15">
        <f>IFERROR(__xludf.DUMMYFUNCTION("""COMPUTED_VALUE"""),42572.64583333333)</f>
        <v>42572.64583</v>
      </c>
      <c r="C143" s="8">
        <f>IFERROR(__xludf.DUMMYFUNCTION("""COMPUTED_VALUE"""),1332.9)</f>
        <v>1332.9</v>
      </c>
      <c r="E143" s="15">
        <f>IFERROR(__xludf.DUMMYFUNCTION("""COMPUTED_VALUE"""),42572.64583333333)</f>
        <v>42572.64583</v>
      </c>
      <c r="F143" s="8">
        <f>IFERROR(__xludf.DUMMYFUNCTION("""COMPUTED_VALUE"""),614.3)</f>
        <v>614.3</v>
      </c>
      <c r="H143" s="4">
        <f t="shared" si="1"/>
        <v>718.6</v>
      </c>
      <c r="I143" s="16">
        <f t="shared" si="2"/>
        <v>730.24</v>
      </c>
      <c r="J143" s="16">
        <f t="shared" si="3"/>
        <v>13.8537522</v>
      </c>
      <c r="K143" s="16">
        <f t="shared" si="4"/>
        <v>744.0937522</v>
      </c>
      <c r="L143" s="16">
        <f t="shared" si="5"/>
        <v>716.3862478</v>
      </c>
      <c r="N143" s="17" t="str">
        <f t="shared" si="6"/>
        <v>F</v>
      </c>
      <c r="O143" s="17" t="str">
        <f t="shared" si="7"/>
        <v>F</v>
      </c>
      <c r="P143" s="8">
        <f t="shared" si="8"/>
        <v>1</v>
      </c>
      <c r="R143" s="17" t="str">
        <f t="shared" si="9"/>
        <v>F</v>
      </c>
      <c r="S143" s="3" t="str">
        <f t="shared" si="10"/>
        <v>T</v>
      </c>
      <c r="T143" s="8">
        <f t="shared" si="11"/>
        <v>0</v>
      </c>
      <c r="V143" s="4">
        <f t="shared" si="12"/>
        <v>1</v>
      </c>
      <c r="W143" s="8">
        <f t="shared" si="13"/>
        <v>0.25</v>
      </c>
      <c r="X143" s="8">
        <f t="shared" si="14"/>
        <v>0.25</v>
      </c>
      <c r="Y143" s="8">
        <f t="shared" si="15"/>
        <v>-96.56</v>
      </c>
    </row>
    <row r="144">
      <c r="A144" s="2">
        <v>137.0</v>
      </c>
      <c r="B144" s="15">
        <f>IFERROR(__xludf.DUMMYFUNCTION("""COMPUTED_VALUE"""),42573.64583333333)</f>
        <v>42573.64583</v>
      </c>
      <c r="C144" s="8">
        <f>IFERROR(__xludf.DUMMYFUNCTION("""COMPUTED_VALUE"""),1357.0)</f>
        <v>1357</v>
      </c>
      <c r="E144" s="15">
        <f>IFERROR(__xludf.DUMMYFUNCTION("""COMPUTED_VALUE"""),42573.64583333333)</f>
        <v>42573.64583</v>
      </c>
      <c r="F144" s="8">
        <f>IFERROR(__xludf.DUMMYFUNCTION("""COMPUTED_VALUE"""),615.4)</f>
        <v>615.4</v>
      </c>
      <c r="H144" s="4">
        <f t="shared" si="1"/>
        <v>741.6</v>
      </c>
      <c r="I144" s="16">
        <f t="shared" si="2"/>
        <v>728.11</v>
      </c>
      <c r="J144" s="16">
        <f t="shared" si="3"/>
        <v>9.86953393</v>
      </c>
      <c r="K144" s="16">
        <f t="shared" si="4"/>
        <v>737.9795339</v>
      </c>
      <c r="L144" s="16">
        <f t="shared" si="5"/>
        <v>718.2404661</v>
      </c>
      <c r="N144" s="17" t="str">
        <f t="shared" si="6"/>
        <v>F</v>
      </c>
      <c r="O144" s="17" t="str">
        <f t="shared" si="7"/>
        <v>T</v>
      </c>
      <c r="P144" s="8">
        <f t="shared" si="8"/>
        <v>0</v>
      </c>
      <c r="R144" s="17" t="str">
        <f t="shared" si="9"/>
        <v>T</v>
      </c>
      <c r="S144" s="3" t="str">
        <f t="shared" si="10"/>
        <v>F</v>
      </c>
      <c r="T144" s="8">
        <f t="shared" si="11"/>
        <v>-1</v>
      </c>
      <c r="V144" s="4">
        <f t="shared" si="12"/>
        <v>-1</v>
      </c>
      <c r="W144" s="8">
        <f t="shared" si="13"/>
        <v>23</v>
      </c>
      <c r="X144" s="8">
        <f t="shared" si="14"/>
        <v>23</v>
      </c>
      <c r="Y144" s="8">
        <f t="shared" si="15"/>
        <v>-73.56</v>
      </c>
    </row>
    <row r="145">
      <c r="A145" s="2">
        <v>138.0</v>
      </c>
      <c r="B145" s="15">
        <f>IFERROR(__xludf.DUMMYFUNCTION("""COMPUTED_VALUE"""),42576.64583333333)</f>
        <v>42576.64583</v>
      </c>
      <c r="C145" s="8">
        <f>IFERROR(__xludf.DUMMYFUNCTION("""COMPUTED_VALUE"""),1382.0)</f>
        <v>1382</v>
      </c>
      <c r="E145" s="15">
        <f>IFERROR(__xludf.DUMMYFUNCTION("""COMPUTED_VALUE"""),42576.64583333333)</f>
        <v>42576.64583</v>
      </c>
      <c r="F145" s="8">
        <f>IFERROR(__xludf.DUMMYFUNCTION("""COMPUTED_VALUE"""),623.48)</f>
        <v>623.48</v>
      </c>
      <c r="H145" s="4">
        <f t="shared" si="1"/>
        <v>758.52</v>
      </c>
      <c r="I145" s="16">
        <f t="shared" si="2"/>
        <v>733.29</v>
      </c>
      <c r="J145" s="16">
        <f t="shared" si="3"/>
        <v>17.02862883</v>
      </c>
      <c r="K145" s="16">
        <f t="shared" si="4"/>
        <v>750.3186288</v>
      </c>
      <c r="L145" s="16">
        <f t="shared" si="5"/>
        <v>716.2613712</v>
      </c>
      <c r="N145" s="17" t="str">
        <f t="shared" si="6"/>
        <v>F</v>
      </c>
      <c r="O145" s="17" t="str">
        <f t="shared" si="7"/>
        <v>T</v>
      </c>
      <c r="P145" s="8">
        <f t="shared" si="8"/>
        <v>0</v>
      </c>
      <c r="R145" s="17" t="str">
        <f t="shared" si="9"/>
        <v>T</v>
      </c>
      <c r="S145" s="3" t="str">
        <f t="shared" si="10"/>
        <v>F</v>
      </c>
      <c r="T145" s="8">
        <f t="shared" si="11"/>
        <v>-1</v>
      </c>
      <c r="V145" s="4">
        <f t="shared" si="12"/>
        <v>-1</v>
      </c>
      <c r="W145" s="8">
        <f t="shared" si="13"/>
        <v>16.92</v>
      </c>
      <c r="X145" s="8">
        <f t="shared" si="14"/>
        <v>-16.92</v>
      </c>
      <c r="Y145" s="8">
        <f t="shared" si="15"/>
        <v>-90.48</v>
      </c>
    </row>
    <row r="146">
      <c r="A146" s="2">
        <v>139.0</v>
      </c>
      <c r="B146" s="15">
        <f>IFERROR(__xludf.DUMMYFUNCTION("""COMPUTED_VALUE"""),42577.64583333333)</f>
        <v>42577.64583</v>
      </c>
      <c r="C146" s="8">
        <f>IFERROR(__xludf.DUMMYFUNCTION("""COMPUTED_VALUE"""),1367.45)</f>
        <v>1367.45</v>
      </c>
      <c r="E146" s="15">
        <f>IFERROR(__xludf.DUMMYFUNCTION("""COMPUTED_VALUE"""),42577.64583333333)</f>
        <v>42577.64583</v>
      </c>
      <c r="F146" s="8">
        <f>IFERROR(__xludf.DUMMYFUNCTION("""COMPUTED_VALUE"""),619.4)</f>
        <v>619.4</v>
      </c>
      <c r="H146" s="4">
        <f t="shared" si="1"/>
        <v>748.05</v>
      </c>
      <c r="I146" s="16">
        <f t="shared" si="2"/>
        <v>737.024</v>
      </c>
      <c r="J146" s="16">
        <f t="shared" si="3"/>
        <v>17.97743391</v>
      </c>
      <c r="K146" s="16">
        <f t="shared" si="4"/>
        <v>755.0014339</v>
      </c>
      <c r="L146" s="16">
        <f t="shared" si="5"/>
        <v>719.0465661</v>
      </c>
      <c r="N146" s="17" t="str">
        <f t="shared" si="6"/>
        <v>F</v>
      </c>
      <c r="O146" s="17" t="str">
        <f t="shared" si="7"/>
        <v>T</v>
      </c>
      <c r="P146" s="8">
        <f t="shared" si="8"/>
        <v>0</v>
      </c>
      <c r="R146" s="17" t="str">
        <f t="shared" si="9"/>
        <v>F</v>
      </c>
      <c r="S146" s="3" t="str">
        <f t="shared" si="10"/>
        <v>F</v>
      </c>
      <c r="T146" s="8">
        <f t="shared" si="11"/>
        <v>-1</v>
      </c>
      <c r="V146" s="4">
        <f t="shared" si="12"/>
        <v>-1</v>
      </c>
      <c r="W146" s="8">
        <f t="shared" si="13"/>
        <v>-10.47</v>
      </c>
      <c r="X146" s="8">
        <f t="shared" si="14"/>
        <v>10.47</v>
      </c>
      <c r="Y146" s="8">
        <f t="shared" si="15"/>
        <v>-80.01</v>
      </c>
    </row>
    <row r="147">
      <c r="A147" s="2">
        <v>140.0</v>
      </c>
      <c r="B147" s="15">
        <f>IFERROR(__xludf.DUMMYFUNCTION("""COMPUTED_VALUE"""),42578.64583333333)</f>
        <v>42578.64583</v>
      </c>
      <c r="C147" s="8">
        <f>IFERROR(__xludf.DUMMYFUNCTION("""COMPUTED_VALUE"""),1387.7)</f>
        <v>1387.7</v>
      </c>
      <c r="E147" s="15">
        <f>IFERROR(__xludf.DUMMYFUNCTION("""COMPUTED_VALUE"""),42578.64583333333)</f>
        <v>42578.64583</v>
      </c>
      <c r="F147" s="8">
        <f>IFERROR(__xludf.DUMMYFUNCTION("""COMPUTED_VALUE"""),618.48)</f>
        <v>618.48</v>
      </c>
      <c r="H147" s="4">
        <f t="shared" si="1"/>
        <v>769.22</v>
      </c>
      <c r="I147" s="16">
        <f t="shared" si="2"/>
        <v>747.198</v>
      </c>
      <c r="J147" s="16">
        <f t="shared" si="3"/>
        <v>19.12501817</v>
      </c>
      <c r="K147" s="16">
        <f t="shared" si="4"/>
        <v>766.3230182</v>
      </c>
      <c r="L147" s="16">
        <f t="shared" si="5"/>
        <v>728.0729818</v>
      </c>
      <c r="N147" s="17" t="str">
        <f t="shared" si="6"/>
        <v>F</v>
      </c>
      <c r="O147" s="17" t="str">
        <f t="shared" si="7"/>
        <v>T</v>
      </c>
      <c r="P147" s="8">
        <f t="shared" si="8"/>
        <v>0</v>
      </c>
      <c r="R147" s="17" t="str">
        <f t="shared" si="9"/>
        <v>T</v>
      </c>
      <c r="S147" s="3" t="str">
        <f t="shared" si="10"/>
        <v>F</v>
      </c>
      <c r="T147" s="8">
        <f t="shared" si="11"/>
        <v>-1</v>
      </c>
      <c r="V147" s="4">
        <f t="shared" si="12"/>
        <v>-1</v>
      </c>
      <c r="W147" s="8">
        <f t="shared" si="13"/>
        <v>21.17</v>
      </c>
      <c r="X147" s="8">
        <f t="shared" si="14"/>
        <v>-21.17</v>
      </c>
      <c r="Y147" s="8">
        <f t="shared" si="15"/>
        <v>-101.18</v>
      </c>
    </row>
    <row r="148">
      <c r="A148" s="2">
        <v>141.0</v>
      </c>
      <c r="B148" s="15">
        <f>IFERROR(__xludf.DUMMYFUNCTION("""COMPUTED_VALUE"""),42579.64583333333)</f>
        <v>42579.64583</v>
      </c>
      <c r="C148" s="8">
        <f>IFERROR(__xludf.DUMMYFUNCTION("""COMPUTED_VALUE"""),1402.15)</f>
        <v>1402.15</v>
      </c>
      <c r="E148" s="15">
        <f>IFERROR(__xludf.DUMMYFUNCTION("""COMPUTED_VALUE"""),42579.64583333333)</f>
        <v>42579.64583</v>
      </c>
      <c r="F148" s="8">
        <f>IFERROR(__xludf.DUMMYFUNCTION("""COMPUTED_VALUE"""),624.23)</f>
        <v>624.23</v>
      </c>
      <c r="H148" s="4">
        <f t="shared" si="1"/>
        <v>777.92</v>
      </c>
      <c r="I148" s="16">
        <f t="shared" si="2"/>
        <v>759.062</v>
      </c>
      <c r="J148" s="16">
        <f t="shared" si="3"/>
        <v>14.87689887</v>
      </c>
      <c r="K148" s="16">
        <f t="shared" si="4"/>
        <v>773.9388989</v>
      </c>
      <c r="L148" s="16">
        <f t="shared" si="5"/>
        <v>744.1851011</v>
      </c>
      <c r="N148" s="17" t="str">
        <f t="shared" si="6"/>
        <v>F</v>
      </c>
      <c r="O148" s="17" t="str">
        <f t="shared" si="7"/>
        <v>T</v>
      </c>
      <c r="P148" s="8">
        <f t="shared" si="8"/>
        <v>0</v>
      </c>
      <c r="R148" s="17" t="str">
        <f t="shared" si="9"/>
        <v>T</v>
      </c>
      <c r="S148" s="3" t="str">
        <f t="shared" si="10"/>
        <v>F</v>
      </c>
      <c r="T148" s="8">
        <f t="shared" si="11"/>
        <v>-1</v>
      </c>
      <c r="V148" s="4">
        <f t="shared" si="12"/>
        <v>-1</v>
      </c>
      <c r="W148" s="8">
        <f t="shared" si="13"/>
        <v>8.7</v>
      </c>
      <c r="X148" s="8">
        <f t="shared" si="14"/>
        <v>-8.7</v>
      </c>
      <c r="Y148" s="8">
        <f t="shared" si="15"/>
        <v>-109.88</v>
      </c>
    </row>
    <row r="149">
      <c r="A149" s="2">
        <v>142.0</v>
      </c>
      <c r="B149" s="15">
        <f>IFERROR(__xludf.DUMMYFUNCTION("""COMPUTED_VALUE"""),42580.64583333333)</f>
        <v>42580.64583</v>
      </c>
      <c r="C149" s="8">
        <f>IFERROR(__xludf.DUMMYFUNCTION("""COMPUTED_VALUE"""),1374.5)</f>
        <v>1374.5</v>
      </c>
      <c r="E149" s="15">
        <f>IFERROR(__xludf.DUMMYFUNCTION("""COMPUTED_VALUE"""),42580.64583333333)</f>
        <v>42580.64583</v>
      </c>
      <c r="F149" s="8">
        <f>IFERROR(__xludf.DUMMYFUNCTION("""COMPUTED_VALUE"""),623.1)</f>
        <v>623.1</v>
      </c>
      <c r="H149" s="4">
        <f t="shared" si="1"/>
        <v>751.4</v>
      </c>
      <c r="I149" s="16">
        <f t="shared" si="2"/>
        <v>761.022</v>
      </c>
      <c r="J149" s="16">
        <f t="shared" si="3"/>
        <v>12.4485469</v>
      </c>
      <c r="K149" s="16">
        <f t="shared" si="4"/>
        <v>773.4705469</v>
      </c>
      <c r="L149" s="16">
        <f t="shared" si="5"/>
        <v>748.5734531</v>
      </c>
      <c r="N149" s="17" t="str">
        <f t="shared" si="6"/>
        <v>F</v>
      </c>
      <c r="O149" s="17" t="str">
        <f t="shared" si="7"/>
        <v>F</v>
      </c>
      <c r="P149" s="8">
        <f t="shared" si="8"/>
        <v>0</v>
      </c>
      <c r="R149" s="17" t="str">
        <f t="shared" si="9"/>
        <v>F</v>
      </c>
      <c r="S149" s="3" t="str">
        <f t="shared" si="10"/>
        <v>T</v>
      </c>
      <c r="T149" s="8">
        <f t="shared" si="11"/>
        <v>0</v>
      </c>
      <c r="V149" s="4">
        <f t="shared" si="12"/>
        <v>0</v>
      </c>
      <c r="W149" s="8">
        <f t="shared" si="13"/>
        <v>-26.52</v>
      </c>
      <c r="X149" s="8">
        <f t="shared" si="14"/>
        <v>26.52</v>
      </c>
      <c r="Y149" s="8">
        <f t="shared" si="15"/>
        <v>-83.36</v>
      </c>
    </row>
    <row r="150">
      <c r="A150" s="2">
        <v>143.0</v>
      </c>
      <c r="B150" s="15">
        <f>IFERROR(__xludf.DUMMYFUNCTION("""COMPUTED_VALUE"""),42583.64583333333)</f>
        <v>42583.64583</v>
      </c>
      <c r="C150" s="8">
        <f>IFERROR(__xludf.DUMMYFUNCTION("""COMPUTED_VALUE"""),1374.3)</f>
        <v>1374.3</v>
      </c>
      <c r="E150" s="15">
        <f>IFERROR(__xludf.DUMMYFUNCTION("""COMPUTED_VALUE"""),42583.64583333333)</f>
        <v>42583.64583</v>
      </c>
      <c r="F150" s="8">
        <f>IFERROR(__xludf.DUMMYFUNCTION("""COMPUTED_VALUE"""),621.15)</f>
        <v>621.15</v>
      </c>
      <c r="H150" s="4">
        <f t="shared" si="1"/>
        <v>753.15</v>
      </c>
      <c r="I150" s="16">
        <f t="shared" si="2"/>
        <v>759.948</v>
      </c>
      <c r="J150" s="16">
        <f t="shared" si="3"/>
        <v>12.94030796</v>
      </c>
      <c r="K150" s="16">
        <f t="shared" si="4"/>
        <v>772.888308</v>
      </c>
      <c r="L150" s="16">
        <f t="shared" si="5"/>
        <v>747.007692</v>
      </c>
      <c r="N150" s="17" t="str">
        <f t="shared" si="6"/>
        <v>F</v>
      </c>
      <c r="O150" s="17" t="str">
        <f t="shared" si="7"/>
        <v>F</v>
      </c>
      <c r="P150" s="8">
        <f t="shared" si="8"/>
        <v>0</v>
      </c>
      <c r="R150" s="17" t="str">
        <f t="shared" si="9"/>
        <v>F</v>
      </c>
      <c r="S150" s="3" t="str">
        <f t="shared" si="10"/>
        <v>T</v>
      </c>
      <c r="T150" s="8">
        <f t="shared" si="11"/>
        <v>0</v>
      </c>
      <c r="V150" s="4">
        <f t="shared" si="12"/>
        <v>0</v>
      </c>
      <c r="W150" s="8">
        <f t="shared" si="13"/>
        <v>1.75</v>
      </c>
      <c r="X150" s="8">
        <f t="shared" si="14"/>
        <v>0</v>
      </c>
      <c r="Y150" s="8">
        <f t="shared" si="15"/>
        <v>-83.36</v>
      </c>
    </row>
    <row r="151">
      <c r="A151" s="2">
        <v>144.0</v>
      </c>
      <c r="B151" s="15">
        <f>IFERROR(__xludf.DUMMYFUNCTION("""COMPUTED_VALUE"""),42584.64583333333)</f>
        <v>42584.64583</v>
      </c>
      <c r="C151" s="8">
        <f>IFERROR(__xludf.DUMMYFUNCTION("""COMPUTED_VALUE"""),1342.15)</f>
        <v>1342.15</v>
      </c>
      <c r="E151" s="15">
        <f>IFERROR(__xludf.DUMMYFUNCTION("""COMPUTED_VALUE"""),42584.64583333333)</f>
        <v>42584.64583</v>
      </c>
      <c r="F151" s="8">
        <f>IFERROR(__xludf.DUMMYFUNCTION("""COMPUTED_VALUE"""),621.65)</f>
        <v>621.65</v>
      </c>
      <c r="H151" s="4">
        <f t="shared" si="1"/>
        <v>720.5</v>
      </c>
      <c r="I151" s="16">
        <f t="shared" si="2"/>
        <v>754.438</v>
      </c>
      <c r="J151" s="16">
        <f t="shared" si="3"/>
        <v>21.98060554</v>
      </c>
      <c r="K151" s="16">
        <f t="shared" si="4"/>
        <v>776.4186055</v>
      </c>
      <c r="L151" s="16">
        <f t="shared" si="5"/>
        <v>732.4573945</v>
      </c>
      <c r="N151" s="17" t="str">
        <f t="shared" si="6"/>
        <v>T</v>
      </c>
      <c r="O151" s="17" t="str">
        <f t="shared" si="7"/>
        <v>F</v>
      </c>
      <c r="P151" s="8">
        <f t="shared" si="8"/>
        <v>1</v>
      </c>
      <c r="R151" s="17" t="str">
        <f t="shared" si="9"/>
        <v>F</v>
      </c>
      <c r="S151" s="3" t="str">
        <f t="shared" si="10"/>
        <v>T</v>
      </c>
      <c r="T151" s="8">
        <f t="shared" si="11"/>
        <v>0</v>
      </c>
      <c r="V151" s="4">
        <f t="shared" si="12"/>
        <v>1</v>
      </c>
      <c r="W151" s="8">
        <f t="shared" si="13"/>
        <v>-32.65</v>
      </c>
      <c r="X151" s="8">
        <f t="shared" si="14"/>
        <v>0</v>
      </c>
      <c r="Y151" s="8">
        <f t="shared" si="15"/>
        <v>-83.36</v>
      </c>
    </row>
    <row r="152">
      <c r="A152" s="2">
        <v>145.0</v>
      </c>
      <c r="B152" s="15">
        <f>IFERROR(__xludf.DUMMYFUNCTION("""COMPUTED_VALUE"""),42585.64583333333)</f>
        <v>42585.64583</v>
      </c>
      <c r="C152" s="8">
        <f>IFERROR(__xludf.DUMMYFUNCTION("""COMPUTED_VALUE"""),1325.45)</f>
        <v>1325.45</v>
      </c>
      <c r="E152" s="15">
        <f>IFERROR(__xludf.DUMMYFUNCTION("""COMPUTED_VALUE"""),42585.64583333333)</f>
        <v>42585.64583</v>
      </c>
      <c r="F152" s="8">
        <f>IFERROR(__xludf.DUMMYFUNCTION("""COMPUTED_VALUE"""),620.23)</f>
        <v>620.23</v>
      </c>
      <c r="H152" s="4">
        <f t="shared" si="1"/>
        <v>705.22</v>
      </c>
      <c r="I152" s="16">
        <f t="shared" si="2"/>
        <v>741.638</v>
      </c>
      <c r="J152" s="16">
        <f t="shared" si="3"/>
        <v>28.79796903</v>
      </c>
      <c r="K152" s="16">
        <f t="shared" si="4"/>
        <v>770.435969</v>
      </c>
      <c r="L152" s="16">
        <f t="shared" si="5"/>
        <v>712.840031</v>
      </c>
      <c r="N152" s="17" t="str">
        <f t="shared" si="6"/>
        <v>T</v>
      </c>
      <c r="O152" s="17" t="str">
        <f t="shared" si="7"/>
        <v>F</v>
      </c>
      <c r="P152" s="8">
        <f t="shared" si="8"/>
        <v>1</v>
      </c>
      <c r="R152" s="17" t="str">
        <f t="shared" si="9"/>
        <v>F</v>
      </c>
      <c r="S152" s="3" t="str">
        <f t="shared" si="10"/>
        <v>T</v>
      </c>
      <c r="T152" s="8">
        <f t="shared" si="11"/>
        <v>0</v>
      </c>
      <c r="V152" s="4">
        <f t="shared" si="12"/>
        <v>1</v>
      </c>
      <c r="W152" s="8">
        <f t="shared" si="13"/>
        <v>-15.28</v>
      </c>
      <c r="X152" s="8">
        <f t="shared" si="14"/>
        <v>-15.28</v>
      </c>
      <c r="Y152" s="8">
        <f t="shared" si="15"/>
        <v>-98.64</v>
      </c>
    </row>
    <row r="153">
      <c r="A153" s="2">
        <v>146.0</v>
      </c>
      <c r="B153" s="15">
        <f>IFERROR(__xludf.DUMMYFUNCTION("""COMPUTED_VALUE"""),42586.64583333333)</f>
        <v>42586.64583</v>
      </c>
      <c r="C153" s="8">
        <f>IFERROR(__xludf.DUMMYFUNCTION("""COMPUTED_VALUE"""),1320.15)</f>
        <v>1320.15</v>
      </c>
      <c r="E153" s="15">
        <f>IFERROR(__xludf.DUMMYFUNCTION("""COMPUTED_VALUE"""),42586.64583333333)</f>
        <v>42586.64583</v>
      </c>
      <c r="F153" s="8">
        <f>IFERROR(__xludf.DUMMYFUNCTION("""COMPUTED_VALUE"""),620.5)</f>
        <v>620.5</v>
      </c>
      <c r="H153" s="4">
        <f t="shared" si="1"/>
        <v>699.65</v>
      </c>
      <c r="I153" s="16">
        <f t="shared" si="2"/>
        <v>725.984</v>
      </c>
      <c r="J153" s="16">
        <f t="shared" si="3"/>
        <v>25.19256894</v>
      </c>
      <c r="K153" s="16">
        <f t="shared" si="4"/>
        <v>751.1765689</v>
      </c>
      <c r="L153" s="16">
        <f t="shared" si="5"/>
        <v>700.7914311</v>
      </c>
      <c r="N153" s="17" t="str">
        <f t="shared" si="6"/>
        <v>T</v>
      </c>
      <c r="O153" s="17" t="str">
        <f t="shared" si="7"/>
        <v>F</v>
      </c>
      <c r="P153" s="8">
        <f t="shared" si="8"/>
        <v>1</v>
      </c>
      <c r="R153" s="17" t="str">
        <f t="shared" si="9"/>
        <v>F</v>
      </c>
      <c r="S153" s="3" t="str">
        <f t="shared" si="10"/>
        <v>T</v>
      </c>
      <c r="T153" s="8">
        <f t="shared" si="11"/>
        <v>0</v>
      </c>
      <c r="V153" s="4">
        <f t="shared" si="12"/>
        <v>1</v>
      </c>
      <c r="W153" s="8">
        <f t="shared" si="13"/>
        <v>-5.57</v>
      </c>
      <c r="X153" s="8">
        <f t="shared" si="14"/>
        <v>-5.57</v>
      </c>
      <c r="Y153" s="8">
        <f t="shared" si="15"/>
        <v>-104.21</v>
      </c>
    </row>
    <row r="154">
      <c r="A154" s="2">
        <v>147.0</v>
      </c>
      <c r="B154" s="15">
        <f>IFERROR(__xludf.DUMMYFUNCTION("""COMPUTED_VALUE"""),42587.64583333333)</f>
        <v>42587.64583</v>
      </c>
      <c r="C154" s="8">
        <f>IFERROR(__xludf.DUMMYFUNCTION("""COMPUTED_VALUE"""),1342.1)</f>
        <v>1342.1</v>
      </c>
      <c r="E154" s="15">
        <f>IFERROR(__xludf.DUMMYFUNCTION("""COMPUTED_VALUE"""),42587.64583333333)</f>
        <v>42587.64583</v>
      </c>
      <c r="F154" s="8">
        <f>IFERROR(__xludf.DUMMYFUNCTION("""COMPUTED_VALUE"""),624.63)</f>
        <v>624.63</v>
      </c>
      <c r="H154" s="4">
        <f t="shared" si="1"/>
        <v>717.47</v>
      </c>
      <c r="I154" s="16">
        <f t="shared" si="2"/>
        <v>719.198</v>
      </c>
      <c r="J154" s="16">
        <f t="shared" si="3"/>
        <v>20.82623514</v>
      </c>
      <c r="K154" s="16">
        <f t="shared" si="4"/>
        <v>740.0242351</v>
      </c>
      <c r="L154" s="16">
        <f t="shared" si="5"/>
        <v>698.3717649</v>
      </c>
      <c r="N154" s="17" t="str">
        <f t="shared" si="6"/>
        <v>F</v>
      </c>
      <c r="O154" s="17" t="str">
        <f t="shared" si="7"/>
        <v>F</v>
      </c>
      <c r="P154" s="8">
        <f t="shared" si="8"/>
        <v>1</v>
      </c>
      <c r="R154" s="17" t="str">
        <f t="shared" si="9"/>
        <v>F</v>
      </c>
      <c r="S154" s="3" t="str">
        <f t="shared" si="10"/>
        <v>T</v>
      </c>
      <c r="T154" s="8">
        <f t="shared" si="11"/>
        <v>0</v>
      </c>
      <c r="V154" s="4">
        <f t="shared" si="12"/>
        <v>1</v>
      </c>
      <c r="W154" s="8">
        <f t="shared" si="13"/>
        <v>17.82</v>
      </c>
      <c r="X154" s="8">
        <f t="shared" si="14"/>
        <v>17.82</v>
      </c>
      <c r="Y154" s="8">
        <f t="shared" si="15"/>
        <v>-86.39</v>
      </c>
    </row>
    <row r="155">
      <c r="A155" s="2">
        <v>148.0</v>
      </c>
      <c r="B155" s="15">
        <f>IFERROR(__xludf.DUMMYFUNCTION("""COMPUTED_VALUE"""),42590.64583333333)</f>
        <v>42590.64583</v>
      </c>
      <c r="C155" s="8">
        <f>IFERROR(__xludf.DUMMYFUNCTION("""COMPUTED_VALUE"""),1367.45)</f>
        <v>1367.45</v>
      </c>
      <c r="E155" s="15">
        <f>IFERROR(__xludf.DUMMYFUNCTION("""COMPUTED_VALUE"""),42590.64583333333)</f>
        <v>42590.64583</v>
      </c>
      <c r="F155" s="8">
        <f>IFERROR(__xludf.DUMMYFUNCTION("""COMPUTED_VALUE"""),624.8)</f>
        <v>624.8</v>
      </c>
      <c r="H155" s="4">
        <f t="shared" si="1"/>
        <v>742.65</v>
      </c>
      <c r="I155" s="16">
        <f t="shared" si="2"/>
        <v>717.098</v>
      </c>
      <c r="J155" s="16">
        <f t="shared" si="3"/>
        <v>16.65935383</v>
      </c>
      <c r="K155" s="16">
        <f t="shared" si="4"/>
        <v>733.7573538</v>
      </c>
      <c r="L155" s="16">
        <f t="shared" si="5"/>
        <v>700.4386462</v>
      </c>
      <c r="N155" s="17" t="str">
        <f t="shared" si="6"/>
        <v>F</v>
      </c>
      <c r="O155" s="17" t="str">
        <f t="shared" si="7"/>
        <v>T</v>
      </c>
      <c r="P155" s="8">
        <f t="shared" si="8"/>
        <v>0</v>
      </c>
      <c r="R155" s="17" t="str">
        <f t="shared" si="9"/>
        <v>T</v>
      </c>
      <c r="S155" s="3" t="str">
        <f t="shared" si="10"/>
        <v>F</v>
      </c>
      <c r="T155" s="8">
        <f t="shared" si="11"/>
        <v>-1</v>
      </c>
      <c r="V155" s="4">
        <f t="shared" si="12"/>
        <v>-1</v>
      </c>
      <c r="W155" s="8">
        <f t="shared" si="13"/>
        <v>25.18</v>
      </c>
      <c r="X155" s="8">
        <f t="shared" si="14"/>
        <v>25.18</v>
      </c>
      <c r="Y155" s="8">
        <f t="shared" si="15"/>
        <v>-61.21</v>
      </c>
    </row>
    <row r="156">
      <c r="A156" s="2">
        <v>149.0</v>
      </c>
      <c r="B156" s="15">
        <f>IFERROR(__xludf.DUMMYFUNCTION("""COMPUTED_VALUE"""),42591.64583333333)</f>
        <v>42591.64583</v>
      </c>
      <c r="C156" s="8">
        <f>IFERROR(__xludf.DUMMYFUNCTION("""COMPUTED_VALUE"""),1343.0)</f>
        <v>1343</v>
      </c>
      <c r="E156" s="15">
        <f>IFERROR(__xludf.DUMMYFUNCTION("""COMPUTED_VALUE"""),42591.64583333333)</f>
        <v>42591.64583</v>
      </c>
      <c r="F156" s="8">
        <f>IFERROR(__xludf.DUMMYFUNCTION("""COMPUTED_VALUE"""),623.6)</f>
        <v>623.6</v>
      </c>
      <c r="H156" s="4">
        <f t="shared" si="1"/>
        <v>719.4</v>
      </c>
      <c r="I156" s="16">
        <f t="shared" si="2"/>
        <v>716.878</v>
      </c>
      <c r="J156" s="16">
        <f t="shared" si="3"/>
        <v>16.61038741</v>
      </c>
      <c r="K156" s="16">
        <f t="shared" si="4"/>
        <v>733.4883874</v>
      </c>
      <c r="L156" s="16">
        <f t="shared" si="5"/>
        <v>700.2676126</v>
      </c>
      <c r="N156" s="17" t="str">
        <f t="shared" si="6"/>
        <v>F</v>
      </c>
      <c r="O156" s="17" t="str">
        <f t="shared" si="7"/>
        <v>T</v>
      </c>
      <c r="P156" s="8">
        <f t="shared" si="8"/>
        <v>0</v>
      </c>
      <c r="R156" s="17" t="str">
        <f t="shared" si="9"/>
        <v>F</v>
      </c>
      <c r="S156" s="3" t="str">
        <f t="shared" si="10"/>
        <v>F</v>
      </c>
      <c r="T156" s="8">
        <f t="shared" si="11"/>
        <v>-1</v>
      </c>
      <c r="V156" s="4">
        <f t="shared" si="12"/>
        <v>-1</v>
      </c>
      <c r="W156" s="8">
        <f t="shared" si="13"/>
        <v>-23.25</v>
      </c>
      <c r="X156" s="8">
        <f t="shared" si="14"/>
        <v>23.25</v>
      </c>
      <c r="Y156" s="8">
        <f t="shared" si="15"/>
        <v>-37.96</v>
      </c>
    </row>
    <row r="157">
      <c r="A157" s="2">
        <v>150.0</v>
      </c>
      <c r="B157" s="15">
        <f>IFERROR(__xludf.DUMMYFUNCTION("""COMPUTED_VALUE"""),42592.64583333333)</f>
        <v>42592.64583</v>
      </c>
      <c r="C157" s="8">
        <f>IFERROR(__xludf.DUMMYFUNCTION("""COMPUTED_VALUE"""),1337.15)</f>
        <v>1337.15</v>
      </c>
      <c r="E157" s="15">
        <f>IFERROR(__xludf.DUMMYFUNCTION("""COMPUTED_VALUE"""),42592.64583333333)</f>
        <v>42592.64583</v>
      </c>
      <c r="F157" s="8">
        <f>IFERROR(__xludf.DUMMYFUNCTION("""COMPUTED_VALUE"""),613.45)</f>
        <v>613.45</v>
      </c>
      <c r="H157" s="4">
        <f t="shared" si="1"/>
        <v>723.7</v>
      </c>
      <c r="I157" s="16">
        <f t="shared" si="2"/>
        <v>720.574</v>
      </c>
      <c r="J157" s="16">
        <f t="shared" si="3"/>
        <v>15.37813805</v>
      </c>
      <c r="K157" s="16">
        <f t="shared" si="4"/>
        <v>735.9521381</v>
      </c>
      <c r="L157" s="16">
        <f t="shared" si="5"/>
        <v>705.1958619</v>
      </c>
      <c r="N157" s="17" t="str">
        <f t="shared" si="6"/>
        <v>F</v>
      </c>
      <c r="O157" s="17" t="str">
        <f t="shared" si="7"/>
        <v>T</v>
      </c>
      <c r="P157" s="8">
        <f t="shared" si="8"/>
        <v>0</v>
      </c>
      <c r="R157" s="17" t="str">
        <f t="shared" si="9"/>
        <v>F</v>
      </c>
      <c r="S157" s="3" t="str">
        <f t="shared" si="10"/>
        <v>F</v>
      </c>
      <c r="T157" s="8">
        <f t="shared" si="11"/>
        <v>-1</v>
      </c>
      <c r="V157" s="4">
        <f t="shared" si="12"/>
        <v>-1</v>
      </c>
      <c r="W157" s="8">
        <f t="shared" si="13"/>
        <v>4.3</v>
      </c>
      <c r="X157" s="8">
        <f t="shared" si="14"/>
        <v>-4.3</v>
      </c>
      <c r="Y157" s="8">
        <f t="shared" si="15"/>
        <v>-42.26</v>
      </c>
    </row>
    <row r="158">
      <c r="A158" s="2">
        <v>151.0</v>
      </c>
      <c r="B158" s="15">
        <f>IFERROR(__xludf.DUMMYFUNCTION("""COMPUTED_VALUE"""),42593.64583333333)</f>
        <v>42593.64583</v>
      </c>
      <c r="C158" s="8">
        <f>IFERROR(__xludf.DUMMYFUNCTION("""COMPUTED_VALUE"""),1348.45)</f>
        <v>1348.45</v>
      </c>
      <c r="E158" s="15">
        <f>IFERROR(__xludf.DUMMYFUNCTION("""COMPUTED_VALUE"""),42593.64583333333)</f>
        <v>42593.64583</v>
      </c>
      <c r="F158" s="8">
        <f>IFERROR(__xludf.DUMMYFUNCTION("""COMPUTED_VALUE"""),614.13)</f>
        <v>614.13</v>
      </c>
      <c r="H158" s="4">
        <f t="shared" si="1"/>
        <v>734.32</v>
      </c>
      <c r="I158" s="16">
        <f t="shared" si="2"/>
        <v>727.508</v>
      </c>
      <c r="J158" s="16">
        <f t="shared" si="3"/>
        <v>10.68510037</v>
      </c>
      <c r="K158" s="16">
        <f t="shared" si="4"/>
        <v>738.1931004</v>
      </c>
      <c r="L158" s="16">
        <f t="shared" si="5"/>
        <v>716.8228996</v>
      </c>
      <c r="N158" s="17" t="str">
        <f t="shared" si="6"/>
        <v>F</v>
      </c>
      <c r="O158" s="17" t="str">
        <f t="shared" si="7"/>
        <v>T</v>
      </c>
      <c r="P158" s="8">
        <f t="shared" si="8"/>
        <v>0</v>
      </c>
      <c r="R158" s="17" t="str">
        <f t="shared" si="9"/>
        <v>F</v>
      </c>
      <c r="S158" s="3" t="str">
        <f t="shared" si="10"/>
        <v>F</v>
      </c>
      <c r="T158" s="8">
        <f t="shared" si="11"/>
        <v>-1</v>
      </c>
      <c r="V158" s="4">
        <f t="shared" si="12"/>
        <v>-1</v>
      </c>
      <c r="W158" s="8">
        <f t="shared" si="13"/>
        <v>10.62</v>
      </c>
      <c r="X158" s="8">
        <f t="shared" si="14"/>
        <v>-10.62</v>
      </c>
      <c r="Y158" s="8">
        <f t="shared" si="15"/>
        <v>-52.88</v>
      </c>
    </row>
    <row r="159">
      <c r="A159" s="2">
        <v>152.0</v>
      </c>
      <c r="B159" s="15">
        <f>IFERROR(__xludf.DUMMYFUNCTION("""COMPUTED_VALUE"""),42594.64583333333)</f>
        <v>42594.64583</v>
      </c>
      <c r="C159" s="8">
        <f>IFERROR(__xludf.DUMMYFUNCTION("""COMPUTED_VALUE"""),1382.15)</f>
        <v>1382.15</v>
      </c>
      <c r="E159" s="15">
        <f>IFERROR(__xludf.DUMMYFUNCTION("""COMPUTED_VALUE"""),42594.64583333333)</f>
        <v>42594.64583</v>
      </c>
      <c r="F159" s="8">
        <f>IFERROR(__xludf.DUMMYFUNCTION("""COMPUTED_VALUE"""),614.35)</f>
        <v>614.35</v>
      </c>
      <c r="H159" s="4">
        <f t="shared" si="1"/>
        <v>767.8</v>
      </c>
      <c r="I159" s="16">
        <f t="shared" si="2"/>
        <v>737.574</v>
      </c>
      <c r="J159" s="16">
        <f t="shared" si="3"/>
        <v>19.18819637</v>
      </c>
      <c r="K159" s="16">
        <f t="shared" si="4"/>
        <v>756.7621964</v>
      </c>
      <c r="L159" s="16">
        <f t="shared" si="5"/>
        <v>718.3858036</v>
      </c>
      <c r="N159" s="17" t="str">
        <f t="shared" si="6"/>
        <v>F</v>
      </c>
      <c r="O159" s="17" t="str">
        <f t="shared" si="7"/>
        <v>T</v>
      </c>
      <c r="P159" s="8">
        <f t="shared" si="8"/>
        <v>0</v>
      </c>
      <c r="R159" s="17" t="str">
        <f t="shared" si="9"/>
        <v>T</v>
      </c>
      <c r="S159" s="3" t="str">
        <f t="shared" si="10"/>
        <v>F</v>
      </c>
      <c r="T159" s="8">
        <f t="shared" si="11"/>
        <v>-1</v>
      </c>
      <c r="V159" s="4">
        <f t="shared" si="12"/>
        <v>-1</v>
      </c>
      <c r="W159" s="8">
        <f t="shared" si="13"/>
        <v>33.48</v>
      </c>
      <c r="X159" s="8">
        <f t="shared" si="14"/>
        <v>-33.48</v>
      </c>
      <c r="Y159" s="8">
        <f t="shared" si="15"/>
        <v>-86.36</v>
      </c>
    </row>
    <row r="160">
      <c r="A160" s="2">
        <v>153.0</v>
      </c>
      <c r="B160" s="15">
        <f>IFERROR(__xludf.DUMMYFUNCTION("""COMPUTED_VALUE"""),42598.64583333333)</f>
        <v>42598.64583</v>
      </c>
      <c r="C160" s="8">
        <f>IFERROR(__xludf.DUMMYFUNCTION("""COMPUTED_VALUE"""),1358.55)</f>
        <v>1358.55</v>
      </c>
      <c r="E160" s="15">
        <f>IFERROR(__xludf.DUMMYFUNCTION("""COMPUTED_VALUE"""),42598.64583333333)</f>
        <v>42598.64583</v>
      </c>
      <c r="F160" s="8">
        <f>IFERROR(__xludf.DUMMYFUNCTION("""COMPUTED_VALUE"""),613.65)</f>
        <v>613.65</v>
      </c>
      <c r="H160" s="4">
        <f t="shared" si="1"/>
        <v>744.9</v>
      </c>
      <c r="I160" s="16">
        <f t="shared" si="2"/>
        <v>738.024</v>
      </c>
      <c r="J160" s="16">
        <f t="shared" si="3"/>
        <v>19.3625897</v>
      </c>
      <c r="K160" s="16">
        <f t="shared" si="4"/>
        <v>757.3865897</v>
      </c>
      <c r="L160" s="16">
        <f t="shared" si="5"/>
        <v>718.6614103</v>
      </c>
      <c r="N160" s="17" t="str">
        <f t="shared" si="6"/>
        <v>F</v>
      </c>
      <c r="O160" s="17" t="str">
        <f t="shared" si="7"/>
        <v>T</v>
      </c>
      <c r="P160" s="8">
        <f t="shared" si="8"/>
        <v>0</v>
      </c>
      <c r="R160" s="17" t="str">
        <f t="shared" si="9"/>
        <v>F</v>
      </c>
      <c r="S160" s="3" t="str">
        <f t="shared" si="10"/>
        <v>F</v>
      </c>
      <c r="T160" s="8">
        <f t="shared" si="11"/>
        <v>-1</v>
      </c>
      <c r="V160" s="4">
        <f t="shared" si="12"/>
        <v>-1</v>
      </c>
      <c r="W160" s="8">
        <f t="shared" si="13"/>
        <v>-22.9</v>
      </c>
      <c r="X160" s="8">
        <f t="shared" si="14"/>
        <v>22.9</v>
      </c>
      <c r="Y160" s="8">
        <f t="shared" si="15"/>
        <v>-63.46</v>
      </c>
    </row>
    <row r="161">
      <c r="A161" s="2">
        <v>154.0</v>
      </c>
      <c r="B161" s="15">
        <f>IFERROR(__xludf.DUMMYFUNCTION("""COMPUTED_VALUE"""),42599.64583333333)</f>
        <v>42599.64583</v>
      </c>
      <c r="C161" s="8">
        <f>IFERROR(__xludf.DUMMYFUNCTION("""COMPUTED_VALUE"""),1366.9)</f>
        <v>1366.9</v>
      </c>
      <c r="E161" s="15">
        <f>IFERROR(__xludf.DUMMYFUNCTION("""COMPUTED_VALUE"""),42599.64583333333)</f>
        <v>42599.64583</v>
      </c>
      <c r="F161" s="8">
        <f>IFERROR(__xludf.DUMMYFUNCTION("""COMPUTED_VALUE"""),617.45)</f>
        <v>617.45</v>
      </c>
      <c r="H161" s="4">
        <f t="shared" si="1"/>
        <v>749.45</v>
      </c>
      <c r="I161" s="16">
        <f t="shared" si="2"/>
        <v>744.034</v>
      </c>
      <c r="J161" s="16">
        <f t="shared" si="3"/>
        <v>16.60375801</v>
      </c>
      <c r="K161" s="16">
        <f t="shared" si="4"/>
        <v>760.637758</v>
      </c>
      <c r="L161" s="16">
        <f t="shared" si="5"/>
        <v>727.430242</v>
      </c>
      <c r="N161" s="17" t="str">
        <f t="shared" si="6"/>
        <v>F</v>
      </c>
      <c r="O161" s="17" t="str">
        <f t="shared" si="7"/>
        <v>T</v>
      </c>
      <c r="P161" s="8">
        <f t="shared" si="8"/>
        <v>0</v>
      </c>
      <c r="R161" s="17" t="str">
        <f t="shared" si="9"/>
        <v>F</v>
      </c>
      <c r="S161" s="3" t="str">
        <f t="shared" si="10"/>
        <v>F</v>
      </c>
      <c r="T161" s="8">
        <f t="shared" si="11"/>
        <v>-1</v>
      </c>
      <c r="V161" s="4">
        <f t="shared" si="12"/>
        <v>-1</v>
      </c>
      <c r="W161" s="8">
        <f t="shared" si="13"/>
        <v>4.55</v>
      </c>
      <c r="X161" s="8">
        <f t="shared" si="14"/>
        <v>-4.55</v>
      </c>
      <c r="Y161" s="8">
        <f t="shared" si="15"/>
        <v>-68.01</v>
      </c>
    </row>
    <row r="162">
      <c r="A162" s="2">
        <v>155.0</v>
      </c>
      <c r="B162" s="15">
        <f>IFERROR(__xludf.DUMMYFUNCTION("""COMPUTED_VALUE"""),42600.64583333333)</f>
        <v>42600.64583</v>
      </c>
      <c r="C162" s="8">
        <f>IFERROR(__xludf.DUMMYFUNCTION("""COMPUTED_VALUE"""),1374.3)</f>
        <v>1374.3</v>
      </c>
      <c r="E162" s="15">
        <f>IFERROR(__xludf.DUMMYFUNCTION("""COMPUTED_VALUE"""),42600.64583333333)</f>
        <v>42600.64583</v>
      </c>
      <c r="F162" s="8">
        <f>IFERROR(__xludf.DUMMYFUNCTION("""COMPUTED_VALUE"""),626.25)</f>
        <v>626.25</v>
      </c>
      <c r="H162" s="4">
        <f t="shared" si="1"/>
        <v>748.05</v>
      </c>
      <c r="I162" s="16">
        <f t="shared" si="2"/>
        <v>748.904</v>
      </c>
      <c r="J162" s="16">
        <f t="shared" si="3"/>
        <v>12.11209437</v>
      </c>
      <c r="K162" s="16">
        <f t="shared" si="4"/>
        <v>761.0160944</v>
      </c>
      <c r="L162" s="16">
        <f t="shared" si="5"/>
        <v>736.7919056</v>
      </c>
      <c r="N162" s="17" t="str">
        <f t="shared" si="6"/>
        <v>F</v>
      </c>
      <c r="O162" s="17" t="str">
        <f t="shared" si="7"/>
        <v>F</v>
      </c>
      <c r="P162" s="8">
        <f t="shared" si="8"/>
        <v>0</v>
      </c>
      <c r="R162" s="17" t="str">
        <f t="shared" si="9"/>
        <v>F</v>
      </c>
      <c r="S162" s="3" t="str">
        <f t="shared" si="10"/>
        <v>T</v>
      </c>
      <c r="T162" s="8">
        <f t="shared" si="11"/>
        <v>0</v>
      </c>
      <c r="V162" s="4">
        <f t="shared" si="12"/>
        <v>0</v>
      </c>
      <c r="W162" s="8">
        <f t="shared" si="13"/>
        <v>-1.4</v>
      </c>
      <c r="X162" s="8">
        <f t="shared" si="14"/>
        <v>1.4</v>
      </c>
      <c r="Y162" s="8">
        <f t="shared" si="15"/>
        <v>-66.61</v>
      </c>
    </row>
    <row r="163">
      <c r="A163" s="2">
        <v>156.0</v>
      </c>
      <c r="B163" s="15">
        <f>IFERROR(__xludf.DUMMYFUNCTION("""COMPUTED_VALUE"""),42601.64583333333)</f>
        <v>42601.64583</v>
      </c>
      <c r="C163" s="8">
        <f>IFERROR(__xludf.DUMMYFUNCTION("""COMPUTED_VALUE"""),1369.4)</f>
        <v>1369.4</v>
      </c>
      <c r="E163" s="15">
        <f>IFERROR(__xludf.DUMMYFUNCTION("""COMPUTED_VALUE"""),42601.64583333333)</f>
        <v>42601.64583</v>
      </c>
      <c r="F163" s="8">
        <f>IFERROR(__xludf.DUMMYFUNCTION("""COMPUTED_VALUE"""),623.55)</f>
        <v>623.55</v>
      </c>
      <c r="H163" s="4">
        <f t="shared" si="1"/>
        <v>745.85</v>
      </c>
      <c r="I163" s="16">
        <f t="shared" si="2"/>
        <v>751.21</v>
      </c>
      <c r="J163" s="16">
        <f t="shared" si="3"/>
        <v>9.445329534</v>
      </c>
      <c r="K163" s="16">
        <f t="shared" si="4"/>
        <v>760.6553295</v>
      </c>
      <c r="L163" s="16">
        <f t="shared" si="5"/>
        <v>741.7646705</v>
      </c>
      <c r="N163" s="17" t="str">
        <f t="shared" si="6"/>
        <v>F</v>
      </c>
      <c r="O163" s="17" t="str">
        <f t="shared" si="7"/>
        <v>F</v>
      </c>
      <c r="P163" s="8">
        <f t="shared" si="8"/>
        <v>0</v>
      </c>
      <c r="R163" s="17" t="str">
        <f t="shared" si="9"/>
        <v>F</v>
      </c>
      <c r="S163" s="3" t="str">
        <f t="shared" si="10"/>
        <v>T</v>
      </c>
      <c r="T163" s="8">
        <f t="shared" si="11"/>
        <v>0</v>
      </c>
      <c r="V163" s="4">
        <f t="shared" si="12"/>
        <v>0</v>
      </c>
      <c r="W163" s="8">
        <f t="shared" si="13"/>
        <v>-2.2</v>
      </c>
      <c r="X163" s="8">
        <f t="shared" si="14"/>
        <v>0</v>
      </c>
      <c r="Y163" s="8">
        <f t="shared" si="15"/>
        <v>-66.61</v>
      </c>
    </row>
    <row r="164">
      <c r="A164" s="2">
        <v>157.0</v>
      </c>
      <c r="B164" s="15">
        <f>IFERROR(__xludf.DUMMYFUNCTION("""COMPUTED_VALUE"""),42604.64583333333)</f>
        <v>42604.64583</v>
      </c>
      <c r="C164" s="8">
        <f>IFERROR(__xludf.DUMMYFUNCTION("""COMPUTED_VALUE"""),1377.55)</f>
        <v>1377.55</v>
      </c>
      <c r="E164" s="15">
        <f>IFERROR(__xludf.DUMMYFUNCTION("""COMPUTED_VALUE"""),42604.64583333333)</f>
        <v>42604.64583</v>
      </c>
      <c r="F164" s="8">
        <f>IFERROR(__xludf.DUMMYFUNCTION("""COMPUTED_VALUE"""),625.15)</f>
        <v>625.15</v>
      </c>
      <c r="H164" s="4">
        <f t="shared" si="1"/>
        <v>752.4</v>
      </c>
      <c r="I164" s="16">
        <f t="shared" si="2"/>
        <v>748.13</v>
      </c>
      <c r="J164" s="16">
        <f t="shared" si="3"/>
        <v>2.98383143</v>
      </c>
      <c r="K164" s="16">
        <f t="shared" si="4"/>
        <v>751.1138314</v>
      </c>
      <c r="L164" s="16">
        <f t="shared" si="5"/>
        <v>745.1461686</v>
      </c>
      <c r="N164" s="17" t="str">
        <f t="shared" si="6"/>
        <v>F</v>
      </c>
      <c r="O164" s="17" t="str">
        <f t="shared" si="7"/>
        <v>T</v>
      </c>
      <c r="P164" s="8">
        <f t="shared" si="8"/>
        <v>0</v>
      </c>
      <c r="R164" s="17" t="str">
        <f t="shared" si="9"/>
        <v>T</v>
      </c>
      <c r="S164" s="3" t="str">
        <f t="shared" si="10"/>
        <v>F</v>
      </c>
      <c r="T164" s="8">
        <f t="shared" si="11"/>
        <v>-1</v>
      </c>
      <c r="V164" s="4">
        <f t="shared" si="12"/>
        <v>-1</v>
      </c>
      <c r="W164" s="8">
        <f t="shared" si="13"/>
        <v>6.55</v>
      </c>
      <c r="X164" s="8">
        <f t="shared" si="14"/>
        <v>0</v>
      </c>
      <c r="Y164" s="8">
        <f t="shared" si="15"/>
        <v>-66.61</v>
      </c>
    </row>
    <row r="165">
      <c r="A165" s="2">
        <v>158.0</v>
      </c>
      <c r="B165" s="15">
        <f>IFERROR(__xludf.DUMMYFUNCTION("""COMPUTED_VALUE"""),42605.64583333333)</f>
        <v>42605.64583</v>
      </c>
      <c r="C165" s="8">
        <f>IFERROR(__xludf.DUMMYFUNCTION("""COMPUTED_VALUE"""),1375.15)</f>
        <v>1375.15</v>
      </c>
      <c r="E165" s="15">
        <f>IFERROR(__xludf.DUMMYFUNCTION("""COMPUTED_VALUE"""),42605.64583333333)</f>
        <v>42605.64583</v>
      </c>
      <c r="F165" s="8">
        <f>IFERROR(__xludf.DUMMYFUNCTION("""COMPUTED_VALUE"""),625.73)</f>
        <v>625.73</v>
      </c>
      <c r="H165" s="4">
        <f t="shared" si="1"/>
        <v>749.42</v>
      </c>
      <c r="I165" s="16">
        <f t="shared" si="2"/>
        <v>749.034</v>
      </c>
      <c r="J165" s="16">
        <f t="shared" si="3"/>
        <v>2.385273569</v>
      </c>
      <c r="K165" s="16">
        <f t="shared" si="4"/>
        <v>751.4192736</v>
      </c>
      <c r="L165" s="16">
        <f t="shared" si="5"/>
        <v>746.6487264</v>
      </c>
      <c r="N165" s="17" t="str">
        <f t="shared" si="6"/>
        <v>F</v>
      </c>
      <c r="O165" s="17" t="str">
        <f t="shared" si="7"/>
        <v>T</v>
      </c>
      <c r="P165" s="8">
        <f t="shared" si="8"/>
        <v>0</v>
      </c>
      <c r="R165" s="17" t="str">
        <f t="shared" si="9"/>
        <v>F</v>
      </c>
      <c r="S165" s="3" t="str">
        <f t="shared" si="10"/>
        <v>F</v>
      </c>
      <c r="T165" s="8">
        <f t="shared" si="11"/>
        <v>-1</v>
      </c>
      <c r="V165" s="4">
        <f t="shared" si="12"/>
        <v>-1</v>
      </c>
      <c r="W165" s="8">
        <f t="shared" si="13"/>
        <v>-2.98</v>
      </c>
      <c r="X165" s="8">
        <f t="shared" si="14"/>
        <v>2.98</v>
      </c>
      <c r="Y165" s="8">
        <f t="shared" si="15"/>
        <v>-63.63</v>
      </c>
    </row>
    <row r="166">
      <c r="A166" s="2">
        <v>159.0</v>
      </c>
      <c r="B166" s="15">
        <f>IFERROR(__xludf.DUMMYFUNCTION("""COMPUTED_VALUE"""),42606.64583333333)</f>
        <v>42606.64583</v>
      </c>
      <c r="C166" s="8">
        <f>IFERROR(__xludf.DUMMYFUNCTION("""COMPUTED_VALUE"""),1382.85)</f>
        <v>1382.85</v>
      </c>
      <c r="E166" s="15">
        <f>IFERROR(__xludf.DUMMYFUNCTION("""COMPUTED_VALUE"""),42606.64583333333)</f>
        <v>42606.64583</v>
      </c>
      <c r="F166" s="8">
        <f>IFERROR(__xludf.DUMMYFUNCTION("""COMPUTED_VALUE"""),630.9)</f>
        <v>630.9</v>
      </c>
      <c r="H166" s="4">
        <f t="shared" si="1"/>
        <v>751.95</v>
      </c>
      <c r="I166" s="16">
        <f t="shared" si="2"/>
        <v>749.534</v>
      </c>
      <c r="J166" s="16">
        <f t="shared" si="3"/>
        <v>2.731214016</v>
      </c>
      <c r="K166" s="16">
        <f t="shared" si="4"/>
        <v>752.265214</v>
      </c>
      <c r="L166" s="16">
        <f t="shared" si="5"/>
        <v>746.802786</v>
      </c>
      <c r="N166" s="17" t="str">
        <f t="shared" si="6"/>
        <v>F</v>
      </c>
      <c r="O166" s="17" t="str">
        <f t="shared" si="7"/>
        <v>T</v>
      </c>
      <c r="P166" s="8">
        <f t="shared" si="8"/>
        <v>0</v>
      </c>
      <c r="R166" s="17" t="str">
        <f t="shared" si="9"/>
        <v>F</v>
      </c>
      <c r="S166" s="3" t="str">
        <f t="shared" si="10"/>
        <v>F</v>
      </c>
      <c r="T166" s="8">
        <f t="shared" si="11"/>
        <v>-1</v>
      </c>
      <c r="V166" s="4">
        <f t="shared" si="12"/>
        <v>-1</v>
      </c>
      <c r="W166" s="8">
        <f t="shared" si="13"/>
        <v>2.53</v>
      </c>
      <c r="X166" s="8">
        <f t="shared" si="14"/>
        <v>-2.53</v>
      </c>
      <c r="Y166" s="8">
        <f t="shared" si="15"/>
        <v>-66.16</v>
      </c>
    </row>
    <row r="167">
      <c r="A167" s="2">
        <v>160.0</v>
      </c>
      <c r="B167" s="15">
        <f>IFERROR(__xludf.DUMMYFUNCTION("""COMPUTED_VALUE"""),42607.64583333333)</f>
        <v>42607.64583</v>
      </c>
      <c r="C167" s="8">
        <f>IFERROR(__xludf.DUMMYFUNCTION("""COMPUTED_VALUE"""),1357.5)</f>
        <v>1357.5</v>
      </c>
      <c r="E167" s="15">
        <f>IFERROR(__xludf.DUMMYFUNCTION("""COMPUTED_VALUE"""),42607.64583333333)</f>
        <v>42607.64583</v>
      </c>
      <c r="F167" s="8">
        <f>IFERROR(__xludf.DUMMYFUNCTION("""COMPUTED_VALUE"""),629.28)</f>
        <v>629.28</v>
      </c>
      <c r="H167" s="4">
        <f t="shared" si="1"/>
        <v>728.22</v>
      </c>
      <c r="I167" s="16">
        <f t="shared" si="2"/>
        <v>745.568</v>
      </c>
      <c r="J167" s="16">
        <f t="shared" si="3"/>
        <v>10.04087496</v>
      </c>
      <c r="K167" s="16">
        <f t="shared" si="4"/>
        <v>755.608875</v>
      </c>
      <c r="L167" s="16">
        <f t="shared" si="5"/>
        <v>735.527125</v>
      </c>
      <c r="N167" s="17" t="str">
        <f t="shared" si="6"/>
        <v>T</v>
      </c>
      <c r="O167" s="17" t="str">
        <f t="shared" si="7"/>
        <v>F</v>
      </c>
      <c r="P167" s="8">
        <f t="shared" si="8"/>
        <v>1</v>
      </c>
      <c r="R167" s="17" t="str">
        <f t="shared" si="9"/>
        <v>F</v>
      </c>
      <c r="S167" s="3" t="str">
        <f t="shared" si="10"/>
        <v>T</v>
      </c>
      <c r="T167" s="8">
        <f t="shared" si="11"/>
        <v>0</v>
      </c>
      <c r="V167" s="4">
        <f t="shared" si="12"/>
        <v>1</v>
      </c>
      <c r="W167" s="8">
        <f t="shared" si="13"/>
        <v>-23.73</v>
      </c>
      <c r="X167" s="8">
        <f t="shared" si="14"/>
        <v>23.73</v>
      </c>
      <c r="Y167" s="8">
        <f t="shared" si="15"/>
        <v>-42.43</v>
      </c>
    </row>
    <row r="168">
      <c r="A168" s="2">
        <v>161.0</v>
      </c>
      <c r="B168" s="15">
        <f>IFERROR(__xludf.DUMMYFUNCTION("""COMPUTED_VALUE"""),42608.64583333333)</f>
        <v>42608.64583</v>
      </c>
      <c r="C168" s="8">
        <f>IFERROR(__xludf.DUMMYFUNCTION("""COMPUTED_VALUE"""),1366.35)</f>
        <v>1366.35</v>
      </c>
      <c r="E168" s="15">
        <f>IFERROR(__xludf.DUMMYFUNCTION("""COMPUTED_VALUE"""),42608.64583333333)</f>
        <v>42608.64583</v>
      </c>
      <c r="F168" s="8">
        <f>IFERROR(__xludf.DUMMYFUNCTION("""COMPUTED_VALUE"""),628.55)</f>
        <v>628.55</v>
      </c>
      <c r="H168" s="4">
        <f t="shared" si="1"/>
        <v>737.8</v>
      </c>
      <c r="I168" s="16">
        <f t="shared" si="2"/>
        <v>743.958</v>
      </c>
      <c r="J168" s="16">
        <f t="shared" si="3"/>
        <v>10.61341698</v>
      </c>
      <c r="K168" s="16">
        <f t="shared" si="4"/>
        <v>754.571417</v>
      </c>
      <c r="L168" s="16">
        <f t="shared" si="5"/>
        <v>733.344583</v>
      </c>
      <c r="N168" s="17" t="str">
        <f t="shared" si="6"/>
        <v>F</v>
      </c>
      <c r="O168" s="17" t="str">
        <f t="shared" si="7"/>
        <v>F</v>
      </c>
      <c r="P168" s="8">
        <f t="shared" si="8"/>
        <v>1</v>
      </c>
      <c r="R168" s="17" t="str">
        <f t="shared" si="9"/>
        <v>F</v>
      </c>
      <c r="S168" s="3" t="str">
        <f t="shared" si="10"/>
        <v>T</v>
      </c>
      <c r="T168" s="8">
        <f t="shared" si="11"/>
        <v>0</v>
      </c>
      <c r="V168" s="4">
        <f t="shared" si="12"/>
        <v>1</v>
      </c>
      <c r="W168" s="8">
        <f t="shared" si="13"/>
        <v>9.58</v>
      </c>
      <c r="X168" s="8">
        <f t="shared" si="14"/>
        <v>9.58</v>
      </c>
      <c r="Y168" s="8">
        <f t="shared" si="15"/>
        <v>-32.85</v>
      </c>
    </row>
    <row r="169">
      <c r="A169" s="2">
        <v>162.0</v>
      </c>
      <c r="B169" s="15">
        <f>IFERROR(__xludf.DUMMYFUNCTION("""COMPUTED_VALUE"""),42611.64583333333)</f>
        <v>42611.64583</v>
      </c>
      <c r="C169" s="8">
        <f>IFERROR(__xludf.DUMMYFUNCTION("""COMPUTED_VALUE"""),1375.5)</f>
        <v>1375.5</v>
      </c>
      <c r="E169" s="15">
        <f>IFERROR(__xludf.DUMMYFUNCTION("""COMPUTED_VALUE"""),42611.64583333333)</f>
        <v>42611.64583</v>
      </c>
      <c r="F169" s="8">
        <f>IFERROR(__xludf.DUMMYFUNCTION("""COMPUTED_VALUE"""),619.05)</f>
        <v>619.05</v>
      </c>
      <c r="H169" s="4">
        <f t="shared" si="1"/>
        <v>756.45</v>
      </c>
      <c r="I169" s="16">
        <f t="shared" si="2"/>
        <v>744.768</v>
      </c>
      <c r="J169" s="16">
        <f t="shared" si="3"/>
        <v>11.53343704</v>
      </c>
      <c r="K169" s="16">
        <f t="shared" si="4"/>
        <v>756.301437</v>
      </c>
      <c r="L169" s="16">
        <f t="shared" si="5"/>
        <v>733.234563</v>
      </c>
      <c r="N169" s="17" t="str">
        <f t="shared" si="6"/>
        <v>F</v>
      </c>
      <c r="O169" s="17" t="str">
        <f t="shared" si="7"/>
        <v>T</v>
      </c>
      <c r="P169" s="8">
        <f t="shared" si="8"/>
        <v>0</v>
      </c>
      <c r="R169" s="17" t="str">
        <f t="shared" si="9"/>
        <v>T</v>
      </c>
      <c r="S169" s="3" t="str">
        <f t="shared" si="10"/>
        <v>F</v>
      </c>
      <c r="T169" s="8">
        <f t="shared" si="11"/>
        <v>-1</v>
      </c>
      <c r="V169" s="4">
        <f t="shared" si="12"/>
        <v>-1</v>
      </c>
      <c r="W169" s="8">
        <f t="shared" si="13"/>
        <v>18.65</v>
      </c>
      <c r="X169" s="8">
        <f t="shared" si="14"/>
        <v>18.65</v>
      </c>
      <c r="Y169" s="8">
        <f t="shared" si="15"/>
        <v>-14.2</v>
      </c>
    </row>
    <row r="170">
      <c r="A170" s="2">
        <v>163.0</v>
      </c>
      <c r="B170" s="15">
        <f>IFERROR(__xludf.DUMMYFUNCTION("""COMPUTED_VALUE"""),42612.64583333333)</f>
        <v>42612.64583</v>
      </c>
      <c r="C170" s="8">
        <f>IFERROR(__xludf.DUMMYFUNCTION("""COMPUTED_VALUE"""),1392.1)</f>
        <v>1392.1</v>
      </c>
      <c r="E170" s="15">
        <f>IFERROR(__xludf.DUMMYFUNCTION("""COMPUTED_VALUE"""),42612.64583333333)</f>
        <v>42612.64583</v>
      </c>
      <c r="F170" s="8">
        <f>IFERROR(__xludf.DUMMYFUNCTION("""COMPUTED_VALUE"""),634.33)</f>
        <v>634.33</v>
      </c>
      <c r="H170" s="4">
        <f t="shared" si="1"/>
        <v>757.77</v>
      </c>
      <c r="I170" s="16">
        <f t="shared" si="2"/>
        <v>746.438</v>
      </c>
      <c r="J170" s="16">
        <f t="shared" si="3"/>
        <v>12.89909958</v>
      </c>
      <c r="K170" s="16">
        <f t="shared" si="4"/>
        <v>759.3370996</v>
      </c>
      <c r="L170" s="16">
        <f t="shared" si="5"/>
        <v>733.5389004</v>
      </c>
      <c r="N170" s="17" t="str">
        <f t="shared" si="6"/>
        <v>F</v>
      </c>
      <c r="O170" s="17" t="str">
        <f t="shared" si="7"/>
        <v>T</v>
      </c>
      <c r="P170" s="8">
        <f t="shared" si="8"/>
        <v>0</v>
      </c>
      <c r="R170" s="17" t="str">
        <f t="shared" si="9"/>
        <v>F</v>
      </c>
      <c r="S170" s="3" t="str">
        <f t="shared" si="10"/>
        <v>F</v>
      </c>
      <c r="T170" s="8">
        <f t="shared" si="11"/>
        <v>-1</v>
      </c>
      <c r="V170" s="4">
        <f t="shared" si="12"/>
        <v>-1</v>
      </c>
      <c r="W170" s="8">
        <f t="shared" si="13"/>
        <v>1.32</v>
      </c>
      <c r="X170" s="8">
        <f t="shared" si="14"/>
        <v>-1.32</v>
      </c>
      <c r="Y170" s="8">
        <f t="shared" si="15"/>
        <v>-15.52</v>
      </c>
    </row>
    <row r="171">
      <c r="A171" s="2">
        <v>164.0</v>
      </c>
      <c r="B171" s="15">
        <f>IFERROR(__xludf.DUMMYFUNCTION("""COMPUTED_VALUE"""),42613.64583333333)</f>
        <v>42613.64583</v>
      </c>
      <c r="C171" s="8">
        <f>IFERROR(__xludf.DUMMYFUNCTION("""COMPUTED_VALUE"""),1405.45)</f>
        <v>1405.45</v>
      </c>
      <c r="E171" s="15">
        <f>IFERROR(__xludf.DUMMYFUNCTION("""COMPUTED_VALUE"""),42613.64583333333)</f>
        <v>42613.64583</v>
      </c>
      <c r="F171" s="8">
        <f>IFERROR(__xludf.DUMMYFUNCTION("""COMPUTED_VALUE"""),645.6)</f>
        <v>645.6</v>
      </c>
      <c r="H171" s="4">
        <f t="shared" si="1"/>
        <v>759.85</v>
      </c>
      <c r="I171" s="16">
        <f t="shared" si="2"/>
        <v>748.018</v>
      </c>
      <c r="J171" s="16">
        <f t="shared" si="3"/>
        <v>14.16478627</v>
      </c>
      <c r="K171" s="16">
        <f t="shared" si="4"/>
        <v>762.1827863</v>
      </c>
      <c r="L171" s="16">
        <f t="shared" si="5"/>
        <v>733.8532137</v>
      </c>
      <c r="N171" s="17" t="str">
        <f t="shared" si="6"/>
        <v>F</v>
      </c>
      <c r="O171" s="17" t="str">
        <f t="shared" si="7"/>
        <v>T</v>
      </c>
      <c r="P171" s="8">
        <f t="shared" si="8"/>
        <v>0</v>
      </c>
      <c r="R171" s="17" t="str">
        <f t="shared" si="9"/>
        <v>F</v>
      </c>
      <c r="S171" s="3" t="str">
        <f t="shared" si="10"/>
        <v>F</v>
      </c>
      <c r="T171" s="8">
        <f t="shared" si="11"/>
        <v>-1</v>
      </c>
      <c r="V171" s="4">
        <f t="shared" si="12"/>
        <v>-1</v>
      </c>
      <c r="W171" s="8">
        <f t="shared" si="13"/>
        <v>2.08</v>
      </c>
      <c r="X171" s="8">
        <f t="shared" si="14"/>
        <v>-2.08</v>
      </c>
      <c r="Y171" s="8">
        <f t="shared" si="15"/>
        <v>-17.6</v>
      </c>
    </row>
    <row r="172">
      <c r="A172" s="2">
        <v>165.0</v>
      </c>
      <c r="B172" s="15">
        <f>IFERROR(__xludf.DUMMYFUNCTION("""COMPUTED_VALUE"""),42614.64583333333)</f>
        <v>42614.64583</v>
      </c>
      <c r="C172" s="8">
        <f>IFERROR(__xludf.DUMMYFUNCTION("""COMPUTED_VALUE"""),1424.75)</f>
        <v>1424.75</v>
      </c>
      <c r="E172" s="15">
        <f>IFERROR(__xludf.DUMMYFUNCTION("""COMPUTED_VALUE"""),42614.64583333333)</f>
        <v>42614.64583</v>
      </c>
      <c r="F172" s="8">
        <f>IFERROR(__xludf.DUMMYFUNCTION("""COMPUTED_VALUE"""),641.85)</f>
        <v>641.85</v>
      </c>
      <c r="H172" s="4">
        <f t="shared" si="1"/>
        <v>782.9</v>
      </c>
      <c r="I172" s="16">
        <f t="shared" si="2"/>
        <v>758.954</v>
      </c>
      <c r="J172" s="16">
        <f t="shared" si="3"/>
        <v>16.0419553</v>
      </c>
      <c r="K172" s="16">
        <f t="shared" si="4"/>
        <v>774.9959553</v>
      </c>
      <c r="L172" s="16">
        <f t="shared" si="5"/>
        <v>742.9120447</v>
      </c>
      <c r="N172" s="17" t="str">
        <f t="shared" si="6"/>
        <v>F</v>
      </c>
      <c r="O172" s="17" t="str">
        <f t="shared" si="7"/>
        <v>T</v>
      </c>
      <c r="P172" s="8">
        <f t="shared" si="8"/>
        <v>0</v>
      </c>
      <c r="R172" s="17" t="str">
        <f t="shared" si="9"/>
        <v>T</v>
      </c>
      <c r="S172" s="3" t="str">
        <f t="shared" si="10"/>
        <v>F</v>
      </c>
      <c r="T172" s="8">
        <f t="shared" si="11"/>
        <v>-1</v>
      </c>
      <c r="V172" s="4">
        <f t="shared" si="12"/>
        <v>-1</v>
      </c>
      <c r="W172" s="8">
        <f t="shared" si="13"/>
        <v>23.05</v>
      </c>
      <c r="X172" s="8">
        <f t="shared" si="14"/>
        <v>-23.05</v>
      </c>
      <c r="Y172" s="8">
        <f t="shared" si="15"/>
        <v>-40.65</v>
      </c>
    </row>
    <row r="173">
      <c r="A173" s="2">
        <v>166.0</v>
      </c>
      <c r="B173" s="15">
        <f>IFERROR(__xludf.DUMMYFUNCTION("""COMPUTED_VALUE"""),42615.64583333333)</f>
        <v>42615.64583</v>
      </c>
      <c r="C173" s="8">
        <f>IFERROR(__xludf.DUMMYFUNCTION("""COMPUTED_VALUE"""),1439.15)</f>
        <v>1439.15</v>
      </c>
      <c r="E173" s="15">
        <f>IFERROR(__xludf.DUMMYFUNCTION("""COMPUTED_VALUE"""),42615.64583333333)</f>
        <v>42615.64583</v>
      </c>
      <c r="F173" s="8">
        <f>IFERROR(__xludf.DUMMYFUNCTION("""COMPUTED_VALUE"""),642.55)</f>
        <v>642.55</v>
      </c>
      <c r="H173" s="4">
        <f t="shared" si="1"/>
        <v>796.6</v>
      </c>
      <c r="I173" s="16">
        <f t="shared" si="2"/>
        <v>770.714</v>
      </c>
      <c r="J173" s="16">
        <f t="shared" si="3"/>
        <v>18.08050691</v>
      </c>
      <c r="K173" s="16">
        <f t="shared" si="4"/>
        <v>788.7945069</v>
      </c>
      <c r="L173" s="16">
        <f t="shared" si="5"/>
        <v>752.6334931</v>
      </c>
      <c r="N173" s="17" t="str">
        <f t="shared" si="6"/>
        <v>F</v>
      </c>
      <c r="O173" s="17" t="str">
        <f t="shared" si="7"/>
        <v>T</v>
      </c>
      <c r="P173" s="8">
        <f t="shared" si="8"/>
        <v>0</v>
      </c>
      <c r="R173" s="17" t="str">
        <f t="shared" si="9"/>
        <v>T</v>
      </c>
      <c r="S173" s="3" t="str">
        <f t="shared" si="10"/>
        <v>F</v>
      </c>
      <c r="T173" s="8">
        <f t="shared" si="11"/>
        <v>-1</v>
      </c>
      <c r="V173" s="4">
        <f t="shared" si="12"/>
        <v>-1</v>
      </c>
      <c r="W173" s="8">
        <f t="shared" si="13"/>
        <v>13.7</v>
      </c>
      <c r="X173" s="8">
        <f t="shared" si="14"/>
        <v>-13.7</v>
      </c>
      <c r="Y173" s="8">
        <f t="shared" si="15"/>
        <v>-54.35</v>
      </c>
    </row>
    <row r="174">
      <c r="A174" s="2">
        <v>167.0</v>
      </c>
      <c r="B174" s="15">
        <f>IFERROR(__xludf.DUMMYFUNCTION("""COMPUTED_VALUE"""),42619.64583333333)</f>
        <v>42619.64583</v>
      </c>
      <c r="C174" s="8">
        <f>IFERROR(__xludf.DUMMYFUNCTION("""COMPUTED_VALUE"""),1458.05)</f>
        <v>1458.05</v>
      </c>
      <c r="E174" s="15">
        <f>IFERROR(__xludf.DUMMYFUNCTION("""COMPUTED_VALUE"""),42619.64583333333)</f>
        <v>42619.64583</v>
      </c>
      <c r="F174" s="8">
        <f>IFERROR(__xludf.DUMMYFUNCTION("""COMPUTED_VALUE"""),650.2)</f>
        <v>650.2</v>
      </c>
      <c r="H174" s="4">
        <f t="shared" si="1"/>
        <v>807.85</v>
      </c>
      <c r="I174" s="16">
        <f t="shared" si="2"/>
        <v>780.994</v>
      </c>
      <c r="J174" s="16">
        <f t="shared" si="3"/>
        <v>22.10682994</v>
      </c>
      <c r="K174" s="16">
        <f t="shared" si="4"/>
        <v>803.1008299</v>
      </c>
      <c r="L174" s="16">
        <f t="shared" si="5"/>
        <v>758.8871701</v>
      </c>
      <c r="N174" s="17" t="str">
        <f t="shared" si="6"/>
        <v>F</v>
      </c>
      <c r="O174" s="17" t="str">
        <f t="shared" si="7"/>
        <v>T</v>
      </c>
      <c r="P174" s="8">
        <f t="shared" si="8"/>
        <v>0</v>
      </c>
      <c r="R174" s="17" t="str">
        <f t="shared" si="9"/>
        <v>T</v>
      </c>
      <c r="S174" s="3" t="str">
        <f t="shared" si="10"/>
        <v>F</v>
      </c>
      <c r="T174" s="8">
        <f t="shared" si="11"/>
        <v>-1</v>
      </c>
      <c r="V174" s="4">
        <f t="shared" si="12"/>
        <v>-1</v>
      </c>
      <c r="W174" s="8">
        <f t="shared" si="13"/>
        <v>11.25</v>
      </c>
      <c r="X174" s="8">
        <f t="shared" si="14"/>
        <v>-11.25</v>
      </c>
      <c r="Y174" s="8">
        <f t="shared" si="15"/>
        <v>-65.6</v>
      </c>
    </row>
    <row r="175">
      <c r="A175" s="2">
        <v>168.0</v>
      </c>
      <c r="B175" s="15">
        <f>IFERROR(__xludf.DUMMYFUNCTION("""COMPUTED_VALUE"""),42620.64583333333)</f>
        <v>42620.64583</v>
      </c>
      <c r="C175" s="8">
        <f>IFERROR(__xludf.DUMMYFUNCTION("""COMPUTED_VALUE"""),1427.15)</f>
        <v>1427.15</v>
      </c>
      <c r="E175" s="15">
        <f>IFERROR(__xludf.DUMMYFUNCTION("""COMPUTED_VALUE"""),42620.64583333333)</f>
        <v>42620.64583</v>
      </c>
      <c r="F175" s="8">
        <f>IFERROR(__xludf.DUMMYFUNCTION("""COMPUTED_VALUE"""),643.38)</f>
        <v>643.38</v>
      </c>
      <c r="H175" s="4">
        <f t="shared" si="1"/>
        <v>783.77</v>
      </c>
      <c r="I175" s="16">
        <f t="shared" si="2"/>
        <v>786.194</v>
      </c>
      <c r="J175" s="16">
        <f t="shared" si="3"/>
        <v>17.94435649</v>
      </c>
      <c r="K175" s="16">
        <f t="shared" si="4"/>
        <v>804.1383565</v>
      </c>
      <c r="L175" s="16">
        <f t="shared" si="5"/>
        <v>768.2496435</v>
      </c>
      <c r="N175" s="17" t="str">
        <f t="shared" si="6"/>
        <v>F</v>
      </c>
      <c r="O175" s="17" t="str">
        <f t="shared" si="7"/>
        <v>F</v>
      </c>
      <c r="P175" s="8">
        <f t="shared" si="8"/>
        <v>0</v>
      </c>
      <c r="R175" s="17" t="str">
        <f t="shared" si="9"/>
        <v>F</v>
      </c>
      <c r="S175" s="3" t="str">
        <f t="shared" si="10"/>
        <v>T</v>
      </c>
      <c r="T175" s="8">
        <f t="shared" si="11"/>
        <v>0</v>
      </c>
      <c r="V175" s="4">
        <f t="shared" si="12"/>
        <v>0</v>
      </c>
      <c r="W175" s="8">
        <f t="shared" si="13"/>
        <v>-24.08</v>
      </c>
      <c r="X175" s="8">
        <f t="shared" si="14"/>
        <v>24.08</v>
      </c>
      <c r="Y175" s="8">
        <f t="shared" si="15"/>
        <v>-41.52</v>
      </c>
    </row>
    <row r="176">
      <c r="A176" s="2">
        <v>169.0</v>
      </c>
      <c r="B176" s="15">
        <f>IFERROR(__xludf.DUMMYFUNCTION("""COMPUTED_VALUE"""),42621.64583333333)</f>
        <v>42621.64583</v>
      </c>
      <c r="C176" s="8">
        <f>IFERROR(__xludf.DUMMYFUNCTION("""COMPUTED_VALUE"""),1437.8)</f>
        <v>1437.8</v>
      </c>
      <c r="E176" s="15">
        <f>IFERROR(__xludf.DUMMYFUNCTION("""COMPUTED_VALUE"""),42621.64583333333)</f>
        <v>42621.64583</v>
      </c>
      <c r="F176" s="8">
        <f>IFERROR(__xludf.DUMMYFUNCTION("""COMPUTED_VALUE"""),644.7)</f>
        <v>644.7</v>
      </c>
      <c r="H176" s="4">
        <f t="shared" si="1"/>
        <v>793.1</v>
      </c>
      <c r="I176" s="16">
        <f t="shared" si="2"/>
        <v>792.844</v>
      </c>
      <c r="J176" s="16">
        <f t="shared" si="3"/>
        <v>10.25394704</v>
      </c>
      <c r="K176" s="16">
        <f t="shared" si="4"/>
        <v>803.097947</v>
      </c>
      <c r="L176" s="16">
        <f t="shared" si="5"/>
        <v>782.590053</v>
      </c>
      <c r="N176" s="17" t="str">
        <f t="shared" si="6"/>
        <v>F</v>
      </c>
      <c r="O176" s="17" t="str">
        <f t="shared" si="7"/>
        <v>T</v>
      </c>
      <c r="P176" s="8">
        <f t="shared" si="8"/>
        <v>0</v>
      </c>
      <c r="R176" s="17" t="str">
        <f t="shared" si="9"/>
        <v>F</v>
      </c>
      <c r="S176" s="3" t="str">
        <f t="shared" si="10"/>
        <v>F</v>
      </c>
      <c r="T176" s="8">
        <f t="shared" si="11"/>
        <v>0</v>
      </c>
      <c r="V176" s="4">
        <f t="shared" si="12"/>
        <v>0</v>
      </c>
      <c r="W176" s="8">
        <f t="shared" si="13"/>
        <v>9.33</v>
      </c>
      <c r="X176" s="8">
        <f t="shared" si="14"/>
        <v>0</v>
      </c>
      <c r="Y176" s="8">
        <f t="shared" si="15"/>
        <v>-41.52</v>
      </c>
    </row>
    <row r="177">
      <c r="A177" s="2">
        <v>170.0</v>
      </c>
      <c r="B177" s="15">
        <f>IFERROR(__xludf.DUMMYFUNCTION("""COMPUTED_VALUE"""),42622.64583333333)</f>
        <v>42622.64583</v>
      </c>
      <c r="C177" s="8">
        <f>IFERROR(__xludf.DUMMYFUNCTION("""COMPUTED_VALUE"""),1410.65)</f>
        <v>1410.65</v>
      </c>
      <c r="E177" s="15">
        <f>IFERROR(__xludf.DUMMYFUNCTION("""COMPUTED_VALUE"""),42622.64583333333)</f>
        <v>42622.64583</v>
      </c>
      <c r="F177" s="8">
        <f>IFERROR(__xludf.DUMMYFUNCTION("""COMPUTED_VALUE"""),645.2)</f>
        <v>645.2</v>
      </c>
      <c r="H177" s="4">
        <f t="shared" si="1"/>
        <v>765.45</v>
      </c>
      <c r="I177" s="16">
        <f t="shared" si="2"/>
        <v>789.354</v>
      </c>
      <c r="J177" s="16">
        <f t="shared" si="3"/>
        <v>15.89985314</v>
      </c>
      <c r="K177" s="16">
        <f t="shared" si="4"/>
        <v>805.2538531</v>
      </c>
      <c r="L177" s="16">
        <f t="shared" si="5"/>
        <v>773.4541469</v>
      </c>
      <c r="N177" s="17" t="str">
        <f t="shared" si="6"/>
        <v>T</v>
      </c>
      <c r="O177" s="17" t="str">
        <f t="shared" si="7"/>
        <v>F</v>
      </c>
      <c r="P177" s="8">
        <f t="shared" si="8"/>
        <v>1</v>
      </c>
      <c r="R177" s="17" t="str">
        <f t="shared" si="9"/>
        <v>F</v>
      </c>
      <c r="S177" s="3" t="str">
        <f t="shared" si="10"/>
        <v>T</v>
      </c>
      <c r="T177" s="8">
        <f t="shared" si="11"/>
        <v>0</v>
      </c>
      <c r="V177" s="4">
        <f t="shared" si="12"/>
        <v>1</v>
      </c>
      <c r="W177" s="8">
        <f t="shared" si="13"/>
        <v>-27.65</v>
      </c>
      <c r="X177" s="8">
        <f t="shared" si="14"/>
        <v>0</v>
      </c>
      <c r="Y177" s="8">
        <f t="shared" si="15"/>
        <v>-41.52</v>
      </c>
    </row>
    <row r="178">
      <c r="A178" s="2">
        <v>171.0</v>
      </c>
      <c r="B178" s="15">
        <f>IFERROR(__xludf.DUMMYFUNCTION("""COMPUTED_VALUE"""),42625.64583333333)</f>
        <v>42625.64583</v>
      </c>
      <c r="C178" s="8">
        <f>IFERROR(__xludf.DUMMYFUNCTION("""COMPUTED_VALUE"""),1399.05)</f>
        <v>1399.05</v>
      </c>
      <c r="E178" s="15">
        <f>IFERROR(__xludf.DUMMYFUNCTION("""COMPUTED_VALUE"""),42625.64583333333)</f>
        <v>42625.64583</v>
      </c>
      <c r="F178" s="8">
        <f>IFERROR(__xludf.DUMMYFUNCTION("""COMPUTED_VALUE"""),639.95)</f>
        <v>639.95</v>
      </c>
      <c r="H178" s="4">
        <f t="shared" si="1"/>
        <v>759.1</v>
      </c>
      <c r="I178" s="16">
        <f t="shared" si="2"/>
        <v>781.854</v>
      </c>
      <c r="J178" s="16">
        <f t="shared" si="3"/>
        <v>19.95476961</v>
      </c>
      <c r="K178" s="16">
        <f t="shared" si="4"/>
        <v>801.8087696</v>
      </c>
      <c r="L178" s="16">
        <f t="shared" si="5"/>
        <v>761.8992304</v>
      </c>
      <c r="N178" s="17" t="str">
        <f t="shared" si="6"/>
        <v>T</v>
      </c>
      <c r="O178" s="17" t="str">
        <f t="shared" si="7"/>
        <v>F</v>
      </c>
      <c r="P178" s="8">
        <f t="shared" si="8"/>
        <v>1</v>
      </c>
      <c r="R178" s="17" t="str">
        <f t="shared" si="9"/>
        <v>F</v>
      </c>
      <c r="S178" s="3" t="str">
        <f t="shared" si="10"/>
        <v>T</v>
      </c>
      <c r="T178" s="8">
        <f t="shared" si="11"/>
        <v>0</v>
      </c>
      <c r="V178" s="4">
        <f t="shared" si="12"/>
        <v>1</v>
      </c>
      <c r="W178" s="8">
        <f t="shared" si="13"/>
        <v>-6.35</v>
      </c>
      <c r="X178" s="8">
        <f t="shared" si="14"/>
        <v>-6.35</v>
      </c>
      <c r="Y178" s="8">
        <f t="shared" si="15"/>
        <v>-47.87</v>
      </c>
    </row>
    <row r="179">
      <c r="A179" s="2">
        <v>172.0</v>
      </c>
      <c r="B179" s="15">
        <f>IFERROR(__xludf.DUMMYFUNCTION("""COMPUTED_VALUE"""),42627.64583333333)</f>
        <v>42627.64583</v>
      </c>
      <c r="C179" s="8">
        <f>IFERROR(__xludf.DUMMYFUNCTION("""COMPUTED_VALUE"""),1392.2)</f>
        <v>1392.2</v>
      </c>
      <c r="E179" s="15">
        <f>IFERROR(__xludf.DUMMYFUNCTION("""COMPUTED_VALUE"""),42627.64583333333)</f>
        <v>42627.64583</v>
      </c>
      <c r="F179" s="8">
        <f>IFERROR(__xludf.DUMMYFUNCTION("""COMPUTED_VALUE"""),634.73)</f>
        <v>634.73</v>
      </c>
      <c r="H179" s="4">
        <f t="shared" si="1"/>
        <v>757.47</v>
      </c>
      <c r="I179" s="16">
        <f t="shared" si="2"/>
        <v>771.778</v>
      </c>
      <c r="J179" s="16">
        <f t="shared" si="3"/>
        <v>15.84242627</v>
      </c>
      <c r="K179" s="16">
        <f t="shared" si="4"/>
        <v>787.6204263</v>
      </c>
      <c r="L179" s="16">
        <f t="shared" si="5"/>
        <v>755.9355737</v>
      </c>
      <c r="N179" s="17" t="str">
        <f t="shared" si="6"/>
        <v>F</v>
      </c>
      <c r="O179" s="17" t="str">
        <f t="shared" si="7"/>
        <v>F</v>
      </c>
      <c r="P179" s="8">
        <f t="shared" si="8"/>
        <v>1</v>
      </c>
      <c r="R179" s="17" t="str">
        <f t="shared" si="9"/>
        <v>F</v>
      </c>
      <c r="S179" s="3" t="str">
        <f t="shared" si="10"/>
        <v>T</v>
      </c>
      <c r="T179" s="8">
        <f t="shared" si="11"/>
        <v>0</v>
      </c>
      <c r="V179" s="4">
        <f t="shared" si="12"/>
        <v>1</v>
      </c>
      <c r="W179" s="8">
        <f t="shared" si="13"/>
        <v>-1.63</v>
      </c>
      <c r="X179" s="8">
        <f t="shared" si="14"/>
        <v>-1.63</v>
      </c>
      <c r="Y179" s="8">
        <f t="shared" si="15"/>
        <v>-49.5</v>
      </c>
    </row>
    <row r="180">
      <c r="A180" s="2">
        <v>173.0</v>
      </c>
      <c r="B180" s="15">
        <f>IFERROR(__xludf.DUMMYFUNCTION("""COMPUTED_VALUE"""),42628.64583333333)</f>
        <v>42628.64583</v>
      </c>
      <c r="C180" s="8">
        <f>IFERROR(__xludf.DUMMYFUNCTION("""COMPUTED_VALUE"""),1410.05)</f>
        <v>1410.05</v>
      </c>
      <c r="E180" s="15">
        <f>IFERROR(__xludf.DUMMYFUNCTION("""COMPUTED_VALUE"""),42628.64583333333)</f>
        <v>42628.64583</v>
      </c>
      <c r="F180" s="8">
        <f>IFERROR(__xludf.DUMMYFUNCTION("""COMPUTED_VALUE"""),639.8)</f>
        <v>639.8</v>
      </c>
      <c r="H180" s="4">
        <f t="shared" si="1"/>
        <v>770.25</v>
      </c>
      <c r="I180" s="16">
        <f t="shared" si="2"/>
        <v>769.074</v>
      </c>
      <c r="J180" s="16">
        <f t="shared" si="3"/>
        <v>14.3692251</v>
      </c>
      <c r="K180" s="16">
        <f t="shared" si="4"/>
        <v>783.4432251</v>
      </c>
      <c r="L180" s="16">
        <f t="shared" si="5"/>
        <v>754.7047749</v>
      </c>
      <c r="N180" s="17" t="str">
        <f t="shared" si="6"/>
        <v>F</v>
      </c>
      <c r="O180" s="17" t="str">
        <f t="shared" si="7"/>
        <v>T</v>
      </c>
      <c r="P180" s="8">
        <f t="shared" si="8"/>
        <v>0</v>
      </c>
      <c r="R180" s="17" t="str">
        <f t="shared" si="9"/>
        <v>F</v>
      </c>
      <c r="S180" s="3" t="str">
        <f t="shared" si="10"/>
        <v>F</v>
      </c>
      <c r="T180" s="8">
        <f t="shared" si="11"/>
        <v>0</v>
      </c>
      <c r="V180" s="4">
        <f t="shared" si="12"/>
        <v>0</v>
      </c>
      <c r="W180" s="8">
        <f t="shared" si="13"/>
        <v>12.78</v>
      </c>
      <c r="X180" s="8">
        <f t="shared" si="14"/>
        <v>12.78</v>
      </c>
      <c r="Y180" s="8">
        <f t="shared" si="15"/>
        <v>-36.72</v>
      </c>
    </row>
    <row r="181">
      <c r="A181" s="2">
        <v>174.0</v>
      </c>
      <c r="B181" s="15">
        <f>IFERROR(__xludf.DUMMYFUNCTION("""COMPUTED_VALUE"""),42629.64583333333)</f>
        <v>42629.64583</v>
      </c>
      <c r="C181" s="8">
        <f>IFERROR(__xludf.DUMMYFUNCTION("""COMPUTED_VALUE"""),1397.35)</f>
        <v>1397.35</v>
      </c>
      <c r="E181" s="15">
        <f>IFERROR(__xludf.DUMMYFUNCTION("""COMPUTED_VALUE"""),42629.64583333333)</f>
        <v>42629.64583</v>
      </c>
      <c r="F181" s="8">
        <f>IFERROR(__xludf.DUMMYFUNCTION("""COMPUTED_VALUE"""),648.92)</f>
        <v>648.92</v>
      </c>
      <c r="H181" s="4">
        <f t="shared" si="1"/>
        <v>748.43</v>
      </c>
      <c r="I181" s="16">
        <f t="shared" si="2"/>
        <v>760.14</v>
      </c>
      <c r="J181" s="16">
        <f t="shared" si="3"/>
        <v>8.302752556</v>
      </c>
      <c r="K181" s="16">
        <f t="shared" si="4"/>
        <v>768.4427526</v>
      </c>
      <c r="L181" s="16">
        <f t="shared" si="5"/>
        <v>751.8372474</v>
      </c>
      <c r="N181" s="17" t="str">
        <f t="shared" si="6"/>
        <v>T</v>
      </c>
      <c r="O181" s="17" t="str">
        <f t="shared" si="7"/>
        <v>F</v>
      </c>
      <c r="P181" s="8">
        <f t="shared" si="8"/>
        <v>1</v>
      </c>
      <c r="R181" s="17" t="str">
        <f t="shared" si="9"/>
        <v>F</v>
      </c>
      <c r="S181" s="3" t="str">
        <f t="shared" si="10"/>
        <v>T</v>
      </c>
      <c r="T181" s="8">
        <f t="shared" si="11"/>
        <v>0</v>
      </c>
      <c r="V181" s="4">
        <f t="shared" si="12"/>
        <v>1</v>
      </c>
      <c r="W181" s="8">
        <f t="shared" si="13"/>
        <v>-21.82</v>
      </c>
      <c r="X181" s="8">
        <f t="shared" si="14"/>
        <v>0</v>
      </c>
      <c r="Y181" s="8">
        <f t="shared" si="15"/>
        <v>-36.72</v>
      </c>
    </row>
    <row r="182">
      <c r="A182" s="2">
        <v>175.0</v>
      </c>
      <c r="B182" s="15">
        <f>IFERROR(__xludf.DUMMYFUNCTION("""COMPUTED_VALUE"""),42632.64583333333)</f>
        <v>42632.64583</v>
      </c>
      <c r="C182" s="8">
        <f>IFERROR(__xludf.DUMMYFUNCTION("""COMPUTED_VALUE"""),1392.8)</f>
        <v>1392.8</v>
      </c>
      <c r="E182" s="15">
        <f>IFERROR(__xludf.DUMMYFUNCTION("""COMPUTED_VALUE"""),42632.64583333333)</f>
        <v>42632.64583</v>
      </c>
      <c r="F182" s="8">
        <f>IFERROR(__xludf.DUMMYFUNCTION("""COMPUTED_VALUE"""),645.08)</f>
        <v>645.08</v>
      </c>
      <c r="H182" s="4">
        <f t="shared" si="1"/>
        <v>747.72</v>
      </c>
      <c r="I182" s="16">
        <f t="shared" si="2"/>
        <v>756.594</v>
      </c>
      <c r="J182" s="16">
        <f t="shared" si="3"/>
        <v>9.205060022</v>
      </c>
      <c r="K182" s="16">
        <f t="shared" si="4"/>
        <v>765.79906</v>
      </c>
      <c r="L182" s="16">
        <f t="shared" si="5"/>
        <v>747.38894</v>
      </c>
      <c r="N182" s="17" t="str">
        <f t="shared" si="6"/>
        <v>F</v>
      </c>
      <c r="O182" s="17" t="str">
        <f t="shared" si="7"/>
        <v>F</v>
      </c>
      <c r="P182" s="8">
        <f t="shared" si="8"/>
        <v>1</v>
      </c>
      <c r="R182" s="17" t="str">
        <f t="shared" si="9"/>
        <v>F</v>
      </c>
      <c r="S182" s="3" t="str">
        <f t="shared" si="10"/>
        <v>T</v>
      </c>
      <c r="T182" s="8">
        <f t="shared" si="11"/>
        <v>0</v>
      </c>
      <c r="V182" s="4">
        <f t="shared" si="12"/>
        <v>1</v>
      </c>
      <c r="W182" s="8">
        <f t="shared" si="13"/>
        <v>-0.71</v>
      </c>
      <c r="X182" s="8">
        <f t="shared" si="14"/>
        <v>-0.71</v>
      </c>
      <c r="Y182" s="8">
        <f t="shared" si="15"/>
        <v>-37.43</v>
      </c>
    </row>
    <row r="183">
      <c r="A183" s="2">
        <v>176.0</v>
      </c>
      <c r="B183" s="15">
        <f>IFERROR(__xludf.DUMMYFUNCTION("""COMPUTED_VALUE"""),42633.64583333333)</f>
        <v>42633.64583</v>
      </c>
      <c r="C183" s="8">
        <f>IFERROR(__xludf.DUMMYFUNCTION("""COMPUTED_VALUE"""),1393.1)</f>
        <v>1393.1</v>
      </c>
      <c r="E183" s="15">
        <f>IFERROR(__xludf.DUMMYFUNCTION("""COMPUTED_VALUE"""),42633.64583333333)</f>
        <v>42633.64583</v>
      </c>
      <c r="F183" s="8">
        <f>IFERROR(__xludf.DUMMYFUNCTION("""COMPUTED_VALUE"""),644.23)</f>
        <v>644.23</v>
      </c>
      <c r="H183" s="4">
        <f t="shared" si="1"/>
        <v>748.87</v>
      </c>
      <c r="I183" s="16">
        <f t="shared" si="2"/>
        <v>754.548</v>
      </c>
      <c r="J183" s="16">
        <f t="shared" si="3"/>
        <v>9.635638017</v>
      </c>
      <c r="K183" s="16">
        <f t="shared" si="4"/>
        <v>764.183638</v>
      </c>
      <c r="L183" s="16">
        <f t="shared" si="5"/>
        <v>744.912362</v>
      </c>
      <c r="N183" s="17" t="str">
        <f t="shared" si="6"/>
        <v>F</v>
      </c>
      <c r="O183" s="17" t="str">
        <f t="shared" si="7"/>
        <v>F</v>
      </c>
      <c r="P183" s="8">
        <f t="shared" si="8"/>
        <v>1</v>
      </c>
      <c r="R183" s="17" t="str">
        <f t="shared" si="9"/>
        <v>F</v>
      </c>
      <c r="S183" s="3" t="str">
        <f t="shared" si="10"/>
        <v>T</v>
      </c>
      <c r="T183" s="8">
        <f t="shared" si="11"/>
        <v>0</v>
      </c>
      <c r="V183" s="4">
        <f t="shared" si="12"/>
        <v>1</v>
      </c>
      <c r="W183" s="8">
        <f t="shared" si="13"/>
        <v>1.15</v>
      </c>
      <c r="X183" s="8">
        <f t="shared" si="14"/>
        <v>1.15</v>
      </c>
      <c r="Y183" s="8">
        <f t="shared" si="15"/>
        <v>-36.28</v>
      </c>
    </row>
    <row r="184">
      <c r="A184" s="2">
        <v>177.0</v>
      </c>
      <c r="B184" s="15">
        <f>IFERROR(__xludf.DUMMYFUNCTION("""COMPUTED_VALUE"""),42634.64583333333)</f>
        <v>42634.64583</v>
      </c>
      <c r="C184" s="8">
        <f>IFERROR(__xludf.DUMMYFUNCTION("""COMPUTED_VALUE"""),1392.35)</f>
        <v>1392.35</v>
      </c>
      <c r="E184" s="15">
        <f>IFERROR(__xludf.DUMMYFUNCTION("""COMPUTED_VALUE"""),42634.64583333333)</f>
        <v>42634.64583</v>
      </c>
      <c r="F184" s="8">
        <f>IFERROR(__xludf.DUMMYFUNCTION("""COMPUTED_VALUE"""),646.5)</f>
        <v>646.5</v>
      </c>
      <c r="H184" s="4">
        <f t="shared" si="1"/>
        <v>745.85</v>
      </c>
      <c r="I184" s="16">
        <f t="shared" si="2"/>
        <v>752.224</v>
      </c>
      <c r="J184" s="16">
        <f t="shared" si="3"/>
        <v>10.14266139</v>
      </c>
      <c r="K184" s="16">
        <f t="shared" si="4"/>
        <v>762.3666614</v>
      </c>
      <c r="L184" s="16">
        <f t="shared" si="5"/>
        <v>742.0813386</v>
      </c>
      <c r="N184" s="17" t="str">
        <f t="shared" si="6"/>
        <v>F</v>
      </c>
      <c r="O184" s="17" t="str">
        <f t="shared" si="7"/>
        <v>F</v>
      </c>
      <c r="P184" s="8">
        <f t="shared" si="8"/>
        <v>1</v>
      </c>
      <c r="R184" s="17" t="str">
        <f t="shared" si="9"/>
        <v>F</v>
      </c>
      <c r="S184" s="3" t="str">
        <f t="shared" si="10"/>
        <v>T</v>
      </c>
      <c r="T184" s="8">
        <f t="shared" si="11"/>
        <v>0</v>
      </c>
      <c r="V184" s="4">
        <f t="shared" si="12"/>
        <v>1</v>
      </c>
      <c r="W184" s="8">
        <f t="shared" si="13"/>
        <v>-3.02</v>
      </c>
      <c r="X184" s="8">
        <f t="shared" si="14"/>
        <v>-3.02</v>
      </c>
      <c r="Y184" s="8">
        <f t="shared" si="15"/>
        <v>-39.3</v>
      </c>
    </row>
    <row r="185">
      <c r="A185" s="2">
        <v>178.0</v>
      </c>
      <c r="B185" s="15">
        <f>IFERROR(__xludf.DUMMYFUNCTION("""COMPUTED_VALUE"""),42635.64583333333)</f>
        <v>42635.64583</v>
      </c>
      <c r="C185" s="8">
        <f>IFERROR(__xludf.DUMMYFUNCTION("""COMPUTED_VALUE"""),1413.25)</f>
        <v>1413.25</v>
      </c>
      <c r="E185" s="15">
        <f>IFERROR(__xludf.DUMMYFUNCTION("""COMPUTED_VALUE"""),42635.64583333333)</f>
        <v>42635.64583</v>
      </c>
      <c r="F185" s="8">
        <f>IFERROR(__xludf.DUMMYFUNCTION("""COMPUTED_VALUE"""),653.45)</f>
        <v>653.45</v>
      </c>
      <c r="H185" s="4">
        <f t="shared" si="1"/>
        <v>759.8</v>
      </c>
      <c r="I185" s="16">
        <f t="shared" si="2"/>
        <v>750.134</v>
      </c>
      <c r="J185" s="16">
        <f t="shared" si="3"/>
        <v>5.525235742</v>
      </c>
      <c r="K185" s="16">
        <f t="shared" si="4"/>
        <v>755.6592357</v>
      </c>
      <c r="L185" s="16">
        <f t="shared" si="5"/>
        <v>744.6087643</v>
      </c>
      <c r="N185" s="17" t="str">
        <f t="shared" si="6"/>
        <v>F</v>
      </c>
      <c r="O185" s="17" t="str">
        <f t="shared" si="7"/>
        <v>T</v>
      </c>
      <c r="P185" s="8">
        <f t="shared" si="8"/>
        <v>0</v>
      </c>
      <c r="R185" s="17" t="str">
        <f t="shared" si="9"/>
        <v>T</v>
      </c>
      <c r="S185" s="3" t="str">
        <f t="shared" si="10"/>
        <v>F</v>
      </c>
      <c r="T185" s="8">
        <f t="shared" si="11"/>
        <v>-1</v>
      </c>
      <c r="V185" s="4">
        <f t="shared" si="12"/>
        <v>-1</v>
      </c>
      <c r="W185" s="8">
        <f t="shared" si="13"/>
        <v>13.95</v>
      </c>
      <c r="X185" s="8">
        <f t="shared" si="14"/>
        <v>13.95</v>
      </c>
      <c r="Y185" s="8">
        <f t="shared" si="15"/>
        <v>-25.35</v>
      </c>
    </row>
    <row r="186">
      <c r="A186" s="2">
        <v>179.0</v>
      </c>
      <c r="B186" s="15">
        <f>IFERROR(__xludf.DUMMYFUNCTION("""COMPUTED_VALUE"""),42636.64583333333)</f>
        <v>42636.64583</v>
      </c>
      <c r="C186" s="8">
        <f>IFERROR(__xludf.DUMMYFUNCTION("""COMPUTED_VALUE"""),1425.1)</f>
        <v>1425.1</v>
      </c>
      <c r="E186" s="15">
        <f>IFERROR(__xludf.DUMMYFUNCTION("""COMPUTED_VALUE"""),42636.64583333333)</f>
        <v>42636.64583</v>
      </c>
      <c r="F186" s="8">
        <f>IFERROR(__xludf.DUMMYFUNCTION("""COMPUTED_VALUE"""),656.35)</f>
        <v>656.35</v>
      </c>
      <c r="H186" s="4">
        <f t="shared" si="1"/>
        <v>768.75</v>
      </c>
      <c r="I186" s="16">
        <f t="shared" si="2"/>
        <v>754.198</v>
      </c>
      <c r="J186" s="16">
        <f t="shared" si="3"/>
        <v>9.787546679</v>
      </c>
      <c r="K186" s="16">
        <f t="shared" si="4"/>
        <v>763.9855467</v>
      </c>
      <c r="L186" s="16">
        <f t="shared" si="5"/>
        <v>744.4104533</v>
      </c>
      <c r="N186" s="17" t="str">
        <f t="shared" si="6"/>
        <v>F</v>
      </c>
      <c r="O186" s="17" t="str">
        <f t="shared" si="7"/>
        <v>T</v>
      </c>
      <c r="P186" s="8">
        <f t="shared" si="8"/>
        <v>0</v>
      </c>
      <c r="R186" s="17" t="str">
        <f t="shared" si="9"/>
        <v>T</v>
      </c>
      <c r="S186" s="3" t="str">
        <f t="shared" si="10"/>
        <v>F</v>
      </c>
      <c r="T186" s="8">
        <f t="shared" si="11"/>
        <v>-1</v>
      </c>
      <c r="V186" s="4">
        <f t="shared" si="12"/>
        <v>-1</v>
      </c>
      <c r="W186" s="8">
        <f t="shared" si="13"/>
        <v>8.95</v>
      </c>
      <c r="X186" s="8">
        <f t="shared" si="14"/>
        <v>-8.95</v>
      </c>
      <c r="Y186" s="8">
        <f t="shared" si="15"/>
        <v>-34.3</v>
      </c>
    </row>
    <row r="187">
      <c r="A187" s="2">
        <v>180.0</v>
      </c>
      <c r="B187" s="15">
        <f>IFERROR(__xludf.DUMMYFUNCTION("""COMPUTED_VALUE"""),42639.64583333333)</f>
        <v>42639.64583</v>
      </c>
      <c r="C187" s="8">
        <f>IFERROR(__xludf.DUMMYFUNCTION("""COMPUTED_VALUE"""),1412.45)</f>
        <v>1412.45</v>
      </c>
      <c r="E187" s="15">
        <f>IFERROR(__xludf.DUMMYFUNCTION("""COMPUTED_VALUE"""),42639.64583333333)</f>
        <v>42639.64583</v>
      </c>
      <c r="F187" s="8">
        <f>IFERROR(__xludf.DUMMYFUNCTION("""COMPUTED_VALUE"""),648.08)</f>
        <v>648.08</v>
      </c>
      <c r="H187" s="4">
        <f t="shared" si="1"/>
        <v>764.37</v>
      </c>
      <c r="I187" s="16">
        <f t="shared" si="2"/>
        <v>757.528</v>
      </c>
      <c r="J187" s="16">
        <f t="shared" si="3"/>
        <v>9.864644951</v>
      </c>
      <c r="K187" s="16">
        <f t="shared" si="4"/>
        <v>767.392645</v>
      </c>
      <c r="L187" s="16">
        <f t="shared" si="5"/>
        <v>747.663355</v>
      </c>
      <c r="N187" s="17" t="str">
        <f t="shared" si="6"/>
        <v>F</v>
      </c>
      <c r="O187" s="17" t="str">
        <f t="shared" si="7"/>
        <v>T</v>
      </c>
      <c r="P187" s="8">
        <f t="shared" si="8"/>
        <v>0</v>
      </c>
      <c r="R187" s="17" t="str">
        <f t="shared" si="9"/>
        <v>F</v>
      </c>
      <c r="S187" s="3" t="str">
        <f t="shared" si="10"/>
        <v>F</v>
      </c>
      <c r="T187" s="8">
        <f t="shared" si="11"/>
        <v>-1</v>
      </c>
      <c r="V187" s="4">
        <f t="shared" si="12"/>
        <v>-1</v>
      </c>
      <c r="W187" s="8">
        <f t="shared" si="13"/>
        <v>-4.38</v>
      </c>
      <c r="X187" s="8">
        <f t="shared" si="14"/>
        <v>4.38</v>
      </c>
      <c r="Y187" s="8">
        <f t="shared" si="15"/>
        <v>-29.92</v>
      </c>
    </row>
    <row r="188">
      <c r="A188" s="2">
        <v>181.0</v>
      </c>
      <c r="B188" s="15">
        <f>IFERROR(__xludf.DUMMYFUNCTION("""COMPUTED_VALUE"""),42640.64583333333)</f>
        <v>42640.64583</v>
      </c>
      <c r="C188" s="8">
        <f>IFERROR(__xludf.DUMMYFUNCTION("""COMPUTED_VALUE"""),1418.9)</f>
        <v>1418.9</v>
      </c>
      <c r="E188" s="15">
        <f>IFERROR(__xludf.DUMMYFUNCTION("""COMPUTED_VALUE"""),42640.64583333333)</f>
        <v>42640.64583</v>
      </c>
      <c r="F188" s="8">
        <f>IFERROR(__xludf.DUMMYFUNCTION("""COMPUTED_VALUE"""),649.03)</f>
        <v>649.03</v>
      </c>
      <c r="H188" s="4">
        <f t="shared" si="1"/>
        <v>769.87</v>
      </c>
      <c r="I188" s="16">
        <f t="shared" si="2"/>
        <v>761.728</v>
      </c>
      <c r="J188" s="16">
        <f t="shared" si="3"/>
        <v>9.726367256</v>
      </c>
      <c r="K188" s="16">
        <f t="shared" si="4"/>
        <v>771.4543673</v>
      </c>
      <c r="L188" s="16">
        <f t="shared" si="5"/>
        <v>752.0016327</v>
      </c>
      <c r="N188" s="17" t="str">
        <f t="shared" si="6"/>
        <v>F</v>
      </c>
      <c r="O188" s="17" t="str">
        <f t="shared" si="7"/>
        <v>T</v>
      </c>
      <c r="P188" s="8">
        <f t="shared" si="8"/>
        <v>0</v>
      </c>
      <c r="R188" s="17" t="str">
        <f t="shared" si="9"/>
        <v>F</v>
      </c>
      <c r="S188" s="3" t="str">
        <f t="shared" si="10"/>
        <v>F</v>
      </c>
      <c r="T188" s="8">
        <f t="shared" si="11"/>
        <v>-1</v>
      </c>
      <c r="V188" s="4">
        <f t="shared" si="12"/>
        <v>-1</v>
      </c>
      <c r="W188" s="8">
        <f t="shared" si="13"/>
        <v>5.5</v>
      </c>
      <c r="X188" s="8">
        <f t="shared" si="14"/>
        <v>-5.5</v>
      </c>
      <c r="Y188" s="8">
        <f t="shared" si="15"/>
        <v>-35.42</v>
      </c>
    </row>
    <row r="189">
      <c r="A189" s="2">
        <v>182.0</v>
      </c>
      <c r="B189" s="15">
        <f>IFERROR(__xludf.DUMMYFUNCTION("""COMPUTED_VALUE"""),42641.64583333333)</f>
        <v>42641.64583</v>
      </c>
      <c r="C189" s="8">
        <f>IFERROR(__xludf.DUMMYFUNCTION("""COMPUTED_VALUE"""),1423.55)</f>
        <v>1423.55</v>
      </c>
      <c r="E189" s="15">
        <f>IFERROR(__xludf.DUMMYFUNCTION("""COMPUTED_VALUE"""),42641.64583333333)</f>
        <v>42641.64583</v>
      </c>
      <c r="F189" s="8">
        <f>IFERROR(__xludf.DUMMYFUNCTION("""COMPUTED_VALUE"""),647.63)</f>
        <v>647.63</v>
      </c>
      <c r="H189" s="4">
        <f t="shared" si="1"/>
        <v>775.92</v>
      </c>
      <c r="I189" s="16">
        <f t="shared" si="2"/>
        <v>767.742</v>
      </c>
      <c r="J189" s="16">
        <f t="shared" si="3"/>
        <v>6.059494203</v>
      </c>
      <c r="K189" s="16">
        <f t="shared" si="4"/>
        <v>773.8014942</v>
      </c>
      <c r="L189" s="16">
        <f t="shared" si="5"/>
        <v>761.6825058</v>
      </c>
      <c r="N189" s="17" t="str">
        <f t="shared" si="6"/>
        <v>F</v>
      </c>
      <c r="O189" s="17" t="str">
        <f t="shared" si="7"/>
        <v>T</v>
      </c>
      <c r="P189" s="8">
        <f t="shared" si="8"/>
        <v>0</v>
      </c>
      <c r="R189" s="17" t="str">
        <f t="shared" si="9"/>
        <v>T</v>
      </c>
      <c r="S189" s="3" t="str">
        <f t="shared" si="10"/>
        <v>F</v>
      </c>
      <c r="T189" s="8">
        <f t="shared" si="11"/>
        <v>-1</v>
      </c>
      <c r="V189" s="4">
        <f t="shared" si="12"/>
        <v>-1</v>
      </c>
      <c r="W189" s="8">
        <f t="shared" si="13"/>
        <v>6.05</v>
      </c>
      <c r="X189" s="8">
        <f t="shared" si="14"/>
        <v>-6.05</v>
      </c>
      <c r="Y189" s="8">
        <f t="shared" si="15"/>
        <v>-41.47</v>
      </c>
    </row>
    <row r="190">
      <c r="A190" s="2">
        <v>183.0</v>
      </c>
      <c r="B190" s="15">
        <f>IFERROR(__xludf.DUMMYFUNCTION("""COMPUTED_VALUE"""),42642.64583333333)</f>
        <v>42642.64583</v>
      </c>
      <c r="C190" s="8">
        <f>IFERROR(__xludf.DUMMYFUNCTION("""COMPUTED_VALUE"""),1401.4)</f>
        <v>1401.4</v>
      </c>
      <c r="E190" s="15">
        <f>IFERROR(__xludf.DUMMYFUNCTION("""COMPUTED_VALUE"""),42642.64583333333)</f>
        <v>42642.64583</v>
      </c>
      <c r="F190" s="8">
        <f>IFERROR(__xludf.DUMMYFUNCTION("""COMPUTED_VALUE"""),638.75)</f>
        <v>638.75</v>
      </c>
      <c r="H190" s="4">
        <f t="shared" si="1"/>
        <v>762.65</v>
      </c>
      <c r="I190" s="16">
        <f t="shared" si="2"/>
        <v>768.312</v>
      </c>
      <c r="J190" s="16">
        <f t="shared" si="3"/>
        <v>5.198520943</v>
      </c>
      <c r="K190" s="16">
        <f t="shared" si="4"/>
        <v>773.5105209</v>
      </c>
      <c r="L190" s="16">
        <f t="shared" si="5"/>
        <v>763.1134791</v>
      </c>
      <c r="N190" s="17" t="str">
        <f t="shared" si="6"/>
        <v>T</v>
      </c>
      <c r="O190" s="17" t="str">
        <f t="shared" si="7"/>
        <v>F</v>
      </c>
      <c r="P190" s="8">
        <f t="shared" si="8"/>
        <v>1</v>
      </c>
      <c r="R190" s="17" t="str">
        <f t="shared" si="9"/>
        <v>F</v>
      </c>
      <c r="S190" s="3" t="str">
        <f t="shared" si="10"/>
        <v>T</v>
      </c>
      <c r="T190" s="8">
        <f t="shared" si="11"/>
        <v>0</v>
      </c>
      <c r="V190" s="4">
        <f t="shared" si="12"/>
        <v>1</v>
      </c>
      <c r="W190" s="8">
        <f t="shared" si="13"/>
        <v>-13.27</v>
      </c>
      <c r="X190" s="8">
        <f t="shared" si="14"/>
        <v>13.27</v>
      </c>
      <c r="Y190" s="8">
        <f t="shared" si="15"/>
        <v>-28.2</v>
      </c>
    </row>
    <row r="191">
      <c r="A191" s="2">
        <v>184.0</v>
      </c>
      <c r="B191" s="15">
        <f>IFERROR(__xludf.DUMMYFUNCTION("""COMPUTED_VALUE"""),42643.64583333333)</f>
        <v>42643.64583</v>
      </c>
      <c r="C191" s="8">
        <f>IFERROR(__xludf.DUMMYFUNCTION("""COMPUTED_VALUE"""),1393.45)</f>
        <v>1393.45</v>
      </c>
      <c r="E191" s="15">
        <f>IFERROR(__xludf.DUMMYFUNCTION("""COMPUTED_VALUE"""),42643.64583333333)</f>
        <v>42643.64583</v>
      </c>
      <c r="F191" s="8">
        <f>IFERROR(__xludf.DUMMYFUNCTION("""COMPUTED_VALUE"""),636.42)</f>
        <v>636.42</v>
      </c>
      <c r="H191" s="4">
        <f t="shared" si="1"/>
        <v>757.03</v>
      </c>
      <c r="I191" s="16">
        <f t="shared" si="2"/>
        <v>765.968</v>
      </c>
      <c r="J191" s="16">
        <f t="shared" si="3"/>
        <v>7.206220924</v>
      </c>
      <c r="K191" s="16">
        <f t="shared" si="4"/>
        <v>773.1742209</v>
      </c>
      <c r="L191" s="16">
        <f t="shared" si="5"/>
        <v>758.7617791</v>
      </c>
      <c r="N191" s="17" t="str">
        <f t="shared" si="6"/>
        <v>T</v>
      </c>
      <c r="O191" s="17" t="str">
        <f t="shared" si="7"/>
        <v>F</v>
      </c>
      <c r="P191" s="8">
        <f t="shared" si="8"/>
        <v>1</v>
      </c>
      <c r="R191" s="17" t="str">
        <f t="shared" si="9"/>
        <v>F</v>
      </c>
      <c r="S191" s="3" t="str">
        <f t="shared" si="10"/>
        <v>T</v>
      </c>
      <c r="T191" s="8">
        <f t="shared" si="11"/>
        <v>0</v>
      </c>
      <c r="V191" s="4">
        <f t="shared" si="12"/>
        <v>1</v>
      </c>
      <c r="W191" s="8">
        <f t="shared" si="13"/>
        <v>-5.62</v>
      </c>
      <c r="X191" s="8">
        <f t="shared" si="14"/>
        <v>-5.62</v>
      </c>
      <c r="Y191" s="8">
        <f t="shared" si="15"/>
        <v>-33.82</v>
      </c>
    </row>
    <row r="192">
      <c r="A192" s="2">
        <v>185.0</v>
      </c>
      <c r="B192" s="15">
        <f>IFERROR(__xludf.DUMMYFUNCTION("""COMPUTED_VALUE"""),42646.64583333333)</f>
        <v>42646.64583</v>
      </c>
      <c r="C192" s="8">
        <f>IFERROR(__xludf.DUMMYFUNCTION("""COMPUTED_VALUE"""),1425.5)</f>
        <v>1425.5</v>
      </c>
      <c r="E192" s="15">
        <f>IFERROR(__xludf.DUMMYFUNCTION("""COMPUTED_VALUE"""),42646.64583333333)</f>
        <v>42646.64583</v>
      </c>
      <c r="F192" s="8">
        <f>IFERROR(__xludf.DUMMYFUNCTION("""COMPUTED_VALUE"""),643.6)</f>
        <v>643.6</v>
      </c>
      <c r="H192" s="4">
        <f t="shared" si="1"/>
        <v>781.9</v>
      </c>
      <c r="I192" s="16">
        <f t="shared" si="2"/>
        <v>769.474</v>
      </c>
      <c r="J192" s="16">
        <f t="shared" si="3"/>
        <v>9.969118818</v>
      </c>
      <c r="K192" s="16">
        <f t="shared" si="4"/>
        <v>779.4431188</v>
      </c>
      <c r="L192" s="16">
        <f t="shared" si="5"/>
        <v>759.5048812</v>
      </c>
      <c r="N192" s="17" t="str">
        <f t="shared" si="6"/>
        <v>F</v>
      </c>
      <c r="O192" s="17" t="str">
        <f t="shared" si="7"/>
        <v>T</v>
      </c>
      <c r="P192" s="8">
        <f t="shared" si="8"/>
        <v>0</v>
      </c>
      <c r="R192" s="17" t="str">
        <f t="shared" si="9"/>
        <v>T</v>
      </c>
      <c r="S192" s="3" t="str">
        <f t="shared" si="10"/>
        <v>F</v>
      </c>
      <c r="T192" s="8">
        <f t="shared" si="11"/>
        <v>-1</v>
      </c>
      <c r="V192" s="4">
        <f t="shared" si="12"/>
        <v>-1</v>
      </c>
      <c r="W192" s="8">
        <f t="shared" si="13"/>
        <v>24.87</v>
      </c>
      <c r="X192" s="8">
        <f t="shared" si="14"/>
        <v>24.87</v>
      </c>
      <c r="Y192" s="8">
        <f t="shared" si="15"/>
        <v>-8.95</v>
      </c>
    </row>
    <row r="193">
      <c r="A193" s="2">
        <v>186.0</v>
      </c>
      <c r="B193" s="15">
        <f>IFERROR(__xludf.DUMMYFUNCTION("""COMPUTED_VALUE"""),42647.64583333333)</f>
        <v>42647.64583</v>
      </c>
      <c r="C193" s="8">
        <f>IFERROR(__xludf.DUMMYFUNCTION("""COMPUTED_VALUE"""),1432.4)</f>
        <v>1432.4</v>
      </c>
      <c r="E193" s="15">
        <f>IFERROR(__xludf.DUMMYFUNCTION("""COMPUTED_VALUE"""),42647.64583333333)</f>
        <v>42647.64583</v>
      </c>
      <c r="F193" s="8">
        <f>IFERROR(__xludf.DUMMYFUNCTION("""COMPUTED_VALUE"""),644.78)</f>
        <v>644.78</v>
      </c>
      <c r="H193" s="4">
        <f t="shared" si="1"/>
        <v>787.62</v>
      </c>
      <c r="I193" s="16">
        <f t="shared" si="2"/>
        <v>773.024</v>
      </c>
      <c r="J193" s="16">
        <f t="shared" si="3"/>
        <v>12.88061839</v>
      </c>
      <c r="K193" s="16">
        <f t="shared" si="4"/>
        <v>785.9046184</v>
      </c>
      <c r="L193" s="16">
        <f t="shared" si="5"/>
        <v>760.1433816</v>
      </c>
      <c r="N193" s="17" t="str">
        <f t="shared" si="6"/>
        <v>F</v>
      </c>
      <c r="O193" s="17" t="str">
        <f t="shared" si="7"/>
        <v>T</v>
      </c>
      <c r="P193" s="8">
        <f t="shared" si="8"/>
        <v>0</v>
      </c>
      <c r="R193" s="17" t="str">
        <f t="shared" si="9"/>
        <v>T</v>
      </c>
      <c r="S193" s="3" t="str">
        <f t="shared" si="10"/>
        <v>F</v>
      </c>
      <c r="T193" s="8">
        <f t="shared" si="11"/>
        <v>-1</v>
      </c>
      <c r="V193" s="4">
        <f t="shared" si="12"/>
        <v>-1</v>
      </c>
      <c r="W193" s="8">
        <f t="shared" si="13"/>
        <v>5.72</v>
      </c>
      <c r="X193" s="8">
        <f t="shared" si="14"/>
        <v>-5.72</v>
      </c>
      <c r="Y193" s="8">
        <f t="shared" si="15"/>
        <v>-14.67</v>
      </c>
    </row>
    <row r="194">
      <c r="A194" s="2">
        <v>187.0</v>
      </c>
      <c r="B194" s="15">
        <f>IFERROR(__xludf.DUMMYFUNCTION("""COMPUTED_VALUE"""),42648.64583333333)</f>
        <v>42648.64583</v>
      </c>
      <c r="C194" s="8">
        <f>IFERROR(__xludf.DUMMYFUNCTION("""COMPUTED_VALUE"""),1423.15)</f>
        <v>1423.15</v>
      </c>
      <c r="E194" s="15">
        <f>IFERROR(__xludf.DUMMYFUNCTION("""COMPUTED_VALUE"""),42648.64583333333)</f>
        <v>42648.64583</v>
      </c>
      <c r="F194" s="8">
        <f>IFERROR(__xludf.DUMMYFUNCTION("""COMPUTED_VALUE"""),643.05)</f>
        <v>643.05</v>
      </c>
      <c r="H194" s="4">
        <f t="shared" si="1"/>
        <v>780.1</v>
      </c>
      <c r="I194" s="16">
        <f t="shared" si="2"/>
        <v>773.86</v>
      </c>
      <c r="J194" s="16">
        <f t="shared" si="3"/>
        <v>13.24603526</v>
      </c>
      <c r="K194" s="16">
        <f t="shared" si="4"/>
        <v>787.1060353</v>
      </c>
      <c r="L194" s="16">
        <f t="shared" si="5"/>
        <v>760.6139647</v>
      </c>
      <c r="N194" s="17" t="str">
        <f t="shared" si="6"/>
        <v>F</v>
      </c>
      <c r="O194" s="17" t="str">
        <f t="shared" si="7"/>
        <v>T</v>
      </c>
      <c r="P194" s="8">
        <f t="shared" si="8"/>
        <v>0</v>
      </c>
      <c r="R194" s="17" t="str">
        <f t="shared" si="9"/>
        <v>F</v>
      </c>
      <c r="S194" s="3" t="str">
        <f t="shared" si="10"/>
        <v>F</v>
      </c>
      <c r="T194" s="8">
        <f t="shared" si="11"/>
        <v>-1</v>
      </c>
      <c r="V194" s="4">
        <f t="shared" si="12"/>
        <v>-1</v>
      </c>
      <c r="W194" s="8">
        <f t="shared" si="13"/>
        <v>-7.52</v>
      </c>
      <c r="X194" s="8">
        <f t="shared" si="14"/>
        <v>7.52</v>
      </c>
      <c r="Y194" s="8">
        <f t="shared" si="15"/>
        <v>-7.15</v>
      </c>
    </row>
    <row r="195">
      <c r="A195" s="2">
        <v>188.0</v>
      </c>
      <c r="B195" s="15">
        <f>IFERROR(__xludf.DUMMYFUNCTION("""COMPUTED_VALUE"""),42649.64583333333)</f>
        <v>42649.64583</v>
      </c>
      <c r="C195" s="8">
        <f>IFERROR(__xludf.DUMMYFUNCTION("""COMPUTED_VALUE"""),1426.0)</f>
        <v>1426</v>
      </c>
      <c r="E195" s="15">
        <f>IFERROR(__xludf.DUMMYFUNCTION("""COMPUTED_VALUE"""),42649.64583333333)</f>
        <v>42649.64583</v>
      </c>
      <c r="F195" s="8">
        <f>IFERROR(__xludf.DUMMYFUNCTION("""COMPUTED_VALUE"""),640.98)</f>
        <v>640.98</v>
      </c>
      <c r="H195" s="4">
        <f t="shared" si="1"/>
        <v>785.02</v>
      </c>
      <c r="I195" s="16">
        <f t="shared" si="2"/>
        <v>778.334</v>
      </c>
      <c r="J195" s="16">
        <f t="shared" si="3"/>
        <v>12.25385572</v>
      </c>
      <c r="K195" s="16">
        <f t="shared" si="4"/>
        <v>790.5878557</v>
      </c>
      <c r="L195" s="16">
        <f t="shared" si="5"/>
        <v>766.0801443</v>
      </c>
      <c r="N195" s="17" t="str">
        <f t="shared" si="6"/>
        <v>F</v>
      </c>
      <c r="O195" s="17" t="str">
        <f t="shared" si="7"/>
        <v>T</v>
      </c>
      <c r="P195" s="8">
        <f t="shared" si="8"/>
        <v>0</v>
      </c>
      <c r="R195" s="17" t="str">
        <f t="shared" si="9"/>
        <v>F</v>
      </c>
      <c r="S195" s="3" t="str">
        <f t="shared" si="10"/>
        <v>F</v>
      </c>
      <c r="T195" s="8">
        <f t="shared" si="11"/>
        <v>-1</v>
      </c>
      <c r="V195" s="4">
        <f t="shared" si="12"/>
        <v>-1</v>
      </c>
      <c r="W195" s="8">
        <f t="shared" si="13"/>
        <v>4.92</v>
      </c>
      <c r="X195" s="8">
        <f t="shared" si="14"/>
        <v>-4.92</v>
      </c>
      <c r="Y195" s="8">
        <f t="shared" si="15"/>
        <v>-12.07</v>
      </c>
    </row>
    <row r="196">
      <c r="A196" s="2">
        <v>189.0</v>
      </c>
      <c r="B196" s="15">
        <f>IFERROR(__xludf.DUMMYFUNCTION("""COMPUTED_VALUE"""),42650.64583333333)</f>
        <v>42650.64583</v>
      </c>
      <c r="C196" s="8">
        <f>IFERROR(__xludf.DUMMYFUNCTION("""COMPUTED_VALUE"""),1403.7)</f>
        <v>1403.7</v>
      </c>
      <c r="E196" s="15">
        <f>IFERROR(__xludf.DUMMYFUNCTION("""COMPUTED_VALUE"""),42650.64583333333)</f>
        <v>42650.64583</v>
      </c>
      <c r="F196" s="8">
        <f>IFERROR(__xludf.DUMMYFUNCTION("""COMPUTED_VALUE"""),640.3)</f>
        <v>640.3</v>
      </c>
      <c r="H196" s="4">
        <f t="shared" si="1"/>
        <v>763.4</v>
      </c>
      <c r="I196" s="16">
        <f t="shared" si="2"/>
        <v>779.608</v>
      </c>
      <c r="J196" s="16">
        <f t="shared" si="3"/>
        <v>9.508896887</v>
      </c>
      <c r="K196" s="16">
        <f t="shared" si="4"/>
        <v>789.1168969</v>
      </c>
      <c r="L196" s="16">
        <f t="shared" si="5"/>
        <v>770.0991031</v>
      </c>
      <c r="N196" s="17" t="str">
        <f t="shared" si="6"/>
        <v>T</v>
      </c>
      <c r="O196" s="17" t="str">
        <f t="shared" si="7"/>
        <v>F</v>
      </c>
      <c r="P196" s="8">
        <f t="shared" si="8"/>
        <v>1</v>
      </c>
      <c r="R196" s="17" t="str">
        <f t="shared" si="9"/>
        <v>F</v>
      </c>
      <c r="S196" s="3" t="str">
        <f t="shared" si="10"/>
        <v>T</v>
      </c>
      <c r="T196" s="8">
        <f t="shared" si="11"/>
        <v>0</v>
      </c>
      <c r="V196" s="4">
        <f t="shared" si="12"/>
        <v>1</v>
      </c>
      <c r="W196" s="8">
        <f t="shared" si="13"/>
        <v>-21.62</v>
      </c>
      <c r="X196" s="8">
        <f t="shared" si="14"/>
        <v>21.62</v>
      </c>
      <c r="Y196" s="8">
        <f t="shared" si="15"/>
        <v>9.55</v>
      </c>
    </row>
    <row r="197">
      <c r="A197" s="2">
        <v>190.0</v>
      </c>
      <c r="B197" s="15">
        <f>IFERROR(__xludf.DUMMYFUNCTION("""COMPUTED_VALUE"""),42653.64583333333)</f>
        <v>42653.64583</v>
      </c>
      <c r="C197" s="8">
        <f>IFERROR(__xludf.DUMMYFUNCTION("""COMPUTED_VALUE"""),1391.45)</f>
        <v>1391.45</v>
      </c>
      <c r="E197" s="15">
        <f>IFERROR(__xludf.DUMMYFUNCTION("""COMPUTED_VALUE"""),42653.64583333333)</f>
        <v>42653.64583</v>
      </c>
      <c r="F197" s="8">
        <f>IFERROR(__xludf.DUMMYFUNCTION("""COMPUTED_VALUE"""),642.17)</f>
        <v>642.17</v>
      </c>
      <c r="H197" s="4">
        <f t="shared" si="1"/>
        <v>749.28</v>
      </c>
      <c r="I197" s="16">
        <f t="shared" si="2"/>
        <v>773.084</v>
      </c>
      <c r="J197" s="16">
        <f t="shared" si="3"/>
        <v>16.30489129</v>
      </c>
      <c r="K197" s="16">
        <f t="shared" si="4"/>
        <v>789.3888913</v>
      </c>
      <c r="L197" s="16">
        <f t="shared" si="5"/>
        <v>756.7791087</v>
      </c>
      <c r="N197" s="17" t="str">
        <f t="shared" si="6"/>
        <v>T</v>
      </c>
      <c r="O197" s="17" t="str">
        <f t="shared" si="7"/>
        <v>F</v>
      </c>
      <c r="P197" s="8">
        <f t="shared" si="8"/>
        <v>1</v>
      </c>
      <c r="R197" s="17" t="str">
        <f t="shared" si="9"/>
        <v>F</v>
      </c>
      <c r="S197" s="3" t="str">
        <f t="shared" si="10"/>
        <v>T</v>
      </c>
      <c r="T197" s="8">
        <f t="shared" si="11"/>
        <v>0</v>
      </c>
      <c r="V197" s="4">
        <f t="shared" si="12"/>
        <v>1</v>
      </c>
      <c r="W197" s="8">
        <f t="shared" si="13"/>
        <v>-14.12</v>
      </c>
      <c r="X197" s="8">
        <f t="shared" si="14"/>
        <v>-14.12</v>
      </c>
      <c r="Y197" s="8">
        <f t="shared" si="15"/>
        <v>-4.57</v>
      </c>
    </row>
    <row r="198">
      <c r="A198" s="2">
        <v>191.0</v>
      </c>
      <c r="B198" s="15">
        <f>IFERROR(__xludf.DUMMYFUNCTION("""COMPUTED_VALUE"""),42656.64583333333)</f>
        <v>42656.64583</v>
      </c>
      <c r="C198" s="8">
        <f>IFERROR(__xludf.DUMMYFUNCTION("""COMPUTED_VALUE"""),1338.9)</f>
        <v>1338.9</v>
      </c>
      <c r="E198" s="15">
        <f>IFERROR(__xludf.DUMMYFUNCTION("""COMPUTED_VALUE"""),42656.64583333333)</f>
        <v>42656.64583</v>
      </c>
      <c r="F198" s="8">
        <f>IFERROR(__xludf.DUMMYFUNCTION("""COMPUTED_VALUE"""),631.38)</f>
        <v>631.38</v>
      </c>
      <c r="H198" s="4">
        <f t="shared" si="1"/>
        <v>707.52</v>
      </c>
      <c r="I198" s="16">
        <f t="shared" si="2"/>
        <v>757.064</v>
      </c>
      <c r="J198" s="16">
        <f t="shared" si="3"/>
        <v>31.09476934</v>
      </c>
      <c r="K198" s="16">
        <f t="shared" si="4"/>
        <v>788.1587693</v>
      </c>
      <c r="L198" s="16">
        <f t="shared" si="5"/>
        <v>725.9692307</v>
      </c>
      <c r="N198" s="17" t="str">
        <f t="shared" si="6"/>
        <v>T</v>
      </c>
      <c r="O198" s="17" t="str">
        <f t="shared" si="7"/>
        <v>F</v>
      </c>
      <c r="P198" s="8">
        <f t="shared" si="8"/>
        <v>1</v>
      </c>
      <c r="R198" s="17" t="str">
        <f t="shared" si="9"/>
        <v>F</v>
      </c>
      <c r="S198" s="3" t="str">
        <f t="shared" si="10"/>
        <v>T</v>
      </c>
      <c r="T198" s="8">
        <f t="shared" si="11"/>
        <v>0</v>
      </c>
      <c r="V198" s="4">
        <f t="shared" si="12"/>
        <v>1</v>
      </c>
      <c r="W198" s="8">
        <f t="shared" si="13"/>
        <v>-41.76</v>
      </c>
      <c r="X198" s="8">
        <f t="shared" si="14"/>
        <v>-41.76</v>
      </c>
      <c r="Y198" s="8">
        <f t="shared" si="15"/>
        <v>-46.33</v>
      </c>
    </row>
    <row r="199">
      <c r="A199" s="2">
        <v>192.0</v>
      </c>
      <c r="B199" s="15">
        <f>IFERROR(__xludf.DUMMYFUNCTION("""COMPUTED_VALUE"""),42657.64583333333)</f>
        <v>42657.64583</v>
      </c>
      <c r="C199" s="8">
        <f>IFERROR(__xludf.DUMMYFUNCTION("""COMPUTED_VALUE"""),1316.05)</f>
        <v>1316.05</v>
      </c>
      <c r="E199" s="15">
        <f>IFERROR(__xludf.DUMMYFUNCTION("""COMPUTED_VALUE"""),42657.64583333333)</f>
        <v>42657.64583</v>
      </c>
      <c r="F199" s="8">
        <f>IFERROR(__xludf.DUMMYFUNCTION("""COMPUTED_VALUE"""),630.9)</f>
        <v>630.9</v>
      </c>
      <c r="H199" s="4">
        <f t="shared" si="1"/>
        <v>685.15</v>
      </c>
      <c r="I199" s="16">
        <f t="shared" si="2"/>
        <v>738.074</v>
      </c>
      <c r="J199" s="16">
        <f t="shared" si="3"/>
        <v>40.9432666</v>
      </c>
      <c r="K199" s="16">
        <f t="shared" si="4"/>
        <v>779.0172666</v>
      </c>
      <c r="L199" s="16">
        <f t="shared" si="5"/>
        <v>697.1307334</v>
      </c>
      <c r="N199" s="17" t="str">
        <f t="shared" si="6"/>
        <v>T</v>
      </c>
      <c r="O199" s="17" t="str">
        <f t="shared" si="7"/>
        <v>F</v>
      </c>
      <c r="P199" s="8">
        <f t="shared" si="8"/>
        <v>1</v>
      </c>
      <c r="R199" s="17" t="str">
        <f t="shared" si="9"/>
        <v>F</v>
      </c>
      <c r="S199" s="3" t="str">
        <f t="shared" si="10"/>
        <v>T</v>
      </c>
      <c r="T199" s="8">
        <f t="shared" si="11"/>
        <v>0</v>
      </c>
      <c r="V199" s="4">
        <f t="shared" si="12"/>
        <v>1</v>
      </c>
      <c r="W199" s="8">
        <f t="shared" si="13"/>
        <v>-22.37</v>
      </c>
      <c r="X199" s="8">
        <f t="shared" si="14"/>
        <v>-22.37</v>
      </c>
      <c r="Y199" s="8">
        <f t="shared" si="15"/>
        <v>-68.7</v>
      </c>
    </row>
    <row r="200">
      <c r="A200" s="2">
        <v>193.0</v>
      </c>
      <c r="B200" s="15">
        <f>IFERROR(__xludf.DUMMYFUNCTION("""COMPUTED_VALUE"""),42660.64583333333)</f>
        <v>42660.64583</v>
      </c>
      <c r="C200" s="8">
        <f>IFERROR(__xludf.DUMMYFUNCTION("""COMPUTED_VALUE"""),1301.95)</f>
        <v>1301.95</v>
      </c>
      <c r="E200" s="15">
        <f>IFERROR(__xludf.DUMMYFUNCTION("""COMPUTED_VALUE"""),42660.64583333333)</f>
        <v>42660.64583</v>
      </c>
      <c r="F200" s="8">
        <f>IFERROR(__xludf.DUMMYFUNCTION("""COMPUTED_VALUE"""),618.85)</f>
        <v>618.85</v>
      </c>
      <c r="H200" s="4">
        <f t="shared" si="1"/>
        <v>683.1</v>
      </c>
      <c r="I200" s="16">
        <f t="shared" si="2"/>
        <v>717.69</v>
      </c>
      <c r="J200" s="16">
        <f t="shared" si="3"/>
        <v>36.89878318</v>
      </c>
      <c r="K200" s="16">
        <f t="shared" si="4"/>
        <v>754.5887832</v>
      </c>
      <c r="L200" s="16">
        <f t="shared" si="5"/>
        <v>680.7912168</v>
      </c>
      <c r="N200" s="17" t="str">
        <f t="shared" si="6"/>
        <v>F</v>
      </c>
      <c r="O200" s="17" t="str">
        <f t="shared" si="7"/>
        <v>F</v>
      </c>
      <c r="P200" s="8">
        <f t="shared" si="8"/>
        <v>1</v>
      </c>
      <c r="R200" s="17" t="str">
        <f t="shared" si="9"/>
        <v>F</v>
      </c>
      <c r="S200" s="3" t="str">
        <f t="shared" si="10"/>
        <v>T</v>
      </c>
      <c r="T200" s="8">
        <f t="shared" si="11"/>
        <v>0</v>
      </c>
      <c r="V200" s="4">
        <f t="shared" si="12"/>
        <v>1</v>
      </c>
      <c r="W200" s="8">
        <f t="shared" si="13"/>
        <v>-2.05</v>
      </c>
      <c r="X200" s="8">
        <f t="shared" si="14"/>
        <v>-2.05</v>
      </c>
      <c r="Y200" s="8">
        <f t="shared" si="15"/>
        <v>-70.75</v>
      </c>
    </row>
    <row r="201">
      <c r="A201" s="2">
        <v>194.0</v>
      </c>
      <c r="B201" s="15">
        <f>IFERROR(__xludf.DUMMYFUNCTION("""COMPUTED_VALUE"""),42661.64583333333)</f>
        <v>42661.64583</v>
      </c>
      <c r="C201" s="8">
        <f>IFERROR(__xludf.DUMMYFUNCTION("""COMPUTED_VALUE"""),1355.25)</f>
        <v>1355.25</v>
      </c>
      <c r="E201" s="15">
        <f>IFERROR(__xludf.DUMMYFUNCTION("""COMPUTED_VALUE"""),42661.64583333333)</f>
        <v>42661.64583</v>
      </c>
      <c r="F201" s="8">
        <f>IFERROR(__xludf.DUMMYFUNCTION("""COMPUTED_VALUE"""),628.92)</f>
        <v>628.92</v>
      </c>
      <c r="H201" s="4">
        <f t="shared" si="1"/>
        <v>726.33</v>
      </c>
      <c r="I201" s="16">
        <f t="shared" si="2"/>
        <v>710.276</v>
      </c>
      <c r="J201" s="16">
        <f t="shared" si="3"/>
        <v>28.09132126</v>
      </c>
      <c r="K201" s="16">
        <f t="shared" si="4"/>
        <v>738.3673213</v>
      </c>
      <c r="L201" s="16">
        <f t="shared" si="5"/>
        <v>682.1846787</v>
      </c>
      <c r="N201" s="17" t="str">
        <f t="shared" si="6"/>
        <v>F</v>
      </c>
      <c r="O201" s="17" t="str">
        <f t="shared" si="7"/>
        <v>T</v>
      </c>
      <c r="P201" s="8">
        <f t="shared" si="8"/>
        <v>0</v>
      </c>
      <c r="R201" s="17" t="str">
        <f t="shared" si="9"/>
        <v>F</v>
      </c>
      <c r="S201" s="3" t="str">
        <f t="shared" si="10"/>
        <v>F</v>
      </c>
      <c r="T201" s="8">
        <f t="shared" si="11"/>
        <v>0</v>
      </c>
      <c r="V201" s="4">
        <f t="shared" si="12"/>
        <v>0</v>
      </c>
      <c r="W201" s="8">
        <f t="shared" si="13"/>
        <v>43.23</v>
      </c>
      <c r="X201" s="8">
        <f t="shared" si="14"/>
        <v>43.23</v>
      </c>
      <c r="Y201" s="8">
        <f t="shared" si="15"/>
        <v>-27.52</v>
      </c>
    </row>
    <row r="202">
      <c r="A202" s="2">
        <v>195.0</v>
      </c>
      <c r="B202" s="15">
        <f>IFERROR(__xludf.DUMMYFUNCTION("""COMPUTED_VALUE"""),42662.64583333333)</f>
        <v>42662.64583</v>
      </c>
      <c r="C202" s="8">
        <f>IFERROR(__xludf.DUMMYFUNCTION("""COMPUTED_VALUE"""),1342.15)</f>
        <v>1342.15</v>
      </c>
      <c r="E202" s="15">
        <f>IFERROR(__xludf.DUMMYFUNCTION("""COMPUTED_VALUE"""),42662.64583333333)</f>
        <v>42662.64583</v>
      </c>
      <c r="F202" s="8">
        <f>IFERROR(__xludf.DUMMYFUNCTION("""COMPUTED_VALUE"""),629.17)</f>
        <v>629.17</v>
      </c>
      <c r="H202" s="4">
        <f t="shared" si="1"/>
        <v>712.98</v>
      </c>
      <c r="I202" s="16">
        <f t="shared" si="2"/>
        <v>703.016</v>
      </c>
      <c r="J202" s="16">
        <f t="shared" si="3"/>
        <v>18.56711421</v>
      </c>
      <c r="K202" s="16">
        <f t="shared" si="4"/>
        <v>721.5831142</v>
      </c>
      <c r="L202" s="16">
        <f t="shared" si="5"/>
        <v>684.4488858</v>
      </c>
      <c r="N202" s="17" t="str">
        <f t="shared" si="6"/>
        <v>F</v>
      </c>
      <c r="O202" s="17" t="str">
        <f t="shared" si="7"/>
        <v>T</v>
      </c>
      <c r="P202" s="8">
        <f t="shared" si="8"/>
        <v>0</v>
      </c>
      <c r="R202" s="17" t="str">
        <f t="shared" si="9"/>
        <v>F</v>
      </c>
      <c r="S202" s="3" t="str">
        <f t="shared" si="10"/>
        <v>F</v>
      </c>
      <c r="T202" s="8">
        <f t="shared" si="11"/>
        <v>0</v>
      </c>
      <c r="V202" s="4">
        <f t="shared" si="12"/>
        <v>0</v>
      </c>
      <c r="W202" s="8">
        <f t="shared" si="13"/>
        <v>-13.35</v>
      </c>
      <c r="X202" s="8">
        <f t="shared" si="14"/>
        <v>0</v>
      </c>
      <c r="Y202" s="8">
        <f t="shared" si="15"/>
        <v>-27.52</v>
      </c>
    </row>
    <row r="203">
      <c r="A203" s="2">
        <v>196.0</v>
      </c>
      <c r="B203" s="15">
        <f>IFERROR(__xludf.DUMMYFUNCTION("""COMPUTED_VALUE"""),42663.64583333333)</f>
        <v>42663.64583</v>
      </c>
      <c r="C203" s="8">
        <f>IFERROR(__xludf.DUMMYFUNCTION("""COMPUTED_VALUE"""),1359.95)</f>
        <v>1359.95</v>
      </c>
      <c r="E203" s="15">
        <f>IFERROR(__xludf.DUMMYFUNCTION("""COMPUTED_VALUE"""),42663.64583333333)</f>
        <v>42663.64583</v>
      </c>
      <c r="F203" s="8">
        <f>IFERROR(__xludf.DUMMYFUNCTION("""COMPUTED_VALUE"""),627.75)</f>
        <v>627.75</v>
      </c>
      <c r="H203" s="4">
        <f t="shared" si="1"/>
        <v>732.2</v>
      </c>
      <c r="I203" s="16">
        <f t="shared" si="2"/>
        <v>707.952</v>
      </c>
      <c r="J203" s="16">
        <f t="shared" si="3"/>
        <v>22.85032976</v>
      </c>
      <c r="K203" s="16">
        <f t="shared" si="4"/>
        <v>730.8023298</v>
      </c>
      <c r="L203" s="16">
        <f t="shared" si="5"/>
        <v>685.1016702</v>
      </c>
      <c r="N203" s="17" t="str">
        <f t="shared" si="6"/>
        <v>F</v>
      </c>
      <c r="O203" s="17" t="str">
        <f t="shared" si="7"/>
        <v>T</v>
      </c>
      <c r="P203" s="8">
        <f t="shared" si="8"/>
        <v>0</v>
      </c>
      <c r="R203" s="17" t="str">
        <f t="shared" si="9"/>
        <v>T</v>
      </c>
      <c r="S203" s="3" t="str">
        <f t="shared" si="10"/>
        <v>F</v>
      </c>
      <c r="T203" s="8">
        <f t="shared" si="11"/>
        <v>-1</v>
      </c>
      <c r="V203" s="4">
        <f t="shared" si="12"/>
        <v>-1</v>
      </c>
      <c r="W203" s="8">
        <f t="shared" si="13"/>
        <v>19.22</v>
      </c>
      <c r="X203" s="8">
        <f t="shared" si="14"/>
        <v>0</v>
      </c>
      <c r="Y203" s="8">
        <f t="shared" si="15"/>
        <v>-27.52</v>
      </c>
    </row>
    <row r="204">
      <c r="A204" s="2">
        <v>197.0</v>
      </c>
      <c r="B204" s="15">
        <f>IFERROR(__xludf.DUMMYFUNCTION("""COMPUTED_VALUE"""),42664.64583333333)</f>
        <v>42664.64583</v>
      </c>
      <c r="C204" s="8">
        <f>IFERROR(__xludf.DUMMYFUNCTION("""COMPUTED_VALUE"""),1336.55)</f>
        <v>1336.55</v>
      </c>
      <c r="E204" s="15">
        <f>IFERROR(__xludf.DUMMYFUNCTION("""COMPUTED_VALUE"""),42664.64583333333)</f>
        <v>42664.64583</v>
      </c>
      <c r="F204" s="8">
        <f>IFERROR(__xludf.DUMMYFUNCTION("""COMPUTED_VALUE"""),635.35)</f>
        <v>635.35</v>
      </c>
      <c r="H204" s="4">
        <f t="shared" si="1"/>
        <v>701.2</v>
      </c>
      <c r="I204" s="16">
        <f t="shared" si="2"/>
        <v>711.162</v>
      </c>
      <c r="J204" s="16">
        <f t="shared" si="3"/>
        <v>19.76542486</v>
      </c>
      <c r="K204" s="16">
        <f t="shared" si="4"/>
        <v>730.9274249</v>
      </c>
      <c r="L204" s="16">
        <f t="shared" si="5"/>
        <v>691.3965751</v>
      </c>
      <c r="N204" s="17" t="str">
        <f t="shared" si="6"/>
        <v>F</v>
      </c>
      <c r="O204" s="17" t="str">
        <f t="shared" si="7"/>
        <v>F</v>
      </c>
      <c r="P204" s="8">
        <f t="shared" si="8"/>
        <v>0</v>
      </c>
      <c r="R204" s="17" t="str">
        <f t="shared" si="9"/>
        <v>F</v>
      </c>
      <c r="S204" s="3" t="str">
        <f t="shared" si="10"/>
        <v>T</v>
      </c>
      <c r="T204" s="8">
        <f t="shared" si="11"/>
        <v>0</v>
      </c>
      <c r="V204" s="4">
        <f t="shared" si="12"/>
        <v>0</v>
      </c>
      <c r="W204" s="8">
        <f t="shared" si="13"/>
        <v>-31</v>
      </c>
      <c r="X204" s="8">
        <f t="shared" si="14"/>
        <v>31</v>
      </c>
      <c r="Y204" s="8">
        <f t="shared" si="15"/>
        <v>3.48</v>
      </c>
    </row>
    <row r="205">
      <c r="A205" s="2">
        <v>198.0</v>
      </c>
      <c r="B205" s="15">
        <f>IFERROR(__xludf.DUMMYFUNCTION("""COMPUTED_VALUE"""),42667.64583333333)</f>
        <v>42667.64583</v>
      </c>
      <c r="C205" s="8">
        <f>IFERROR(__xludf.DUMMYFUNCTION("""COMPUTED_VALUE"""),1344.0)</f>
        <v>1344</v>
      </c>
      <c r="E205" s="15">
        <f>IFERROR(__xludf.DUMMYFUNCTION("""COMPUTED_VALUE"""),42667.64583333333)</f>
        <v>42667.64583</v>
      </c>
      <c r="F205" s="8">
        <f>IFERROR(__xludf.DUMMYFUNCTION("""COMPUTED_VALUE"""),631.78)</f>
        <v>631.78</v>
      </c>
      <c r="H205" s="4">
        <f t="shared" si="1"/>
        <v>712.22</v>
      </c>
      <c r="I205" s="16">
        <f t="shared" si="2"/>
        <v>716.986</v>
      </c>
      <c r="J205" s="16">
        <f t="shared" si="3"/>
        <v>12.31601315</v>
      </c>
      <c r="K205" s="16">
        <f t="shared" si="4"/>
        <v>729.3020132</v>
      </c>
      <c r="L205" s="16">
        <f t="shared" si="5"/>
        <v>704.6699868</v>
      </c>
      <c r="N205" s="17" t="str">
        <f t="shared" si="6"/>
        <v>F</v>
      </c>
      <c r="O205" s="17" t="str">
        <f t="shared" si="7"/>
        <v>F</v>
      </c>
      <c r="P205" s="8">
        <f t="shared" si="8"/>
        <v>0</v>
      </c>
      <c r="R205" s="17" t="str">
        <f t="shared" si="9"/>
        <v>F</v>
      </c>
      <c r="S205" s="3" t="str">
        <f t="shared" si="10"/>
        <v>T</v>
      </c>
      <c r="T205" s="8">
        <f t="shared" si="11"/>
        <v>0</v>
      </c>
      <c r="V205" s="4">
        <f t="shared" si="12"/>
        <v>0</v>
      </c>
      <c r="W205" s="8">
        <f t="shared" si="13"/>
        <v>11.02</v>
      </c>
      <c r="X205" s="8">
        <f t="shared" si="14"/>
        <v>0</v>
      </c>
      <c r="Y205" s="8">
        <f t="shared" si="15"/>
        <v>3.48</v>
      </c>
    </row>
    <row r="206">
      <c r="A206" s="2">
        <v>199.0</v>
      </c>
      <c r="B206" s="15">
        <f>IFERROR(__xludf.DUMMYFUNCTION("""COMPUTED_VALUE"""),42668.64583333333)</f>
        <v>42668.64583</v>
      </c>
      <c r="C206" s="8">
        <f>IFERROR(__xludf.DUMMYFUNCTION("""COMPUTED_VALUE"""),1340.1)</f>
        <v>1340.1</v>
      </c>
      <c r="E206" s="15">
        <f>IFERROR(__xludf.DUMMYFUNCTION("""COMPUTED_VALUE"""),42668.64583333333)</f>
        <v>42668.64583</v>
      </c>
      <c r="F206" s="8">
        <f>IFERROR(__xludf.DUMMYFUNCTION("""COMPUTED_VALUE"""),625.15)</f>
        <v>625.15</v>
      </c>
      <c r="H206" s="4">
        <f t="shared" si="1"/>
        <v>714.95</v>
      </c>
      <c r="I206" s="16">
        <f t="shared" si="2"/>
        <v>714.71</v>
      </c>
      <c r="J206" s="16">
        <f t="shared" si="3"/>
        <v>11.15426824</v>
      </c>
      <c r="K206" s="16">
        <f t="shared" si="4"/>
        <v>725.8642682</v>
      </c>
      <c r="L206" s="16">
        <f t="shared" si="5"/>
        <v>703.5557318</v>
      </c>
      <c r="N206" s="17" t="str">
        <f t="shared" si="6"/>
        <v>F</v>
      </c>
      <c r="O206" s="17" t="str">
        <f t="shared" si="7"/>
        <v>T</v>
      </c>
      <c r="P206" s="8">
        <f t="shared" si="8"/>
        <v>0</v>
      </c>
      <c r="R206" s="17" t="str">
        <f t="shared" si="9"/>
        <v>F</v>
      </c>
      <c r="S206" s="3" t="str">
        <f t="shared" si="10"/>
        <v>F</v>
      </c>
      <c r="T206" s="8">
        <f t="shared" si="11"/>
        <v>0</v>
      </c>
      <c r="V206" s="4">
        <f t="shared" si="12"/>
        <v>0</v>
      </c>
      <c r="W206" s="8">
        <f t="shared" si="13"/>
        <v>2.73</v>
      </c>
      <c r="X206" s="8">
        <f t="shared" si="14"/>
        <v>0</v>
      </c>
      <c r="Y206" s="8">
        <f t="shared" si="15"/>
        <v>3.48</v>
      </c>
    </row>
    <row r="207">
      <c r="A207" s="2">
        <v>200.0</v>
      </c>
      <c r="B207" s="15">
        <f>IFERROR(__xludf.DUMMYFUNCTION("""COMPUTED_VALUE"""),42669.64583333333)</f>
        <v>42669.64583</v>
      </c>
      <c r="C207" s="8">
        <f>IFERROR(__xludf.DUMMYFUNCTION("""COMPUTED_VALUE"""),1334.65)</f>
        <v>1334.65</v>
      </c>
      <c r="E207" s="15">
        <f>IFERROR(__xludf.DUMMYFUNCTION("""COMPUTED_VALUE"""),42669.64583333333)</f>
        <v>42669.64583</v>
      </c>
      <c r="F207" s="8">
        <f>IFERROR(__xludf.DUMMYFUNCTION("""COMPUTED_VALUE"""),619.65)</f>
        <v>619.65</v>
      </c>
      <c r="H207" s="4">
        <f t="shared" si="1"/>
        <v>715</v>
      </c>
      <c r="I207" s="16">
        <f t="shared" si="2"/>
        <v>715.114</v>
      </c>
      <c r="J207" s="16">
        <f t="shared" si="3"/>
        <v>11.11244708</v>
      </c>
      <c r="K207" s="16">
        <f t="shared" si="4"/>
        <v>726.2264471</v>
      </c>
      <c r="L207" s="16">
        <f t="shared" si="5"/>
        <v>704.0015529</v>
      </c>
      <c r="N207" s="17" t="str">
        <f t="shared" si="6"/>
        <v>F</v>
      </c>
      <c r="O207" s="17" t="str">
        <f t="shared" si="7"/>
        <v>F</v>
      </c>
      <c r="P207" s="8">
        <f t="shared" si="8"/>
        <v>0</v>
      </c>
      <c r="R207" s="17" t="str">
        <f t="shared" si="9"/>
        <v>F</v>
      </c>
      <c r="S207" s="3" t="str">
        <f t="shared" si="10"/>
        <v>T</v>
      </c>
      <c r="T207" s="8">
        <f t="shared" si="11"/>
        <v>0</v>
      </c>
      <c r="V207" s="4">
        <f t="shared" si="12"/>
        <v>0</v>
      </c>
      <c r="W207" s="8">
        <f t="shared" si="13"/>
        <v>0.05</v>
      </c>
      <c r="X207" s="8">
        <f t="shared" si="14"/>
        <v>0</v>
      </c>
      <c r="Y207" s="8">
        <f t="shared" si="15"/>
        <v>3.48</v>
      </c>
    </row>
    <row r="208">
      <c r="A208" s="2">
        <v>201.0</v>
      </c>
      <c r="B208" s="15">
        <f>IFERROR(__xludf.DUMMYFUNCTION("""COMPUTED_VALUE"""),42670.64583333333)</f>
        <v>42670.64583</v>
      </c>
      <c r="C208" s="8">
        <f>IFERROR(__xludf.DUMMYFUNCTION("""COMPUTED_VALUE"""),1378.55)</f>
        <v>1378.55</v>
      </c>
      <c r="E208" s="15">
        <f>IFERROR(__xludf.DUMMYFUNCTION("""COMPUTED_VALUE"""),42670.64583333333)</f>
        <v>42670.64583</v>
      </c>
      <c r="F208" s="8">
        <f>IFERROR(__xludf.DUMMYFUNCTION("""COMPUTED_VALUE"""),626.05)</f>
        <v>626.05</v>
      </c>
      <c r="H208" s="4">
        <f t="shared" si="1"/>
        <v>752.5</v>
      </c>
      <c r="I208" s="16">
        <f t="shared" si="2"/>
        <v>719.174</v>
      </c>
      <c r="J208" s="16">
        <f t="shared" si="3"/>
        <v>19.47632871</v>
      </c>
      <c r="K208" s="16">
        <f t="shared" si="4"/>
        <v>738.6503287</v>
      </c>
      <c r="L208" s="16">
        <f t="shared" si="5"/>
        <v>699.6976713</v>
      </c>
      <c r="N208" s="17" t="str">
        <f t="shared" si="6"/>
        <v>F</v>
      </c>
      <c r="O208" s="17" t="str">
        <f t="shared" si="7"/>
        <v>T</v>
      </c>
      <c r="P208" s="8">
        <f t="shared" si="8"/>
        <v>0</v>
      </c>
      <c r="R208" s="17" t="str">
        <f t="shared" si="9"/>
        <v>T</v>
      </c>
      <c r="S208" s="3" t="str">
        <f t="shared" si="10"/>
        <v>F</v>
      </c>
      <c r="T208" s="8">
        <f t="shared" si="11"/>
        <v>-1</v>
      </c>
      <c r="V208" s="4">
        <f t="shared" si="12"/>
        <v>-1</v>
      </c>
      <c r="W208" s="8">
        <f t="shared" si="13"/>
        <v>37.5</v>
      </c>
      <c r="X208" s="8">
        <f t="shared" si="14"/>
        <v>0</v>
      </c>
      <c r="Y208" s="8">
        <f t="shared" si="15"/>
        <v>3.48</v>
      </c>
    </row>
    <row r="209">
      <c r="A209" s="2">
        <v>202.0</v>
      </c>
      <c r="B209" s="15">
        <f>IFERROR(__xludf.DUMMYFUNCTION("""COMPUTED_VALUE"""),42671.64583333333)</f>
        <v>42671.64583</v>
      </c>
      <c r="C209" s="8">
        <f>IFERROR(__xludf.DUMMYFUNCTION("""COMPUTED_VALUE"""),1391.7)</f>
        <v>1391.7</v>
      </c>
      <c r="E209" s="15">
        <f>IFERROR(__xludf.DUMMYFUNCTION("""COMPUTED_VALUE"""),42671.64583333333)</f>
        <v>42671.64583</v>
      </c>
      <c r="F209" s="8">
        <f>IFERROR(__xludf.DUMMYFUNCTION("""COMPUTED_VALUE"""),629.53)</f>
        <v>629.53</v>
      </c>
      <c r="H209" s="4">
        <f t="shared" si="1"/>
        <v>762.17</v>
      </c>
      <c r="I209" s="16">
        <f t="shared" si="2"/>
        <v>731.368</v>
      </c>
      <c r="J209" s="16">
        <f t="shared" si="3"/>
        <v>23.97620007</v>
      </c>
      <c r="K209" s="16">
        <f t="shared" si="4"/>
        <v>755.3442001</v>
      </c>
      <c r="L209" s="16">
        <f t="shared" si="5"/>
        <v>707.3917999</v>
      </c>
      <c r="N209" s="17" t="str">
        <f t="shared" si="6"/>
        <v>F</v>
      </c>
      <c r="O209" s="17" t="str">
        <f t="shared" si="7"/>
        <v>T</v>
      </c>
      <c r="P209" s="8">
        <f t="shared" si="8"/>
        <v>0</v>
      </c>
      <c r="R209" s="17" t="str">
        <f t="shared" si="9"/>
        <v>T</v>
      </c>
      <c r="S209" s="3" t="str">
        <f t="shared" si="10"/>
        <v>F</v>
      </c>
      <c r="T209" s="8">
        <f t="shared" si="11"/>
        <v>-1</v>
      </c>
      <c r="V209" s="4">
        <f t="shared" si="12"/>
        <v>-1</v>
      </c>
      <c r="W209" s="8">
        <f t="shared" si="13"/>
        <v>9.67</v>
      </c>
      <c r="X209" s="8">
        <f t="shared" si="14"/>
        <v>-9.67</v>
      </c>
      <c r="Y209" s="8">
        <f t="shared" si="15"/>
        <v>-6.19</v>
      </c>
    </row>
    <row r="210">
      <c r="A210" s="2">
        <v>203.0</v>
      </c>
      <c r="B210" s="15">
        <f>IFERROR(__xludf.DUMMYFUNCTION("""COMPUTED_VALUE"""),42675.64583333333)</f>
        <v>42675.64583</v>
      </c>
      <c r="C210" s="8">
        <f>IFERROR(__xludf.DUMMYFUNCTION("""COMPUTED_VALUE"""),1417.2)</f>
        <v>1417.2</v>
      </c>
      <c r="E210" s="15">
        <f>IFERROR(__xludf.DUMMYFUNCTION("""COMPUTED_VALUE"""),42675.64583333333)</f>
        <v>42675.64583</v>
      </c>
      <c r="F210" s="8">
        <f>IFERROR(__xludf.DUMMYFUNCTION("""COMPUTED_VALUE"""),629.9)</f>
        <v>629.9</v>
      </c>
      <c r="H210" s="4">
        <f t="shared" si="1"/>
        <v>787.3</v>
      </c>
      <c r="I210" s="16">
        <f t="shared" si="2"/>
        <v>746.384</v>
      </c>
      <c r="J210" s="16">
        <f t="shared" si="3"/>
        <v>31.35990322</v>
      </c>
      <c r="K210" s="16">
        <f t="shared" si="4"/>
        <v>777.7439032</v>
      </c>
      <c r="L210" s="16">
        <f t="shared" si="5"/>
        <v>715.0240968</v>
      </c>
      <c r="N210" s="17" t="str">
        <f t="shared" si="6"/>
        <v>F</v>
      </c>
      <c r="O210" s="17" t="str">
        <f t="shared" si="7"/>
        <v>T</v>
      </c>
      <c r="P210" s="8">
        <f t="shared" si="8"/>
        <v>0</v>
      </c>
      <c r="R210" s="17" t="str">
        <f t="shared" si="9"/>
        <v>T</v>
      </c>
      <c r="S210" s="3" t="str">
        <f t="shared" si="10"/>
        <v>F</v>
      </c>
      <c r="T210" s="8">
        <f t="shared" si="11"/>
        <v>-1</v>
      </c>
      <c r="V210" s="4">
        <f t="shared" si="12"/>
        <v>-1</v>
      </c>
      <c r="W210" s="8">
        <f t="shared" si="13"/>
        <v>25.13</v>
      </c>
      <c r="X210" s="8">
        <f t="shared" si="14"/>
        <v>-25.13</v>
      </c>
      <c r="Y210" s="8">
        <f t="shared" si="15"/>
        <v>-31.32</v>
      </c>
    </row>
    <row r="211">
      <c r="A211" s="2">
        <v>204.0</v>
      </c>
      <c r="B211" s="15">
        <f>IFERROR(__xludf.DUMMYFUNCTION("""COMPUTED_VALUE"""),42676.64583333333)</f>
        <v>42676.64583</v>
      </c>
      <c r="C211" s="8">
        <f>IFERROR(__xludf.DUMMYFUNCTION("""COMPUTED_VALUE"""),1404.35)</f>
        <v>1404.35</v>
      </c>
      <c r="E211" s="15">
        <f>IFERROR(__xludf.DUMMYFUNCTION("""COMPUTED_VALUE"""),42676.64583333333)</f>
        <v>42676.64583</v>
      </c>
      <c r="F211" s="8">
        <f>IFERROR(__xludf.DUMMYFUNCTION("""COMPUTED_VALUE"""),623.08)</f>
        <v>623.08</v>
      </c>
      <c r="H211" s="4">
        <f t="shared" si="1"/>
        <v>781.27</v>
      </c>
      <c r="I211" s="16">
        <f t="shared" si="2"/>
        <v>759.648</v>
      </c>
      <c r="J211" s="16">
        <f t="shared" si="3"/>
        <v>28.64891918</v>
      </c>
      <c r="K211" s="16">
        <f t="shared" si="4"/>
        <v>788.2969192</v>
      </c>
      <c r="L211" s="16">
        <f t="shared" si="5"/>
        <v>730.9990808</v>
      </c>
      <c r="N211" s="17" t="str">
        <f t="shared" si="6"/>
        <v>F</v>
      </c>
      <c r="O211" s="17" t="str">
        <f t="shared" si="7"/>
        <v>T</v>
      </c>
      <c r="P211" s="8">
        <f t="shared" si="8"/>
        <v>0</v>
      </c>
      <c r="R211" s="17" t="str">
        <f t="shared" si="9"/>
        <v>F</v>
      </c>
      <c r="S211" s="3" t="str">
        <f t="shared" si="10"/>
        <v>F</v>
      </c>
      <c r="T211" s="8">
        <f t="shared" si="11"/>
        <v>-1</v>
      </c>
      <c r="V211" s="4">
        <f t="shared" si="12"/>
        <v>-1</v>
      </c>
      <c r="W211" s="8">
        <f t="shared" si="13"/>
        <v>-6.03</v>
      </c>
      <c r="X211" s="8">
        <f t="shared" si="14"/>
        <v>6.03</v>
      </c>
      <c r="Y211" s="8">
        <f t="shared" si="15"/>
        <v>-25.29</v>
      </c>
    </row>
    <row r="212">
      <c r="A212" s="2">
        <v>205.0</v>
      </c>
      <c r="B212" s="15">
        <f>IFERROR(__xludf.DUMMYFUNCTION("""COMPUTED_VALUE"""),42677.64583333333)</f>
        <v>42677.64583</v>
      </c>
      <c r="C212" s="8">
        <f>IFERROR(__xludf.DUMMYFUNCTION("""COMPUTED_VALUE"""),1401.6)</f>
        <v>1401.6</v>
      </c>
      <c r="E212" s="15">
        <f>IFERROR(__xludf.DUMMYFUNCTION("""COMPUTED_VALUE"""),42677.64583333333)</f>
        <v>42677.64583</v>
      </c>
      <c r="F212" s="8">
        <f>IFERROR(__xludf.DUMMYFUNCTION("""COMPUTED_VALUE"""),627.48)</f>
        <v>627.48</v>
      </c>
      <c r="H212" s="4">
        <f t="shared" si="1"/>
        <v>774.12</v>
      </c>
      <c r="I212" s="16">
        <f t="shared" si="2"/>
        <v>771.472</v>
      </c>
      <c r="J212" s="16">
        <f t="shared" si="3"/>
        <v>14.14215578</v>
      </c>
      <c r="K212" s="16">
        <f t="shared" si="4"/>
        <v>785.6141558</v>
      </c>
      <c r="L212" s="16">
        <f t="shared" si="5"/>
        <v>757.3298442</v>
      </c>
      <c r="N212" s="17" t="str">
        <f t="shared" si="6"/>
        <v>F</v>
      </c>
      <c r="O212" s="17" t="str">
        <f t="shared" si="7"/>
        <v>T</v>
      </c>
      <c r="P212" s="8">
        <f t="shared" si="8"/>
        <v>0</v>
      </c>
      <c r="R212" s="17" t="str">
        <f t="shared" si="9"/>
        <v>F</v>
      </c>
      <c r="S212" s="3" t="str">
        <f t="shared" si="10"/>
        <v>F</v>
      </c>
      <c r="T212" s="8">
        <f t="shared" si="11"/>
        <v>-1</v>
      </c>
      <c r="V212" s="4">
        <f t="shared" si="12"/>
        <v>-1</v>
      </c>
      <c r="W212" s="8">
        <f t="shared" si="13"/>
        <v>-7.15</v>
      </c>
      <c r="X212" s="8">
        <f t="shared" si="14"/>
        <v>7.15</v>
      </c>
      <c r="Y212" s="8">
        <f t="shared" si="15"/>
        <v>-18.14</v>
      </c>
    </row>
    <row r="213">
      <c r="A213" s="2">
        <v>206.0</v>
      </c>
      <c r="B213" s="15">
        <f>IFERROR(__xludf.DUMMYFUNCTION("""COMPUTED_VALUE"""),42678.64583333333)</f>
        <v>42678.64583</v>
      </c>
      <c r="C213" s="8">
        <f>IFERROR(__xludf.DUMMYFUNCTION("""COMPUTED_VALUE"""),1386.15)</f>
        <v>1386.15</v>
      </c>
      <c r="E213" s="15">
        <f>IFERROR(__xludf.DUMMYFUNCTION("""COMPUTED_VALUE"""),42678.64583333333)</f>
        <v>42678.64583</v>
      </c>
      <c r="F213" s="8">
        <f>IFERROR(__xludf.DUMMYFUNCTION("""COMPUTED_VALUE"""),621.85)</f>
        <v>621.85</v>
      </c>
      <c r="H213" s="4">
        <f t="shared" si="1"/>
        <v>764.3</v>
      </c>
      <c r="I213" s="16">
        <f t="shared" si="2"/>
        <v>773.832</v>
      </c>
      <c r="J213" s="16">
        <f t="shared" si="3"/>
        <v>10.76632574</v>
      </c>
      <c r="K213" s="16">
        <f t="shared" si="4"/>
        <v>784.5983257</v>
      </c>
      <c r="L213" s="16">
        <f t="shared" si="5"/>
        <v>763.0656743</v>
      </c>
      <c r="N213" s="17" t="str">
        <f t="shared" si="6"/>
        <v>F</v>
      </c>
      <c r="O213" s="17" t="str">
        <f t="shared" si="7"/>
        <v>F</v>
      </c>
      <c r="P213" s="8">
        <f t="shared" si="8"/>
        <v>0</v>
      </c>
      <c r="R213" s="17" t="str">
        <f t="shared" si="9"/>
        <v>F</v>
      </c>
      <c r="S213" s="3" t="str">
        <f t="shared" si="10"/>
        <v>T</v>
      </c>
      <c r="T213" s="8">
        <f t="shared" si="11"/>
        <v>0</v>
      </c>
      <c r="V213" s="4">
        <f t="shared" si="12"/>
        <v>0</v>
      </c>
      <c r="W213" s="8">
        <f t="shared" si="13"/>
        <v>-9.82</v>
      </c>
      <c r="X213" s="8">
        <f t="shared" si="14"/>
        <v>9.82</v>
      </c>
      <c r="Y213" s="8">
        <f t="shared" si="15"/>
        <v>-8.32</v>
      </c>
    </row>
    <row r="214">
      <c r="A214" s="2">
        <v>207.0</v>
      </c>
      <c r="B214" s="15">
        <f>IFERROR(__xludf.DUMMYFUNCTION("""COMPUTED_VALUE"""),42681.64583333333)</f>
        <v>42681.64583</v>
      </c>
      <c r="C214" s="8">
        <f>IFERROR(__xludf.DUMMYFUNCTION("""COMPUTED_VALUE"""),1381.4)</f>
        <v>1381.4</v>
      </c>
      <c r="E214" s="15">
        <f>IFERROR(__xludf.DUMMYFUNCTION("""COMPUTED_VALUE"""),42681.64583333333)</f>
        <v>42681.64583</v>
      </c>
      <c r="F214" s="8">
        <f>IFERROR(__xludf.DUMMYFUNCTION("""COMPUTED_VALUE"""),624.73)</f>
        <v>624.73</v>
      </c>
      <c r="H214" s="4">
        <f t="shared" si="1"/>
        <v>756.67</v>
      </c>
      <c r="I214" s="16">
        <f t="shared" si="2"/>
        <v>772.732</v>
      </c>
      <c r="J214" s="16">
        <f t="shared" si="3"/>
        <v>12.41105435</v>
      </c>
      <c r="K214" s="16">
        <f t="shared" si="4"/>
        <v>785.1430543</v>
      </c>
      <c r="L214" s="16">
        <f t="shared" si="5"/>
        <v>760.3209457</v>
      </c>
      <c r="N214" s="17" t="str">
        <f t="shared" si="6"/>
        <v>T</v>
      </c>
      <c r="O214" s="17" t="str">
        <f t="shared" si="7"/>
        <v>F</v>
      </c>
      <c r="P214" s="8">
        <f t="shared" si="8"/>
        <v>1</v>
      </c>
      <c r="R214" s="17" t="str">
        <f t="shared" si="9"/>
        <v>F</v>
      </c>
      <c r="S214" s="3" t="str">
        <f t="shared" si="10"/>
        <v>T</v>
      </c>
      <c r="T214" s="8">
        <f t="shared" si="11"/>
        <v>0</v>
      </c>
      <c r="V214" s="4">
        <f t="shared" si="12"/>
        <v>1</v>
      </c>
      <c r="W214" s="8">
        <f t="shared" si="13"/>
        <v>-7.63</v>
      </c>
      <c r="X214" s="8">
        <f t="shared" si="14"/>
        <v>0</v>
      </c>
      <c r="Y214" s="8">
        <f t="shared" si="15"/>
        <v>-8.32</v>
      </c>
    </row>
    <row r="215">
      <c r="A215" s="2">
        <v>208.0</v>
      </c>
      <c r="B215" s="15">
        <f>IFERROR(__xludf.DUMMYFUNCTION("""COMPUTED_VALUE"""),42682.64583333333)</f>
        <v>42682.64583</v>
      </c>
      <c r="C215" s="8">
        <f>IFERROR(__xludf.DUMMYFUNCTION("""COMPUTED_VALUE"""),1391.35)</f>
        <v>1391.35</v>
      </c>
      <c r="E215" s="15">
        <f>IFERROR(__xludf.DUMMYFUNCTION("""COMPUTED_VALUE"""),42682.64583333333)</f>
        <v>42682.64583</v>
      </c>
      <c r="F215" s="8">
        <f>IFERROR(__xludf.DUMMYFUNCTION("""COMPUTED_VALUE"""),627.15)</f>
        <v>627.15</v>
      </c>
      <c r="H215" s="4">
        <f t="shared" si="1"/>
        <v>764.2</v>
      </c>
      <c r="I215" s="16">
        <f t="shared" si="2"/>
        <v>768.112</v>
      </c>
      <c r="J215" s="16">
        <f t="shared" si="3"/>
        <v>9.61747732</v>
      </c>
      <c r="K215" s="16">
        <f t="shared" si="4"/>
        <v>777.7294773</v>
      </c>
      <c r="L215" s="16">
        <f t="shared" si="5"/>
        <v>758.4945227</v>
      </c>
      <c r="N215" s="17" t="str">
        <f t="shared" si="6"/>
        <v>F</v>
      </c>
      <c r="O215" s="17" t="str">
        <f t="shared" si="7"/>
        <v>F</v>
      </c>
      <c r="P215" s="8">
        <f t="shared" si="8"/>
        <v>1</v>
      </c>
      <c r="R215" s="17" t="str">
        <f t="shared" si="9"/>
        <v>F</v>
      </c>
      <c r="S215" s="3" t="str">
        <f t="shared" si="10"/>
        <v>T</v>
      </c>
      <c r="T215" s="8">
        <f t="shared" si="11"/>
        <v>0</v>
      </c>
      <c r="V215" s="4">
        <f t="shared" si="12"/>
        <v>1</v>
      </c>
      <c r="W215" s="8">
        <f t="shared" si="13"/>
        <v>7.53</v>
      </c>
      <c r="X215" s="8">
        <f t="shared" si="14"/>
        <v>7.53</v>
      </c>
      <c r="Y215" s="8">
        <f t="shared" si="15"/>
        <v>-0.79</v>
      </c>
    </row>
    <row r="216">
      <c r="A216" s="2">
        <v>209.0</v>
      </c>
      <c r="B216" s="15">
        <f>IFERROR(__xludf.DUMMYFUNCTION("""COMPUTED_VALUE"""),42683.64583333333)</f>
        <v>42683.64583</v>
      </c>
      <c r="C216" s="8">
        <f>IFERROR(__xludf.DUMMYFUNCTION("""COMPUTED_VALUE"""),1350.8)</f>
        <v>1350.8</v>
      </c>
      <c r="E216" s="15">
        <f>IFERROR(__xludf.DUMMYFUNCTION("""COMPUTED_VALUE"""),42683.64583333333)</f>
        <v>42683.64583</v>
      </c>
      <c r="F216" s="8">
        <f>IFERROR(__xludf.DUMMYFUNCTION("""COMPUTED_VALUE"""),625.63)</f>
        <v>625.63</v>
      </c>
      <c r="H216" s="4">
        <f t="shared" si="1"/>
        <v>725.17</v>
      </c>
      <c r="I216" s="16">
        <f t="shared" si="2"/>
        <v>756.892</v>
      </c>
      <c r="J216" s="16">
        <f t="shared" si="3"/>
        <v>18.78446087</v>
      </c>
      <c r="K216" s="16">
        <f t="shared" si="4"/>
        <v>775.6764609</v>
      </c>
      <c r="L216" s="16">
        <f t="shared" si="5"/>
        <v>738.1075391</v>
      </c>
      <c r="N216" s="17" t="str">
        <f t="shared" si="6"/>
        <v>T</v>
      </c>
      <c r="O216" s="17" t="str">
        <f t="shared" si="7"/>
        <v>F</v>
      </c>
      <c r="P216" s="8">
        <f t="shared" si="8"/>
        <v>1</v>
      </c>
      <c r="R216" s="17" t="str">
        <f t="shared" si="9"/>
        <v>F</v>
      </c>
      <c r="S216" s="3" t="str">
        <f t="shared" si="10"/>
        <v>T</v>
      </c>
      <c r="T216" s="8">
        <f t="shared" si="11"/>
        <v>0</v>
      </c>
      <c r="V216" s="4">
        <f t="shared" si="12"/>
        <v>1</v>
      </c>
      <c r="W216" s="8">
        <f t="shared" si="13"/>
        <v>-39.03</v>
      </c>
      <c r="X216" s="8">
        <f t="shared" si="14"/>
        <v>-39.03</v>
      </c>
      <c r="Y216" s="8">
        <f t="shared" si="15"/>
        <v>-39.82</v>
      </c>
    </row>
    <row r="217">
      <c r="A217" s="2">
        <v>210.0</v>
      </c>
      <c r="B217" s="15">
        <f>IFERROR(__xludf.DUMMYFUNCTION("""COMPUTED_VALUE"""),42684.64583333333)</f>
        <v>42684.64583</v>
      </c>
      <c r="C217" s="8">
        <f>IFERROR(__xludf.DUMMYFUNCTION("""COMPUTED_VALUE"""),1324.55)</f>
        <v>1324.55</v>
      </c>
      <c r="E217" s="15">
        <f>IFERROR(__xludf.DUMMYFUNCTION("""COMPUTED_VALUE"""),42684.64583333333)</f>
        <v>42684.64583</v>
      </c>
      <c r="F217" s="8">
        <f>IFERROR(__xludf.DUMMYFUNCTION("""COMPUTED_VALUE"""),639.28)</f>
        <v>639.28</v>
      </c>
      <c r="H217" s="4">
        <f t="shared" si="1"/>
        <v>685.27</v>
      </c>
      <c r="I217" s="16">
        <f t="shared" si="2"/>
        <v>739.122</v>
      </c>
      <c r="J217" s="16">
        <f t="shared" si="3"/>
        <v>34.15210931</v>
      </c>
      <c r="K217" s="16">
        <f t="shared" si="4"/>
        <v>773.2741093</v>
      </c>
      <c r="L217" s="16">
        <f t="shared" si="5"/>
        <v>704.9698907</v>
      </c>
      <c r="N217" s="17" t="str">
        <f t="shared" si="6"/>
        <v>T</v>
      </c>
      <c r="O217" s="17" t="str">
        <f t="shared" si="7"/>
        <v>F</v>
      </c>
      <c r="P217" s="8">
        <f t="shared" si="8"/>
        <v>1</v>
      </c>
      <c r="R217" s="17" t="str">
        <f t="shared" si="9"/>
        <v>F</v>
      </c>
      <c r="S217" s="3" t="str">
        <f t="shared" si="10"/>
        <v>T</v>
      </c>
      <c r="T217" s="8">
        <f t="shared" si="11"/>
        <v>0</v>
      </c>
      <c r="V217" s="4">
        <f t="shared" si="12"/>
        <v>1</v>
      </c>
      <c r="W217" s="8">
        <f t="shared" si="13"/>
        <v>-39.9</v>
      </c>
      <c r="X217" s="8">
        <f t="shared" si="14"/>
        <v>-39.9</v>
      </c>
      <c r="Y217" s="8">
        <f t="shared" si="15"/>
        <v>-79.72</v>
      </c>
    </row>
    <row r="218">
      <c r="A218" s="2">
        <v>211.0</v>
      </c>
      <c r="B218" s="15">
        <f>IFERROR(__xludf.DUMMYFUNCTION("""COMPUTED_VALUE"""),42685.64583333333)</f>
        <v>42685.64583</v>
      </c>
      <c r="C218" s="8">
        <f>IFERROR(__xludf.DUMMYFUNCTION("""COMPUTED_VALUE"""),1268.35)</f>
        <v>1268.35</v>
      </c>
      <c r="E218" s="15">
        <f>IFERROR(__xludf.DUMMYFUNCTION("""COMPUTED_VALUE"""),42685.64583333333)</f>
        <v>42685.64583</v>
      </c>
      <c r="F218" s="8">
        <f>IFERROR(__xludf.DUMMYFUNCTION("""COMPUTED_VALUE"""),637.9)</f>
        <v>637.9</v>
      </c>
      <c r="H218" s="4">
        <f t="shared" si="1"/>
        <v>630.45</v>
      </c>
      <c r="I218" s="16">
        <f t="shared" si="2"/>
        <v>712.352</v>
      </c>
      <c r="J218" s="16">
        <f t="shared" si="3"/>
        <v>55.35786683</v>
      </c>
      <c r="K218" s="16">
        <f t="shared" si="4"/>
        <v>767.7098668</v>
      </c>
      <c r="L218" s="16">
        <f t="shared" si="5"/>
        <v>656.9941332</v>
      </c>
      <c r="N218" s="17" t="str">
        <f t="shared" si="6"/>
        <v>T</v>
      </c>
      <c r="O218" s="17" t="str">
        <f t="shared" si="7"/>
        <v>F</v>
      </c>
      <c r="P218" s="8">
        <f t="shared" si="8"/>
        <v>1</v>
      </c>
      <c r="R218" s="17" t="str">
        <f t="shared" si="9"/>
        <v>F</v>
      </c>
      <c r="S218" s="3" t="str">
        <f t="shared" si="10"/>
        <v>T</v>
      </c>
      <c r="T218" s="8">
        <f t="shared" si="11"/>
        <v>0</v>
      </c>
      <c r="V218" s="4">
        <f t="shared" si="12"/>
        <v>1</v>
      </c>
      <c r="W218" s="8">
        <f t="shared" si="13"/>
        <v>-54.82</v>
      </c>
      <c r="X218" s="8">
        <f t="shared" si="14"/>
        <v>-54.82</v>
      </c>
      <c r="Y218" s="8">
        <f t="shared" si="15"/>
        <v>-134.54</v>
      </c>
    </row>
    <row r="219">
      <c r="A219" s="2">
        <v>212.0</v>
      </c>
      <c r="B219" s="15">
        <f>IFERROR(__xludf.DUMMYFUNCTION("""COMPUTED_VALUE"""),42689.64583333333)</f>
        <v>42689.64583</v>
      </c>
      <c r="C219" s="8">
        <f>IFERROR(__xludf.DUMMYFUNCTION("""COMPUTED_VALUE"""),1225.75)</f>
        <v>1225.75</v>
      </c>
      <c r="E219" s="15">
        <f>IFERROR(__xludf.DUMMYFUNCTION("""COMPUTED_VALUE"""),42689.64583333333)</f>
        <v>42689.64583</v>
      </c>
      <c r="F219" s="8">
        <f>IFERROR(__xludf.DUMMYFUNCTION("""COMPUTED_VALUE"""),627.38)</f>
        <v>627.38</v>
      </c>
      <c r="H219" s="4">
        <f t="shared" si="1"/>
        <v>598.37</v>
      </c>
      <c r="I219" s="16">
        <f t="shared" si="2"/>
        <v>680.692</v>
      </c>
      <c r="J219" s="16">
        <f t="shared" si="3"/>
        <v>67.59069255</v>
      </c>
      <c r="K219" s="16">
        <f t="shared" si="4"/>
        <v>748.2826926</v>
      </c>
      <c r="L219" s="16">
        <f t="shared" si="5"/>
        <v>613.1013074</v>
      </c>
      <c r="N219" s="17" t="str">
        <f t="shared" si="6"/>
        <v>T</v>
      </c>
      <c r="O219" s="17" t="str">
        <f t="shared" si="7"/>
        <v>F</v>
      </c>
      <c r="P219" s="8">
        <f t="shared" si="8"/>
        <v>1</v>
      </c>
      <c r="R219" s="17" t="str">
        <f t="shared" si="9"/>
        <v>F</v>
      </c>
      <c r="S219" s="3" t="str">
        <f t="shared" si="10"/>
        <v>T</v>
      </c>
      <c r="T219" s="8">
        <f t="shared" si="11"/>
        <v>0</v>
      </c>
      <c r="V219" s="4">
        <f t="shared" si="12"/>
        <v>1</v>
      </c>
      <c r="W219" s="8">
        <f t="shared" si="13"/>
        <v>-32.08</v>
      </c>
      <c r="X219" s="8">
        <f t="shared" si="14"/>
        <v>-32.08</v>
      </c>
      <c r="Y219" s="8">
        <f t="shared" si="15"/>
        <v>-166.62</v>
      </c>
    </row>
    <row r="220">
      <c r="A220" s="2">
        <v>213.0</v>
      </c>
      <c r="B220" s="15">
        <f>IFERROR(__xludf.DUMMYFUNCTION("""COMPUTED_VALUE"""),42690.64583333333)</f>
        <v>42690.64583</v>
      </c>
      <c r="C220" s="8">
        <f>IFERROR(__xludf.DUMMYFUNCTION("""COMPUTED_VALUE"""),1255.4)</f>
        <v>1255.4</v>
      </c>
      <c r="E220" s="15">
        <f>IFERROR(__xludf.DUMMYFUNCTION("""COMPUTED_VALUE"""),42690.64583333333)</f>
        <v>42690.64583</v>
      </c>
      <c r="F220" s="8">
        <f>IFERROR(__xludf.DUMMYFUNCTION("""COMPUTED_VALUE"""),622.17)</f>
        <v>622.17</v>
      </c>
      <c r="H220" s="4">
        <f t="shared" si="1"/>
        <v>633.23</v>
      </c>
      <c r="I220" s="16">
        <f t="shared" si="2"/>
        <v>654.498</v>
      </c>
      <c r="J220" s="16">
        <f t="shared" si="3"/>
        <v>50.30515401</v>
      </c>
      <c r="K220" s="16">
        <f t="shared" si="4"/>
        <v>704.803154</v>
      </c>
      <c r="L220" s="16">
        <f t="shared" si="5"/>
        <v>604.192846</v>
      </c>
      <c r="N220" s="17" t="str">
        <f t="shared" si="6"/>
        <v>F</v>
      </c>
      <c r="O220" s="17" t="str">
        <f t="shared" si="7"/>
        <v>F</v>
      </c>
      <c r="P220" s="8">
        <f t="shared" si="8"/>
        <v>1</v>
      </c>
      <c r="R220" s="17" t="str">
        <f t="shared" si="9"/>
        <v>F</v>
      </c>
      <c r="S220" s="3" t="str">
        <f t="shared" si="10"/>
        <v>T</v>
      </c>
      <c r="T220" s="8">
        <f t="shared" si="11"/>
        <v>0</v>
      </c>
      <c r="V220" s="4">
        <f t="shared" si="12"/>
        <v>1</v>
      </c>
      <c r="W220" s="8">
        <f t="shared" si="13"/>
        <v>34.86</v>
      </c>
      <c r="X220" s="8">
        <f t="shared" si="14"/>
        <v>34.86</v>
      </c>
      <c r="Y220" s="8">
        <f t="shared" si="15"/>
        <v>-131.76</v>
      </c>
    </row>
    <row r="221">
      <c r="A221" s="2">
        <v>214.0</v>
      </c>
      <c r="B221" s="15">
        <f>IFERROR(__xludf.DUMMYFUNCTION("""COMPUTED_VALUE"""),42691.64583333333)</f>
        <v>42691.64583</v>
      </c>
      <c r="C221" s="8">
        <f>IFERROR(__xludf.DUMMYFUNCTION("""COMPUTED_VALUE"""),1250.2)</f>
        <v>1250.2</v>
      </c>
      <c r="E221" s="15">
        <f>IFERROR(__xludf.DUMMYFUNCTION("""COMPUTED_VALUE"""),42691.64583333333)</f>
        <v>42691.64583</v>
      </c>
      <c r="F221" s="8">
        <f>IFERROR(__xludf.DUMMYFUNCTION("""COMPUTED_VALUE"""),615.1)</f>
        <v>615.1</v>
      </c>
      <c r="H221" s="4">
        <f t="shared" si="1"/>
        <v>635.1</v>
      </c>
      <c r="I221" s="16">
        <f t="shared" si="2"/>
        <v>636.484</v>
      </c>
      <c r="J221" s="16">
        <f t="shared" si="3"/>
        <v>31.15150045</v>
      </c>
      <c r="K221" s="16">
        <f t="shared" si="4"/>
        <v>667.6355004</v>
      </c>
      <c r="L221" s="16">
        <f t="shared" si="5"/>
        <v>605.3324996</v>
      </c>
      <c r="N221" s="17" t="str">
        <f t="shared" si="6"/>
        <v>F</v>
      </c>
      <c r="O221" s="17" t="str">
        <f t="shared" si="7"/>
        <v>F</v>
      </c>
      <c r="P221" s="8">
        <f t="shared" si="8"/>
        <v>1</v>
      </c>
      <c r="R221" s="17" t="str">
        <f t="shared" si="9"/>
        <v>F</v>
      </c>
      <c r="S221" s="3" t="str">
        <f t="shared" si="10"/>
        <v>T</v>
      </c>
      <c r="T221" s="8">
        <f t="shared" si="11"/>
        <v>0</v>
      </c>
      <c r="V221" s="4">
        <f t="shared" si="12"/>
        <v>1</v>
      </c>
      <c r="W221" s="8">
        <f t="shared" si="13"/>
        <v>1.87</v>
      </c>
      <c r="X221" s="8">
        <f t="shared" si="14"/>
        <v>1.87</v>
      </c>
      <c r="Y221" s="8">
        <f t="shared" si="15"/>
        <v>-129.89</v>
      </c>
    </row>
    <row r="222">
      <c r="A222" s="2">
        <v>215.0</v>
      </c>
      <c r="B222" s="15">
        <f>IFERROR(__xludf.DUMMYFUNCTION("""COMPUTED_VALUE"""),42692.64583333333)</f>
        <v>42692.64583</v>
      </c>
      <c r="C222" s="8">
        <f>IFERROR(__xludf.DUMMYFUNCTION("""COMPUTED_VALUE"""),1249.8)</f>
        <v>1249.8</v>
      </c>
      <c r="E222" s="15">
        <f>IFERROR(__xludf.DUMMYFUNCTION("""COMPUTED_VALUE"""),42692.64583333333)</f>
        <v>42692.64583</v>
      </c>
      <c r="F222" s="8">
        <f>IFERROR(__xludf.DUMMYFUNCTION("""COMPUTED_VALUE"""),605.7)</f>
        <v>605.7</v>
      </c>
      <c r="H222" s="4">
        <f t="shared" si="1"/>
        <v>644.1</v>
      </c>
      <c r="I222" s="16">
        <f t="shared" si="2"/>
        <v>628.25</v>
      </c>
      <c r="J222" s="16">
        <f t="shared" si="3"/>
        <v>17.46854173</v>
      </c>
      <c r="K222" s="16">
        <f t="shared" si="4"/>
        <v>645.7185417</v>
      </c>
      <c r="L222" s="16">
        <f t="shared" si="5"/>
        <v>610.7814583</v>
      </c>
      <c r="N222" s="17" t="str">
        <f t="shared" si="6"/>
        <v>F</v>
      </c>
      <c r="O222" s="17" t="str">
        <f t="shared" si="7"/>
        <v>T</v>
      </c>
      <c r="P222" s="8">
        <f t="shared" si="8"/>
        <v>0</v>
      </c>
      <c r="R222" s="17" t="str">
        <f t="shared" si="9"/>
        <v>F</v>
      </c>
      <c r="S222" s="3" t="str">
        <f t="shared" si="10"/>
        <v>F</v>
      </c>
      <c r="T222" s="8">
        <f t="shared" si="11"/>
        <v>0</v>
      </c>
      <c r="V222" s="4">
        <f t="shared" si="12"/>
        <v>0</v>
      </c>
      <c r="W222" s="8">
        <f t="shared" si="13"/>
        <v>9</v>
      </c>
      <c r="X222" s="8">
        <f t="shared" si="14"/>
        <v>9</v>
      </c>
      <c r="Y222" s="8">
        <f t="shared" si="15"/>
        <v>-120.89</v>
      </c>
    </row>
    <row r="223">
      <c r="A223" s="2">
        <v>216.0</v>
      </c>
      <c r="B223" s="15">
        <f>IFERROR(__xludf.DUMMYFUNCTION("""COMPUTED_VALUE"""),42695.64583333333)</f>
        <v>42695.64583</v>
      </c>
      <c r="C223" s="8">
        <f>IFERROR(__xludf.DUMMYFUNCTION("""COMPUTED_VALUE"""),1221.95)</f>
        <v>1221.95</v>
      </c>
      <c r="E223" s="15">
        <f>IFERROR(__xludf.DUMMYFUNCTION("""COMPUTED_VALUE"""),42695.64583333333)</f>
        <v>42695.64583</v>
      </c>
      <c r="F223" s="8">
        <f>IFERROR(__xludf.DUMMYFUNCTION("""COMPUTED_VALUE"""),599.35)</f>
        <v>599.35</v>
      </c>
      <c r="H223" s="4">
        <f t="shared" si="1"/>
        <v>622.6</v>
      </c>
      <c r="I223" s="16">
        <f t="shared" si="2"/>
        <v>626.68</v>
      </c>
      <c r="J223" s="16">
        <f t="shared" si="3"/>
        <v>17.57382855</v>
      </c>
      <c r="K223" s="16">
        <f t="shared" si="4"/>
        <v>644.2538286</v>
      </c>
      <c r="L223" s="16">
        <f t="shared" si="5"/>
        <v>609.1061714</v>
      </c>
      <c r="N223" s="17" t="str">
        <f t="shared" si="6"/>
        <v>F</v>
      </c>
      <c r="O223" s="17" t="str">
        <f t="shared" si="7"/>
        <v>F</v>
      </c>
      <c r="P223" s="8">
        <f t="shared" si="8"/>
        <v>0</v>
      </c>
      <c r="R223" s="17" t="str">
        <f t="shared" si="9"/>
        <v>F</v>
      </c>
      <c r="S223" s="3" t="str">
        <f t="shared" si="10"/>
        <v>T</v>
      </c>
      <c r="T223" s="8">
        <f t="shared" si="11"/>
        <v>0</v>
      </c>
      <c r="V223" s="4">
        <f t="shared" si="12"/>
        <v>0</v>
      </c>
      <c r="W223" s="8">
        <f t="shared" si="13"/>
        <v>-21.5</v>
      </c>
      <c r="X223" s="8">
        <f t="shared" si="14"/>
        <v>0</v>
      </c>
      <c r="Y223" s="8">
        <f t="shared" si="15"/>
        <v>-120.89</v>
      </c>
    </row>
    <row r="224">
      <c r="A224" s="2">
        <v>217.0</v>
      </c>
      <c r="B224" s="15">
        <f>IFERROR(__xludf.DUMMYFUNCTION("""COMPUTED_VALUE"""),42696.64583333333)</f>
        <v>42696.64583</v>
      </c>
      <c r="C224" s="8">
        <f>IFERROR(__xludf.DUMMYFUNCTION("""COMPUTED_VALUE"""),1249.7)</f>
        <v>1249.7</v>
      </c>
      <c r="E224" s="15">
        <f>IFERROR(__xludf.DUMMYFUNCTION("""COMPUTED_VALUE"""),42696.64583333333)</f>
        <v>42696.64583</v>
      </c>
      <c r="F224" s="8">
        <f>IFERROR(__xludf.DUMMYFUNCTION("""COMPUTED_VALUE"""),599.03)</f>
        <v>599.03</v>
      </c>
      <c r="H224" s="4">
        <f t="shared" si="1"/>
        <v>650.67</v>
      </c>
      <c r="I224" s="16">
        <f t="shared" si="2"/>
        <v>637.14</v>
      </c>
      <c r="J224" s="16">
        <f t="shared" si="3"/>
        <v>10.75132317</v>
      </c>
      <c r="K224" s="16">
        <f t="shared" si="4"/>
        <v>647.8913232</v>
      </c>
      <c r="L224" s="16">
        <f t="shared" si="5"/>
        <v>626.3886768</v>
      </c>
      <c r="N224" s="17" t="str">
        <f t="shared" si="6"/>
        <v>F</v>
      </c>
      <c r="O224" s="17" t="str">
        <f t="shared" si="7"/>
        <v>T</v>
      </c>
      <c r="P224" s="8">
        <f t="shared" si="8"/>
        <v>0</v>
      </c>
      <c r="R224" s="17" t="str">
        <f t="shared" si="9"/>
        <v>T</v>
      </c>
      <c r="S224" s="3" t="str">
        <f t="shared" si="10"/>
        <v>F</v>
      </c>
      <c r="T224" s="8">
        <f t="shared" si="11"/>
        <v>-1</v>
      </c>
      <c r="V224" s="4">
        <f t="shared" si="12"/>
        <v>-1</v>
      </c>
      <c r="W224" s="8">
        <f t="shared" si="13"/>
        <v>28.07</v>
      </c>
      <c r="X224" s="8">
        <f t="shared" si="14"/>
        <v>0</v>
      </c>
      <c r="Y224" s="8">
        <f t="shared" si="15"/>
        <v>-120.89</v>
      </c>
    </row>
    <row r="225">
      <c r="A225" s="2">
        <v>218.0</v>
      </c>
      <c r="B225" s="15">
        <f>IFERROR(__xludf.DUMMYFUNCTION("""COMPUTED_VALUE"""),42697.64583333333)</f>
        <v>42697.64583</v>
      </c>
      <c r="C225" s="8">
        <f>IFERROR(__xludf.DUMMYFUNCTION("""COMPUTED_VALUE"""),1226.9)</f>
        <v>1226.9</v>
      </c>
      <c r="E225" s="15">
        <f>IFERROR(__xludf.DUMMYFUNCTION("""COMPUTED_VALUE"""),42697.64583333333)</f>
        <v>42697.64583</v>
      </c>
      <c r="F225" s="8">
        <f>IFERROR(__xludf.DUMMYFUNCTION("""COMPUTED_VALUE"""),592.38)</f>
        <v>592.38</v>
      </c>
      <c r="H225" s="4">
        <f t="shared" si="1"/>
        <v>634.52</v>
      </c>
      <c r="I225" s="16">
        <f t="shared" si="2"/>
        <v>637.398</v>
      </c>
      <c r="J225" s="16">
        <f t="shared" si="3"/>
        <v>10.64902906</v>
      </c>
      <c r="K225" s="16">
        <f t="shared" si="4"/>
        <v>648.0470291</v>
      </c>
      <c r="L225" s="16">
        <f t="shared" si="5"/>
        <v>626.7489709</v>
      </c>
      <c r="N225" s="17" t="str">
        <f t="shared" si="6"/>
        <v>F</v>
      </c>
      <c r="O225" s="17" t="str">
        <f t="shared" si="7"/>
        <v>F</v>
      </c>
      <c r="P225" s="8">
        <f t="shared" si="8"/>
        <v>0</v>
      </c>
      <c r="R225" s="17" t="str">
        <f t="shared" si="9"/>
        <v>F</v>
      </c>
      <c r="S225" s="3" t="str">
        <f t="shared" si="10"/>
        <v>T</v>
      </c>
      <c r="T225" s="8">
        <f t="shared" si="11"/>
        <v>0</v>
      </c>
      <c r="V225" s="4">
        <f t="shared" si="12"/>
        <v>0</v>
      </c>
      <c r="W225" s="8">
        <f t="shared" si="13"/>
        <v>-16.15</v>
      </c>
      <c r="X225" s="8">
        <f t="shared" si="14"/>
        <v>16.15</v>
      </c>
      <c r="Y225" s="8">
        <f t="shared" si="15"/>
        <v>-104.74</v>
      </c>
    </row>
    <row r="226">
      <c r="A226" s="2">
        <v>219.0</v>
      </c>
      <c r="B226" s="15">
        <f>IFERROR(__xludf.DUMMYFUNCTION("""COMPUTED_VALUE"""),42698.64583333333)</f>
        <v>42698.64583</v>
      </c>
      <c r="C226" s="8">
        <f>IFERROR(__xludf.DUMMYFUNCTION("""COMPUTED_VALUE"""),1217.65)</f>
        <v>1217.65</v>
      </c>
      <c r="E226" s="15">
        <f>IFERROR(__xludf.DUMMYFUNCTION("""COMPUTED_VALUE"""),42698.64583333333)</f>
        <v>42698.64583</v>
      </c>
      <c r="F226" s="8">
        <f>IFERROR(__xludf.DUMMYFUNCTION("""COMPUTED_VALUE"""),582.75)</f>
        <v>582.75</v>
      </c>
      <c r="H226" s="4">
        <f t="shared" si="1"/>
        <v>634.9</v>
      </c>
      <c r="I226" s="16">
        <f t="shared" si="2"/>
        <v>637.358</v>
      </c>
      <c r="J226" s="16">
        <f t="shared" si="3"/>
        <v>10.66018855</v>
      </c>
      <c r="K226" s="16">
        <f t="shared" si="4"/>
        <v>648.0181886</v>
      </c>
      <c r="L226" s="16">
        <f t="shared" si="5"/>
        <v>626.6978114</v>
      </c>
      <c r="N226" s="17" t="str">
        <f t="shared" si="6"/>
        <v>F</v>
      </c>
      <c r="O226" s="17" t="str">
        <f t="shared" si="7"/>
        <v>F</v>
      </c>
      <c r="P226" s="8">
        <f t="shared" si="8"/>
        <v>0</v>
      </c>
      <c r="R226" s="17" t="str">
        <f t="shared" si="9"/>
        <v>F</v>
      </c>
      <c r="S226" s="3" t="str">
        <f t="shared" si="10"/>
        <v>T</v>
      </c>
      <c r="T226" s="8">
        <f t="shared" si="11"/>
        <v>0</v>
      </c>
      <c r="V226" s="4">
        <f t="shared" si="12"/>
        <v>0</v>
      </c>
      <c r="W226" s="8">
        <f t="shared" si="13"/>
        <v>0.38</v>
      </c>
      <c r="X226" s="8">
        <f t="shared" si="14"/>
        <v>0</v>
      </c>
      <c r="Y226" s="8">
        <f t="shared" si="15"/>
        <v>-104.74</v>
      </c>
    </row>
    <row r="227">
      <c r="A227" s="2">
        <v>220.0</v>
      </c>
      <c r="B227" s="15">
        <f>IFERROR(__xludf.DUMMYFUNCTION("""COMPUTED_VALUE"""),42699.64583333333)</f>
        <v>42699.64583</v>
      </c>
      <c r="C227" s="8">
        <f>IFERROR(__xludf.DUMMYFUNCTION("""COMPUTED_VALUE"""),1244.05)</f>
        <v>1244.05</v>
      </c>
      <c r="E227" s="15">
        <f>IFERROR(__xludf.DUMMYFUNCTION("""COMPUTED_VALUE"""),42699.64583333333)</f>
        <v>42699.64583</v>
      </c>
      <c r="F227" s="8">
        <f>IFERROR(__xludf.DUMMYFUNCTION("""COMPUTED_VALUE"""),594.65)</f>
        <v>594.65</v>
      </c>
      <c r="H227" s="4">
        <f t="shared" si="1"/>
        <v>649.4</v>
      </c>
      <c r="I227" s="16">
        <f t="shared" si="2"/>
        <v>638.418</v>
      </c>
      <c r="J227" s="16">
        <f t="shared" si="3"/>
        <v>11.70999231</v>
      </c>
      <c r="K227" s="16">
        <f t="shared" si="4"/>
        <v>650.1279923</v>
      </c>
      <c r="L227" s="16">
        <f t="shared" si="5"/>
        <v>626.7080077</v>
      </c>
      <c r="N227" s="17" t="str">
        <f t="shared" si="6"/>
        <v>F</v>
      </c>
      <c r="O227" s="17" t="str">
        <f t="shared" si="7"/>
        <v>T</v>
      </c>
      <c r="P227" s="8">
        <f t="shared" si="8"/>
        <v>0</v>
      </c>
      <c r="R227" s="17" t="str">
        <f t="shared" si="9"/>
        <v>F</v>
      </c>
      <c r="S227" s="3" t="str">
        <f t="shared" si="10"/>
        <v>F</v>
      </c>
      <c r="T227" s="8">
        <f t="shared" si="11"/>
        <v>0</v>
      </c>
      <c r="V227" s="4">
        <f t="shared" si="12"/>
        <v>0</v>
      </c>
      <c r="W227" s="8">
        <f t="shared" si="13"/>
        <v>14.5</v>
      </c>
      <c r="X227" s="8">
        <f t="shared" si="14"/>
        <v>0</v>
      </c>
      <c r="Y227" s="8">
        <f t="shared" si="15"/>
        <v>-104.74</v>
      </c>
    </row>
    <row r="228">
      <c r="A228" s="2">
        <v>221.0</v>
      </c>
      <c r="B228" s="15">
        <f>IFERROR(__xludf.DUMMYFUNCTION("""COMPUTED_VALUE"""),42702.64583333333)</f>
        <v>42702.64583</v>
      </c>
      <c r="C228" s="8">
        <f>IFERROR(__xludf.DUMMYFUNCTION("""COMPUTED_VALUE"""),1246.7)</f>
        <v>1246.7</v>
      </c>
      <c r="E228" s="15">
        <f>IFERROR(__xludf.DUMMYFUNCTION("""COMPUTED_VALUE"""),42702.64583333333)</f>
        <v>42702.64583</v>
      </c>
      <c r="F228" s="8">
        <f>IFERROR(__xludf.DUMMYFUNCTION("""COMPUTED_VALUE"""),592.23)</f>
        <v>592.23</v>
      </c>
      <c r="H228" s="4">
        <f t="shared" si="1"/>
        <v>654.47</v>
      </c>
      <c r="I228" s="16">
        <f t="shared" si="2"/>
        <v>644.792</v>
      </c>
      <c r="J228" s="16">
        <f t="shared" si="3"/>
        <v>9.391670245</v>
      </c>
      <c r="K228" s="16">
        <f t="shared" si="4"/>
        <v>654.1836702</v>
      </c>
      <c r="L228" s="16">
        <f t="shared" si="5"/>
        <v>635.4003298</v>
      </c>
      <c r="N228" s="17" t="str">
        <f t="shared" si="6"/>
        <v>F</v>
      </c>
      <c r="O228" s="17" t="str">
        <f t="shared" si="7"/>
        <v>T</v>
      </c>
      <c r="P228" s="8">
        <f t="shared" si="8"/>
        <v>0</v>
      </c>
      <c r="R228" s="17" t="str">
        <f t="shared" si="9"/>
        <v>T</v>
      </c>
      <c r="S228" s="3" t="str">
        <f t="shared" si="10"/>
        <v>F</v>
      </c>
      <c r="T228" s="8">
        <f t="shared" si="11"/>
        <v>-1</v>
      </c>
      <c r="V228" s="4">
        <f t="shared" si="12"/>
        <v>-1</v>
      </c>
      <c r="W228" s="8">
        <f t="shared" si="13"/>
        <v>5.07</v>
      </c>
      <c r="X228" s="8">
        <f t="shared" si="14"/>
        <v>0</v>
      </c>
      <c r="Y228" s="8">
        <f t="shared" si="15"/>
        <v>-104.74</v>
      </c>
    </row>
    <row r="229">
      <c r="A229" s="2">
        <v>222.0</v>
      </c>
      <c r="B229" s="15">
        <f>IFERROR(__xludf.DUMMYFUNCTION("""COMPUTED_VALUE"""),42703.64583333333)</f>
        <v>42703.64583</v>
      </c>
      <c r="C229" s="8">
        <f>IFERROR(__xludf.DUMMYFUNCTION("""COMPUTED_VALUE"""),1255.8)</f>
        <v>1255.8</v>
      </c>
      <c r="E229" s="15">
        <f>IFERROR(__xludf.DUMMYFUNCTION("""COMPUTED_VALUE"""),42703.64583333333)</f>
        <v>42703.64583</v>
      </c>
      <c r="F229" s="8">
        <f>IFERROR(__xludf.DUMMYFUNCTION("""COMPUTED_VALUE"""),589.38)</f>
        <v>589.38</v>
      </c>
      <c r="H229" s="4">
        <f t="shared" si="1"/>
        <v>666.42</v>
      </c>
      <c r="I229" s="16">
        <f t="shared" si="2"/>
        <v>647.942</v>
      </c>
      <c r="J229" s="16">
        <f t="shared" si="3"/>
        <v>13.56853787</v>
      </c>
      <c r="K229" s="16">
        <f t="shared" si="4"/>
        <v>661.5105379</v>
      </c>
      <c r="L229" s="16">
        <f t="shared" si="5"/>
        <v>634.3734621</v>
      </c>
      <c r="N229" s="17" t="str">
        <f t="shared" si="6"/>
        <v>F</v>
      </c>
      <c r="O229" s="17" t="str">
        <f t="shared" si="7"/>
        <v>T</v>
      </c>
      <c r="P229" s="8">
        <f t="shared" si="8"/>
        <v>0</v>
      </c>
      <c r="R229" s="17" t="str">
        <f t="shared" si="9"/>
        <v>T</v>
      </c>
      <c r="S229" s="3" t="str">
        <f t="shared" si="10"/>
        <v>F</v>
      </c>
      <c r="T229" s="8">
        <f t="shared" si="11"/>
        <v>-1</v>
      </c>
      <c r="V229" s="4">
        <f t="shared" si="12"/>
        <v>-1</v>
      </c>
      <c r="W229" s="8">
        <f t="shared" si="13"/>
        <v>11.95</v>
      </c>
      <c r="X229" s="8">
        <f t="shared" si="14"/>
        <v>-11.95</v>
      </c>
      <c r="Y229" s="8">
        <f t="shared" si="15"/>
        <v>-116.69</v>
      </c>
    </row>
    <row r="230">
      <c r="A230" s="2">
        <v>223.0</v>
      </c>
      <c r="B230" s="15">
        <f>IFERROR(__xludf.DUMMYFUNCTION("""COMPUTED_VALUE"""),42704.64583333333)</f>
        <v>42704.64583</v>
      </c>
      <c r="C230" s="8">
        <f>IFERROR(__xludf.DUMMYFUNCTION("""COMPUTED_VALUE"""),1263.1)</f>
        <v>1263.1</v>
      </c>
      <c r="E230" s="15">
        <f>IFERROR(__xludf.DUMMYFUNCTION("""COMPUTED_VALUE"""),42704.64583333333)</f>
        <v>42704.64583</v>
      </c>
      <c r="F230" s="8">
        <f>IFERROR(__xludf.DUMMYFUNCTION("""COMPUTED_VALUE"""),599.8)</f>
        <v>599.8</v>
      </c>
      <c r="H230" s="4">
        <f t="shared" si="1"/>
        <v>663.3</v>
      </c>
      <c r="I230" s="16">
        <f t="shared" si="2"/>
        <v>653.698</v>
      </c>
      <c r="J230" s="16">
        <f t="shared" si="3"/>
        <v>12.51480403</v>
      </c>
      <c r="K230" s="16">
        <f t="shared" si="4"/>
        <v>666.212804</v>
      </c>
      <c r="L230" s="16">
        <f t="shared" si="5"/>
        <v>641.183196</v>
      </c>
      <c r="N230" s="17" t="str">
        <f t="shared" si="6"/>
        <v>F</v>
      </c>
      <c r="O230" s="17" t="str">
        <f t="shared" si="7"/>
        <v>T</v>
      </c>
      <c r="P230" s="8">
        <f t="shared" si="8"/>
        <v>0</v>
      </c>
      <c r="R230" s="17" t="str">
        <f t="shared" si="9"/>
        <v>F</v>
      </c>
      <c r="S230" s="3" t="str">
        <f t="shared" si="10"/>
        <v>F</v>
      </c>
      <c r="T230" s="8">
        <f t="shared" si="11"/>
        <v>-1</v>
      </c>
      <c r="V230" s="4">
        <f t="shared" si="12"/>
        <v>-1</v>
      </c>
      <c r="W230" s="8">
        <f t="shared" si="13"/>
        <v>-3.12</v>
      </c>
      <c r="X230" s="8">
        <f t="shared" si="14"/>
        <v>3.12</v>
      </c>
      <c r="Y230" s="8">
        <f t="shared" si="15"/>
        <v>-113.57</v>
      </c>
    </row>
    <row r="231">
      <c r="A231" s="2">
        <v>224.0</v>
      </c>
      <c r="B231" s="15">
        <f>IFERROR(__xludf.DUMMYFUNCTION("""COMPUTED_VALUE"""),42705.64583333333)</f>
        <v>42705.64583</v>
      </c>
      <c r="C231" s="8">
        <f>IFERROR(__xludf.DUMMYFUNCTION("""COMPUTED_VALUE"""),1270.0)</f>
        <v>1270</v>
      </c>
      <c r="E231" s="15">
        <f>IFERROR(__xludf.DUMMYFUNCTION("""COMPUTED_VALUE"""),42705.64583333333)</f>
        <v>42705.64583</v>
      </c>
      <c r="F231" s="8">
        <f>IFERROR(__xludf.DUMMYFUNCTION("""COMPUTED_VALUE"""),598.63)</f>
        <v>598.63</v>
      </c>
      <c r="H231" s="4">
        <f t="shared" si="1"/>
        <v>671.37</v>
      </c>
      <c r="I231" s="16">
        <f t="shared" si="2"/>
        <v>660.992</v>
      </c>
      <c r="J231" s="16">
        <f t="shared" si="3"/>
        <v>8.935936996</v>
      </c>
      <c r="K231" s="16">
        <f t="shared" si="4"/>
        <v>669.927937</v>
      </c>
      <c r="L231" s="16">
        <f t="shared" si="5"/>
        <v>652.056063</v>
      </c>
      <c r="N231" s="17" t="str">
        <f t="shared" si="6"/>
        <v>F</v>
      </c>
      <c r="O231" s="17" t="str">
        <f t="shared" si="7"/>
        <v>T</v>
      </c>
      <c r="P231" s="8">
        <f t="shared" si="8"/>
        <v>0</v>
      </c>
      <c r="R231" s="17" t="str">
        <f t="shared" si="9"/>
        <v>T</v>
      </c>
      <c r="S231" s="3" t="str">
        <f t="shared" si="10"/>
        <v>F</v>
      </c>
      <c r="T231" s="8">
        <f t="shared" si="11"/>
        <v>-1</v>
      </c>
      <c r="V231" s="4">
        <f t="shared" si="12"/>
        <v>-1</v>
      </c>
      <c r="W231" s="8">
        <f t="shared" si="13"/>
        <v>8.07</v>
      </c>
      <c r="X231" s="8">
        <f t="shared" si="14"/>
        <v>-8.07</v>
      </c>
      <c r="Y231" s="8">
        <f t="shared" si="15"/>
        <v>-121.64</v>
      </c>
    </row>
    <row r="232">
      <c r="A232" s="2">
        <v>225.0</v>
      </c>
      <c r="B232" s="15">
        <f>IFERROR(__xludf.DUMMYFUNCTION("""COMPUTED_VALUE"""),42706.64583333333)</f>
        <v>42706.64583</v>
      </c>
      <c r="C232" s="8">
        <f>IFERROR(__xludf.DUMMYFUNCTION("""COMPUTED_VALUE"""),1236.8)</f>
        <v>1236.8</v>
      </c>
      <c r="E232" s="15">
        <f>IFERROR(__xludf.DUMMYFUNCTION("""COMPUTED_VALUE"""),42706.64583333333)</f>
        <v>42706.64583</v>
      </c>
      <c r="F232" s="8">
        <f>IFERROR(__xludf.DUMMYFUNCTION("""COMPUTED_VALUE"""),594.55)</f>
        <v>594.55</v>
      </c>
      <c r="H232" s="4">
        <f t="shared" si="1"/>
        <v>642.25</v>
      </c>
      <c r="I232" s="16">
        <f t="shared" si="2"/>
        <v>659.562</v>
      </c>
      <c r="J232" s="16">
        <f t="shared" si="3"/>
        <v>11.46808048</v>
      </c>
      <c r="K232" s="16">
        <f t="shared" si="4"/>
        <v>671.0300805</v>
      </c>
      <c r="L232" s="16">
        <f t="shared" si="5"/>
        <v>648.0939195</v>
      </c>
      <c r="N232" s="17" t="str">
        <f t="shared" si="6"/>
        <v>T</v>
      </c>
      <c r="O232" s="17" t="str">
        <f t="shared" si="7"/>
        <v>F</v>
      </c>
      <c r="P232" s="8">
        <f t="shared" si="8"/>
        <v>1</v>
      </c>
      <c r="R232" s="17" t="str">
        <f t="shared" si="9"/>
        <v>F</v>
      </c>
      <c r="S232" s="3" t="str">
        <f t="shared" si="10"/>
        <v>T</v>
      </c>
      <c r="T232" s="8">
        <f t="shared" si="11"/>
        <v>0</v>
      </c>
      <c r="V232" s="4">
        <f t="shared" si="12"/>
        <v>1</v>
      </c>
      <c r="W232" s="8">
        <f t="shared" si="13"/>
        <v>-29.12</v>
      </c>
      <c r="X232" s="8">
        <f t="shared" si="14"/>
        <v>29.12</v>
      </c>
      <c r="Y232" s="8">
        <f t="shared" si="15"/>
        <v>-92.52</v>
      </c>
    </row>
    <row r="233">
      <c r="A233" s="2">
        <v>226.0</v>
      </c>
      <c r="B233" s="15">
        <f>IFERROR(__xludf.DUMMYFUNCTION("""COMPUTED_VALUE"""),42709.64583333333)</f>
        <v>42709.64583</v>
      </c>
      <c r="C233" s="8">
        <f>IFERROR(__xludf.DUMMYFUNCTION("""COMPUTED_VALUE"""),1215.55)</f>
        <v>1215.55</v>
      </c>
      <c r="E233" s="15">
        <f>IFERROR(__xludf.DUMMYFUNCTION("""COMPUTED_VALUE"""),42709.64583333333)</f>
        <v>42709.64583</v>
      </c>
      <c r="F233" s="8">
        <f>IFERROR(__xludf.DUMMYFUNCTION("""COMPUTED_VALUE"""),598.17)</f>
        <v>598.17</v>
      </c>
      <c r="H233" s="4">
        <f t="shared" si="1"/>
        <v>617.38</v>
      </c>
      <c r="I233" s="16">
        <f t="shared" si="2"/>
        <v>652.144</v>
      </c>
      <c r="J233" s="16">
        <f t="shared" si="3"/>
        <v>22.38485269</v>
      </c>
      <c r="K233" s="16">
        <f t="shared" si="4"/>
        <v>674.5288527</v>
      </c>
      <c r="L233" s="16">
        <f t="shared" si="5"/>
        <v>629.7591473</v>
      </c>
      <c r="N233" s="17" t="str">
        <f t="shared" si="6"/>
        <v>T</v>
      </c>
      <c r="O233" s="17" t="str">
        <f t="shared" si="7"/>
        <v>F</v>
      </c>
      <c r="P233" s="8">
        <f t="shared" si="8"/>
        <v>1</v>
      </c>
      <c r="R233" s="17" t="str">
        <f t="shared" si="9"/>
        <v>F</v>
      </c>
      <c r="S233" s="3" t="str">
        <f t="shared" si="10"/>
        <v>T</v>
      </c>
      <c r="T233" s="8">
        <f t="shared" si="11"/>
        <v>0</v>
      </c>
      <c r="V233" s="4">
        <f t="shared" si="12"/>
        <v>1</v>
      </c>
      <c r="W233" s="8">
        <f t="shared" si="13"/>
        <v>-24.87</v>
      </c>
      <c r="X233" s="8">
        <f t="shared" si="14"/>
        <v>-24.87</v>
      </c>
      <c r="Y233" s="8">
        <f t="shared" si="15"/>
        <v>-117.39</v>
      </c>
    </row>
    <row r="234">
      <c r="A234" s="2">
        <v>227.0</v>
      </c>
      <c r="B234" s="15">
        <f>IFERROR(__xludf.DUMMYFUNCTION("""COMPUTED_VALUE"""),42710.64583333333)</f>
        <v>42710.64583</v>
      </c>
      <c r="C234" s="8">
        <f>IFERROR(__xludf.DUMMYFUNCTION("""COMPUTED_VALUE"""),1243.4)</f>
        <v>1243.4</v>
      </c>
      <c r="E234" s="15">
        <f>IFERROR(__xludf.DUMMYFUNCTION("""COMPUTED_VALUE"""),42710.64583333333)</f>
        <v>42710.64583</v>
      </c>
      <c r="F234" s="8">
        <f>IFERROR(__xludf.DUMMYFUNCTION("""COMPUTED_VALUE"""),597.23)</f>
        <v>597.23</v>
      </c>
      <c r="H234" s="4">
        <f t="shared" si="1"/>
        <v>646.17</v>
      </c>
      <c r="I234" s="16">
        <f t="shared" si="2"/>
        <v>648.094</v>
      </c>
      <c r="J234" s="16">
        <f t="shared" si="3"/>
        <v>20.94157659</v>
      </c>
      <c r="K234" s="16">
        <f t="shared" si="4"/>
        <v>669.0355766</v>
      </c>
      <c r="L234" s="16">
        <f t="shared" si="5"/>
        <v>627.1524234</v>
      </c>
      <c r="N234" s="17" t="str">
        <f t="shared" si="6"/>
        <v>F</v>
      </c>
      <c r="O234" s="17" t="str">
        <f t="shared" si="7"/>
        <v>F</v>
      </c>
      <c r="P234" s="8">
        <f t="shared" si="8"/>
        <v>1</v>
      </c>
      <c r="R234" s="17" t="str">
        <f t="shared" si="9"/>
        <v>F</v>
      </c>
      <c r="S234" s="3" t="str">
        <f t="shared" si="10"/>
        <v>T</v>
      </c>
      <c r="T234" s="8">
        <f t="shared" si="11"/>
        <v>0</v>
      </c>
      <c r="V234" s="4">
        <f t="shared" si="12"/>
        <v>1</v>
      </c>
      <c r="W234" s="8">
        <f t="shared" si="13"/>
        <v>28.79</v>
      </c>
      <c r="X234" s="8">
        <f t="shared" si="14"/>
        <v>28.79</v>
      </c>
      <c r="Y234" s="8">
        <f t="shared" si="15"/>
        <v>-88.6</v>
      </c>
    </row>
    <row r="235">
      <c r="A235" s="2">
        <v>228.0</v>
      </c>
      <c r="B235" s="15">
        <f>IFERROR(__xludf.DUMMYFUNCTION("""COMPUTED_VALUE"""),42711.64583333333)</f>
        <v>42711.64583</v>
      </c>
      <c r="C235" s="8">
        <f>IFERROR(__xludf.DUMMYFUNCTION("""COMPUTED_VALUE"""),1264.95)</f>
        <v>1264.95</v>
      </c>
      <c r="E235" s="15">
        <f>IFERROR(__xludf.DUMMYFUNCTION("""COMPUTED_VALUE"""),42711.64583333333)</f>
        <v>42711.64583</v>
      </c>
      <c r="F235" s="8">
        <f>IFERROR(__xludf.DUMMYFUNCTION("""COMPUTED_VALUE"""),590.8)</f>
        <v>590.8</v>
      </c>
      <c r="H235" s="4">
        <f t="shared" si="1"/>
        <v>674.15</v>
      </c>
      <c r="I235" s="16">
        <f t="shared" si="2"/>
        <v>650.264</v>
      </c>
      <c r="J235" s="16">
        <f t="shared" si="3"/>
        <v>23.33638104</v>
      </c>
      <c r="K235" s="16">
        <f t="shared" si="4"/>
        <v>673.600381</v>
      </c>
      <c r="L235" s="16">
        <f t="shared" si="5"/>
        <v>626.927619</v>
      </c>
      <c r="N235" s="17" t="str">
        <f t="shared" si="6"/>
        <v>F</v>
      </c>
      <c r="O235" s="17" t="str">
        <f t="shared" si="7"/>
        <v>T</v>
      </c>
      <c r="P235" s="8">
        <f t="shared" si="8"/>
        <v>0</v>
      </c>
      <c r="R235" s="17" t="str">
        <f t="shared" si="9"/>
        <v>T</v>
      </c>
      <c r="S235" s="3" t="str">
        <f t="shared" si="10"/>
        <v>F</v>
      </c>
      <c r="T235" s="8">
        <f t="shared" si="11"/>
        <v>-1</v>
      </c>
      <c r="V235" s="4">
        <f t="shared" si="12"/>
        <v>-1</v>
      </c>
      <c r="W235" s="8">
        <f t="shared" si="13"/>
        <v>27.98</v>
      </c>
      <c r="X235" s="8">
        <f t="shared" si="14"/>
        <v>27.98</v>
      </c>
      <c r="Y235" s="8">
        <f t="shared" si="15"/>
        <v>-60.62</v>
      </c>
    </row>
    <row r="236">
      <c r="A236" s="2">
        <v>229.0</v>
      </c>
      <c r="B236" s="15">
        <f>IFERROR(__xludf.DUMMYFUNCTION("""COMPUTED_VALUE"""),42712.64583333333)</f>
        <v>42712.64583</v>
      </c>
      <c r="C236" s="8">
        <f>IFERROR(__xludf.DUMMYFUNCTION("""COMPUTED_VALUE"""),1289.85)</f>
        <v>1289.85</v>
      </c>
      <c r="E236" s="15">
        <f>IFERROR(__xludf.DUMMYFUNCTION("""COMPUTED_VALUE"""),42712.64583333333)</f>
        <v>42712.64583</v>
      </c>
      <c r="F236" s="8">
        <f>IFERROR(__xludf.DUMMYFUNCTION("""COMPUTED_VALUE"""),599.75)</f>
        <v>599.75</v>
      </c>
      <c r="H236" s="4">
        <f t="shared" si="1"/>
        <v>690.1</v>
      </c>
      <c r="I236" s="16">
        <f t="shared" si="2"/>
        <v>654.01</v>
      </c>
      <c r="J236" s="16">
        <f t="shared" si="3"/>
        <v>28.50275338</v>
      </c>
      <c r="K236" s="16">
        <f t="shared" si="4"/>
        <v>682.5127534</v>
      </c>
      <c r="L236" s="16">
        <f t="shared" si="5"/>
        <v>625.5072466</v>
      </c>
      <c r="N236" s="17" t="str">
        <f t="shared" si="6"/>
        <v>F</v>
      </c>
      <c r="O236" s="17" t="str">
        <f t="shared" si="7"/>
        <v>T</v>
      </c>
      <c r="P236" s="8">
        <f t="shared" si="8"/>
        <v>0</v>
      </c>
      <c r="R236" s="17" t="str">
        <f t="shared" si="9"/>
        <v>T</v>
      </c>
      <c r="S236" s="3" t="str">
        <f t="shared" si="10"/>
        <v>F</v>
      </c>
      <c r="T236" s="8">
        <f t="shared" si="11"/>
        <v>-1</v>
      </c>
      <c r="V236" s="4">
        <f t="shared" si="12"/>
        <v>-1</v>
      </c>
      <c r="W236" s="8">
        <f t="shared" si="13"/>
        <v>15.95</v>
      </c>
      <c r="X236" s="8">
        <f t="shared" si="14"/>
        <v>-15.95</v>
      </c>
      <c r="Y236" s="8">
        <f t="shared" si="15"/>
        <v>-76.57</v>
      </c>
    </row>
    <row r="237">
      <c r="A237" s="2">
        <v>230.0</v>
      </c>
      <c r="B237" s="15">
        <f>IFERROR(__xludf.DUMMYFUNCTION("""COMPUTED_VALUE"""),42713.64583333333)</f>
        <v>42713.64583</v>
      </c>
      <c r="C237" s="8">
        <f>IFERROR(__xludf.DUMMYFUNCTION("""COMPUTED_VALUE"""),1268.25)</f>
        <v>1268.25</v>
      </c>
      <c r="E237" s="15">
        <f>IFERROR(__xludf.DUMMYFUNCTION("""COMPUTED_VALUE"""),42713.64583333333)</f>
        <v>42713.64583</v>
      </c>
      <c r="F237" s="8">
        <f>IFERROR(__xludf.DUMMYFUNCTION("""COMPUTED_VALUE"""),599.15)</f>
        <v>599.15</v>
      </c>
      <c r="H237" s="4">
        <f t="shared" si="1"/>
        <v>669.1</v>
      </c>
      <c r="I237" s="16">
        <f t="shared" si="2"/>
        <v>659.38</v>
      </c>
      <c r="J237" s="16">
        <f t="shared" si="3"/>
        <v>28.26151889</v>
      </c>
      <c r="K237" s="16">
        <f t="shared" si="4"/>
        <v>687.6415189</v>
      </c>
      <c r="L237" s="16">
        <f t="shared" si="5"/>
        <v>631.1184811</v>
      </c>
      <c r="N237" s="17" t="str">
        <f t="shared" si="6"/>
        <v>F</v>
      </c>
      <c r="O237" s="17" t="str">
        <f t="shared" si="7"/>
        <v>T</v>
      </c>
      <c r="P237" s="8">
        <f t="shared" si="8"/>
        <v>0</v>
      </c>
      <c r="R237" s="17" t="str">
        <f t="shared" si="9"/>
        <v>F</v>
      </c>
      <c r="S237" s="3" t="str">
        <f t="shared" si="10"/>
        <v>F</v>
      </c>
      <c r="T237" s="8">
        <f t="shared" si="11"/>
        <v>-1</v>
      </c>
      <c r="V237" s="4">
        <f t="shared" si="12"/>
        <v>-1</v>
      </c>
      <c r="W237" s="8">
        <f t="shared" si="13"/>
        <v>-21</v>
      </c>
      <c r="X237" s="8">
        <f t="shared" si="14"/>
        <v>21</v>
      </c>
      <c r="Y237" s="8">
        <f t="shared" si="15"/>
        <v>-55.57</v>
      </c>
    </row>
    <row r="238">
      <c r="A238" s="2">
        <v>231.0</v>
      </c>
      <c r="B238" s="15">
        <f>IFERROR(__xludf.DUMMYFUNCTION("""COMPUTED_VALUE"""),42716.64583333333)</f>
        <v>42716.64583</v>
      </c>
      <c r="C238" s="8">
        <f>IFERROR(__xludf.DUMMYFUNCTION("""COMPUTED_VALUE"""),1264.5)</f>
        <v>1264.5</v>
      </c>
      <c r="E238" s="15">
        <f>IFERROR(__xludf.DUMMYFUNCTION("""COMPUTED_VALUE"""),42716.64583333333)</f>
        <v>42716.64583</v>
      </c>
      <c r="F238" s="8">
        <f>IFERROR(__xludf.DUMMYFUNCTION("""COMPUTED_VALUE"""),592.23)</f>
        <v>592.23</v>
      </c>
      <c r="H238" s="4">
        <f t="shared" si="1"/>
        <v>672.27</v>
      </c>
      <c r="I238" s="16">
        <f t="shared" si="2"/>
        <v>670.358</v>
      </c>
      <c r="J238" s="16">
        <f t="shared" si="3"/>
        <v>15.76724041</v>
      </c>
      <c r="K238" s="16">
        <f t="shared" si="4"/>
        <v>686.1252404</v>
      </c>
      <c r="L238" s="16">
        <f t="shared" si="5"/>
        <v>654.5907596</v>
      </c>
      <c r="N238" s="17" t="str">
        <f t="shared" si="6"/>
        <v>F</v>
      </c>
      <c r="O238" s="17" t="str">
        <f t="shared" si="7"/>
        <v>T</v>
      </c>
      <c r="P238" s="8">
        <f t="shared" si="8"/>
        <v>0</v>
      </c>
      <c r="R238" s="17" t="str">
        <f t="shared" si="9"/>
        <v>F</v>
      </c>
      <c r="S238" s="3" t="str">
        <f t="shared" si="10"/>
        <v>F</v>
      </c>
      <c r="T238" s="8">
        <f t="shared" si="11"/>
        <v>-1</v>
      </c>
      <c r="V238" s="4">
        <f t="shared" si="12"/>
        <v>-1</v>
      </c>
      <c r="W238" s="8">
        <f t="shared" si="13"/>
        <v>3.17</v>
      </c>
      <c r="X238" s="8">
        <f t="shared" si="14"/>
        <v>-3.17</v>
      </c>
      <c r="Y238" s="8">
        <f t="shared" si="15"/>
        <v>-58.74</v>
      </c>
    </row>
    <row r="239">
      <c r="A239" s="2">
        <v>232.0</v>
      </c>
      <c r="B239" s="15">
        <f>IFERROR(__xludf.DUMMYFUNCTION("""COMPUTED_VALUE"""),42717.64583333333)</f>
        <v>42717.64583</v>
      </c>
      <c r="C239" s="8">
        <f>IFERROR(__xludf.DUMMYFUNCTION("""COMPUTED_VALUE"""),1278.55)</f>
        <v>1278.55</v>
      </c>
      <c r="E239" s="15">
        <f>IFERROR(__xludf.DUMMYFUNCTION("""COMPUTED_VALUE"""),42717.64583333333)</f>
        <v>42717.64583</v>
      </c>
      <c r="F239" s="8">
        <f>IFERROR(__xludf.DUMMYFUNCTION("""COMPUTED_VALUE"""),593.13)</f>
        <v>593.13</v>
      </c>
      <c r="H239" s="4">
        <f t="shared" si="1"/>
        <v>685.42</v>
      </c>
      <c r="I239" s="16">
        <f t="shared" si="2"/>
        <v>678.208</v>
      </c>
      <c r="J239" s="16">
        <f t="shared" si="3"/>
        <v>9.056979077</v>
      </c>
      <c r="K239" s="16">
        <f t="shared" si="4"/>
        <v>687.2649791</v>
      </c>
      <c r="L239" s="16">
        <f t="shared" si="5"/>
        <v>669.1510209</v>
      </c>
      <c r="N239" s="17" t="str">
        <f t="shared" si="6"/>
        <v>F</v>
      </c>
      <c r="O239" s="17" t="str">
        <f t="shared" si="7"/>
        <v>T</v>
      </c>
      <c r="P239" s="8">
        <f t="shared" si="8"/>
        <v>0</v>
      </c>
      <c r="R239" s="17" t="str">
        <f t="shared" si="9"/>
        <v>F</v>
      </c>
      <c r="S239" s="3" t="str">
        <f t="shared" si="10"/>
        <v>F</v>
      </c>
      <c r="T239" s="8">
        <f t="shared" si="11"/>
        <v>-1</v>
      </c>
      <c r="V239" s="4">
        <f t="shared" si="12"/>
        <v>-1</v>
      </c>
      <c r="W239" s="8">
        <f t="shared" si="13"/>
        <v>13.15</v>
      </c>
      <c r="X239" s="8">
        <f t="shared" si="14"/>
        <v>-13.15</v>
      </c>
      <c r="Y239" s="8">
        <f t="shared" si="15"/>
        <v>-71.89</v>
      </c>
    </row>
    <row r="240">
      <c r="A240" s="2">
        <v>233.0</v>
      </c>
      <c r="B240" s="15">
        <f>IFERROR(__xludf.DUMMYFUNCTION("""COMPUTED_VALUE"""),42718.64583333333)</f>
        <v>42718.64583</v>
      </c>
      <c r="C240" s="8">
        <f>IFERROR(__xludf.DUMMYFUNCTION("""COMPUTED_VALUE"""),1266.55)</f>
        <v>1266.55</v>
      </c>
      <c r="E240" s="15">
        <f>IFERROR(__xludf.DUMMYFUNCTION("""COMPUTED_VALUE"""),42718.64583333333)</f>
        <v>42718.64583</v>
      </c>
      <c r="F240" s="8">
        <f>IFERROR(__xludf.DUMMYFUNCTION("""COMPUTED_VALUE"""),587.85)</f>
        <v>587.85</v>
      </c>
      <c r="H240" s="4">
        <f t="shared" si="1"/>
        <v>678.7</v>
      </c>
      <c r="I240" s="16">
        <f t="shared" si="2"/>
        <v>679.118</v>
      </c>
      <c r="J240" s="16">
        <f t="shared" si="3"/>
        <v>8.771397836</v>
      </c>
      <c r="K240" s="16">
        <f t="shared" si="4"/>
        <v>687.8893978</v>
      </c>
      <c r="L240" s="16">
        <f t="shared" si="5"/>
        <v>670.3466022</v>
      </c>
      <c r="N240" s="17" t="str">
        <f t="shared" si="6"/>
        <v>F</v>
      </c>
      <c r="O240" s="17" t="str">
        <f t="shared" si="7"/>
        <v>F</v>
      </c>
      <c r="P240" s="8">
        <f t="shared" si="8"/>
        <v>0</v>
      </c>
      <c r="R240" s="17" t="str">
        <f t="shared" si="9"/>
        <v>F</v>
      </c>
      <c r="S240" s="3" t="str">
        <f t="shared" si="10"/>
        <v>T</v>
      </c>
      <c r="T240" s="8">
        <f t="shared" si="11"/>
        <v>0</v>
      </c>
      <c r="V240" s="4">
        <f t="shared" si="12"/>
        <v>0</v>
      </c>
      <c r="W240" s="8">
        <f t="shared" si="13"/>
        <v>-6.72</v>
      </c>
      <c r="X240" s="8">
        <f t="shared" si="14"/>
        <v>6.72</v>
      </c>
      <c r="Y240" s="8">
        <f t="shared" si="15"/>
        <v>-65.17</v>
      </c>
    </row>
    <row r="241">
      <c r="A241" s="2">
        <v>234.0</v>
      </c>
      <c r="B241" s="15">
        <f>IFERROR(__xludf.DUMMYFUNCTION("""COMPUTED_VALUE"""),42719.64583333333)</f>
        <v>42719.64583</v>
      </c>
      <c r="C241" s="8">
        <f>IFERROR(__xludf.DUMMYFUNCTION("""COMPUTED_VALUE"""),1259.2)</f>
        <v>1259.2</v>
      </c>
      <c r="E241" s="15">
        <f>IFERROR(__xludf.DUMMYFUNCTION("""COMPUTED_VALUE"""),42719.64583333333)</f>
        <v>42719.64583</v>
      </c>
      <c r="F241" s="8">
        <f>IFERROR(__xludf.DUMMYFUNCTION("""COMPUTED_VALUE"""),588.3)</f>
        <v>588.3</v>
      </c>
      <c r="H241" s="4">
        <f t="shared" si="1"/>
        <v>670.9</v>
      </c>
      <c r="I241" s="16">
        <f t="shared" si="2"/>
        <v>675.278</v>
      </c>
      <c r="J241" s="16">
        <f t="shared" si="3"/>
        <v>6.725936366</v>
      </c>
      <c r="K241" s="16">
        <f t="shared" si="4"/>
        <v>682.0039364</v>
      </c>
      <c r="L241" s="16">
        <f t="shared" si="5"/>
        <v>668.5520636</v>
      </c>
      <c r="N241" s="17" t="str">
        <f t="shared" si="6"/>
        <v>F</v>
      </c>
      <c r="O241" s="17" t="str">
        <f t="shared" si="7"/>
        <v>F</v>
      </c>
      <c r="P241" s="8">
        <f t="shared" si="8"/>
        <v>0</v>
      </c>
      <c r="R241" s="17" t="str">
        <f t="shared" si="9"/>
        <v>F</v>
      </c>
      <c r="S241" s="3" t="str">
        <f t="shared" si="10"/>
        <v>T</v>
      </c>
      <c r="T241" s="8">
        <f t="shared" si="11"/>
        <v>0</v>
      </c>
      <c r="V241" s="4">
        <f t="shared" si="12"/>
        <v>0</v>
      </c>
      <c r="W241" s="8">
        <f t="shared" si="13"/>
        <v>-7.8</v>
      </c>
      <c r="X241" s="8">
        <f t="shared" si="14"/>
        <v>0</v>
      </c>
      <c r="Y241" s="8">
        <f t="shared" si="15"/>
        <v>-65.17</v>
      </c>
    </row>
    <row r="242">
      <c r="A242" s="2">
        <v>235.0</v>
      </c>
      <c r="B242" s="15">
        <f>IFERROR(__xludf.DUMMYFUNCTION("""COMPUTED_VALUE"""),42720.64583333333)</f>
        <v>42720.64583</v>
      </c>
      <c r="C242" s="8">
        <f>IFERROR(__xludf.DUMMYFUNCTION("""COMPUTED_VALUE"""),1269.15)</f>
        <v>1269.15</v>
      </c>
      <c r="E242" s="15">
        <f>IFERROR(__xludf.DUMMYFUNCTION("""COMPUTED_VALUE"""),42720.64583333333)</f>
        <v>42720.64583</v>
      </c>
      <c r="F242" s="8">
        <f>IFERROR(__xludf.DUMMYFUNCTION("""COMPUTED_VALUE"""),591.15)</f>
        <v>591.15</v>
      </c>
      <c r="H242" s="4">
        <f t="shared" si="1"/>
        <v>678</v>
      </c>
      <c r="I242" s="16">
        <f t="shared" si="2"/>
        <v>677.058</v>
      </c>
      <c r="J242" s="16">
        <f t="shared" si="3"/>
        <v>5.795525861</v>
      </c>
      <c r="K242" s="16">
        <f t="shared" si="4"/>
        <v>682.8535259</v>
      </c>
      <c r="L242" s="16">
        <f t="shared" si="5"/>
        <v>671.2624741</v>
      </c>
      <c r="N242" s="17" t="str">
        <f t="shared" si="6"/>
        <v>F</v>
      </c>
      <c r="O242" s="17" t="str">
        <f t="shared" si="7"/>
        <v>T</v>
      </c>
      <c r="P242" s="8">
        <f t="shared" si="8"/>
        <v>0</v>
      </c>
      <c r="R242" s="17" t="str">
        <f t="shared" si="9"/>
        <v>F</v>
      </c>
      <c r="S242" s="3" t="str">
        <f t="shared" si="10"/>
        <v>F</v>
      </c>
      <c r="T242" s="8">
        <f t="shared" si="11"/>
        <v>0</v>
      </c>
      <c r="V242" s="4">
        <f t="shared" si="12"/>
        <v>0</v>
      </c>
      <c r="W242" s="8">
        <f t="shared" si="13"/>
        <v>7.1</v>
      </c>
      <c r="X242" s="8">
        <f t="shared" si="14"/>
        <v>0</v>
      </c>
      <c r="Y242" s="8">
        <f t="shared" si="15"/>
        <v>-65.17</v>
      </c>
    </row>
    <row r="243">
      <c r="A243" s="2">
        <v>236.0</v>
      </c>
      <c r="B243" s="15">
        <f>IFERROR(__xludf.DUMMYFUNCTION("""COMPUTED_VALUE"""),42723.64583333333)</f>
        <v>42723.64583</v>
      </c>
      <c r="C243" s="8">
        <f>IFERROR(__xludf.DUMMYFUNCTION("""COMPUTED_VALUE"""),1247.9)</f>
        <v>1247.9</v>
      </c>
      <c r="E243" s="15">
        <f>IFERROR(__xludf.DUMMYFUNCTION("""COMPUTED_VALUE"""),42723.64583333333)</f>
        <v>42723.64583</v>
      </c>
      <c r="F243" s="8">
        <f>IFERROR(__xludf.DUMMYFUNCTION("""COMPUTED_VALUE"""),588.38)</f>
        <v>588.38</v>
      </c>
      <c r="H243" s="4">
        <f t="shared" si="1"/>
        <v>659.52</v>
      </c>
      <c r="I243" s="16">
        <f t="shared" si="2"/>
        <v>674.508</v>
      </c>
      <c r="J243" s="16">
        <f t="shared" si="3"/>
        <v>9.829756864</v>
      </c>
      <c r="K243" s="16">
        <f t="shared" si="4"/>
        <v>684.3377569</v>
      </c>
      <c r="L243" s="16">
        <f t="shared" si="5"/>
        <v>664.6782431</v>
      </c>
      <c r="N243" s="17" t="str">
        <f t="shared" si="6"/>
        <v>T</v>
      </c>
      <c r="O243" s="17" t="str">
        <f t="shared" si="7"/>
        <v>F</v>
      </c>
      <c r="P243" s="8">
        <f t="shared" si="8"/>
        <v>1</v>
      </c>
      <c r="R243" s="17" t="str">
        <f t="shared" si="9"/>
        <v>F</v>
      </c>
      <c r="S243" s="3" t="str">
        <f t="shared" si="10"/>
        <v>T</v>
      </c>
      <c r="T243" s="8">
        <f t="shared" si="11"/>
        <v>0</v>
      </c>
      <c r="V243" s="4">
        <f t="shared" si="12"/>
        <v>1</v>
      </c>
      <c r="W243" s="8">
        <f t="shared" si="13"/>
        <v>-18.48</v>
      </c>
      <c r="X243" s="8">
        <f t="shared" si="14"/>
        <v>0</v>
      </c>
      <c r="Y243" s="8">
        <f t="shared" si="15"/>
        <v>-65.17</v>
      </c>
    </row>
    <row r="244">
      <c r="A244" s="2">
        <v>237.0</v>
      </c>
      <c r="B244" s="15">
        <f>IFERROR(__xludf.DUMMYFUNCTION("""COMPUTED_VALUE"""),42724.64583333333)</f>
        <v>42724.64583</v>
      </c>
      <c r="C244" s="8">
        <f>IFERROR(__xludf.DUMMYFUNCTION("""COMPUTED_VALUE"""),1235.55)</f>
        <v>1235.55</v>
      </c>
      <c r="E244" s="15">
        <f>IFERROR(__xludf.DUMMYFUNCTION("""COMPUTED_VALUE"""),42724.64583333333)</f>
        <v>42724.64583</v>
      </c>
      <c r="F244" s="8">
        <f>IFERROR(__xludf.DUMMYFUNCTION("""COMPUTED_VALUE"""),590.95)</f>
        <v>590.95</v>
      </c>
      <c r="H244" s="4">
        <f t="shared" si="1"/>
        <v>644.6</v>
      </c>
      <c r="I244" s="16">
        <f t="shared" si="2"/>
        <v>666.344</v>
      </c>
      <c r="J244" s="16">
        <f t="shared" si="3"/>
        <v>14.39321646</v>
      </c>
      <c r="K244" s="16">
        <f t="shared" si="4"/>
        <v>680.7372165</v>
      </c>
      <c r="L244" s="16">
        <f t="shared" si="5"/>
        <v>651.9507835</v>
      </c>
      <c r="N244" s="17" t="str">
        <f t="shared" si="6"/>
        <v>T</v>
      </c>
      <c r="O244" s="17" t="str">
        <f t="shared" si="7"/>
        <v>F</v>
      </c>
      <c r="P244" s="8">
        <f t="shared" si="8"/>
        <v>1</v>
      </c>
      <c r="R244" s="17" t="str">
        <f t="shared" si="9"/>
        <v>F</v>
      </c>
      <c r="S244" s="3" t="str">
        <f t="shared" si="10"/>
        <v>T</v>
      </c>
      <c r="T244" s="8">
        <f t="shared" si="11"/>
        <v>0</v>
      </c>
      <c r="V244" s="4">
        <f t="shared" si="12"/>
        <v>1</v>
      </c>
      <c r="W244" s="8">
        <f t="shared" si="13"/>
        <v>-14.92</v>
      </c>
      <c r="X244" s="8">
        <f t="shared" si="14"/>
        <v>-14.92</v>
      </c>
      <c r="Y244" s="8">
        <f t="shared" si="15"/>
        <v>-80.09</v>
      </c>
    </row>
    <row r="245">
      <c r="A245" s="2">
        <v>238.0</v>
      </c>
      <c r="B245" s="15">
        <f>IFERROR(__xludf.DUMMYFUNCTION("""COMPUTED_VALUE"""),42725.64583333333)</f>
        <v>42725.64583</v>
      </c>
      <c r="C245" s="8">
        <f>IFERROR(__xludf.DUMMYFUNCTION("""COMPUTED_VALUE"""),1235.6)</f>
        <v>1235.6</v>
      </c>
      <c r="E245" s="15">
        <f>IFERROR(__xludf.DUMMYFUNCTION("""COMPUTED_VALUE"""),42725.64583333333)</f>
        <v>42725.64583</v>
      </c>
      <c r="F245" s="8">
        <f>IFERROR(__xludf.DUMMYFUNCTION("""COMPUTED_VALUE"""),590.0)</f>
        <v>590</v>
      </c>
      <c r="H245" s="4">
        <f t="shared" si="1"/>
        <v>645.6</v>
      </c>
      <c r="I245" s="16">
        <f t="shared" si="2"/>
        <v>659.724</v>
      </c>
      <c r="J245" s="16">
        <f t="shared" si="3"/>
        <v>14.89277946</v>
      </c>
      <c r="K245" s="16">
        <f t="shared" si="4"/>
        <v>674.6167795</v>
      </c>
      <c r="L245" s="16">
        <f t="shared" si="5"/>
        <v>644.8312205</v>
      </c>
      <c r="N245" s="17" t="str">
        <f t="shared" si="6"/>
        <v>F</v>
      </c>
      <c r="O245" s="17" t="str">
        <f t="shared" si="7"/>
        <v>F</v>
      </c>
      <c r="P245" s="8">
        <f t="shared" si="8"/>
        <v>1</v>
      </c>
      <c r="R245" s="17" t="str">
        <f t="shared" si="9"/>
        <v>F</v>
      </c>
      <c r="S245" s="3" t="str">
        <f t="shared" si="10"/>
        <v>T</v>
      </c>
      <c r="T245" s="8">
        <f t="shared" si="11"/>
        <v>0</v>
      </c>
      <c r="V245" s="4">
        <f t="shared" si="12"/>
        <v>1</v>
      </c>
      <c r="W245" s="8">
        <f t="shared" si="13"/>
        <v>1</v>
      </c>
      <c r="X245" s="8">
        <f t="shared" si="14"/>
        <v>1</v>
      </c>
      <c r="Y245" s="8">
        <f t="shared" si="15"/>
        <v>-79.09</v>
      </c>
    </row>
    <row r="246">
      <c r="A246" s="2">
        <v>239.0</v>
      </c>
      <c r="B246" s="15">
        <f>IFERROR(__xludf.DUMMYFUNCTION("""COMPUTED_VALUE"""),42726.64583333333)</f>
        <v>42726.64583</v>
      </c>
      <c r="C246" s="8">
        <f>IFERROR(__xludf.DUMMYFUNCTION("""COMPUTED_VALUE"""),1217.4)</f>
        <v>1217.4</v>
      </c>
      <c r="E246" s="15">
        <f>IFERROR(__xludf.DUMMYFUNCTION("""COMPUTED_VALUE"""),42726.64583333333)</f>
        <v>42726.64583</v>
      </c>
      <c r="F246" s="8">
        <f>IFERROR(__xludf.DUMMYFUNCTION("""COMPUTED_VALUE"""),586.55)</f>
        <v>586.55</v>
      </c>
      <c r="H246" s="4">
        <f t="shared" si="1"/>
        <v>630.85</v>
      </c>
      <c r="I246" s="16">
        <f t="shared" si="2"/>
        <v>651.714</v>
      </c>
      <c r="J246" s="16">
        <f t="shared" si="3"/>
        <v>17.85485872</v>
      </c>
      <c r="K246" s="16">
        <f t="shared" si="4"/>
        <v>669.5688587</v>
      </c>
      <c r="L246" s="16">
        <f t="shared" si="5"/>
        <v>633.8591413</v>
      </c>
      <c r="N246" s="17" t="str">
        <f t="shared" si="6"/>
        <v>T</v>
      </c>
      <c r="O246" s="17" t="str">
        <f t="shared" si="7"/>
        <v>F</v>
      </c>
      <c r="P246" s="8">
        <f t="shared" si="8"/>
        <v>1</v>
      </c>
      <c r="R246" s="17" t="str">
        <f t="shared" si="9"/>
        <v>F</v>
      </c>
      <c r="S246" s="3" t="str">
        <f t="shared" si="10"/>
        <v>T</v>
      </c>
      <c r="T246" s="8">
        <f t="shared" si="11"/>
        <v>0</v>
      </c>
      <c r="V246" s="4">
        <f t="shared" si="12"/>
        <v>1</v>
      </c>
      <c r="W246" s="8">
        <f t="shared" si="13"/>
        <v>-14.75</v>
      </c>
      <c r="X246" s="8">
        <f t="shared" si="14"/>
        <v>-14.75</v>
      </c>
      <c r="Y246" s="8">
        <f t="shared" si="15"/>
        <v>-93.84</v>
      </c>
    </row>
    <row r="247">
      <c r="A247" s="2">
        <v>240.0</v>
      </c>
      <c r="B247" s="15">
        <f>IFERROR(__xludf.DUMMYFUNCTION("""COMPUTED_VALUE"""),42727.64583333333)</f>
        <v>42727.64583</v>
      </c>
      <c r="C247" s="8">
        <f>IFERROR(__xludf.DUMMYFUNCTION("""COMPUTED_VALUE"""),1224.85)</f>
        <v>1224.85</v>
      </c>
      <c r="E247" s="15">
        <f>IFERROR(__xludf.DUMMYFUNCTION("""COMPUTED_VALUE"""),42727.64583333333)</f>
        <v>42727.64583</v>
      </c>
      <c r="F247" s="8">
        <f>IFERROR(__xludf.DUMMYFUNCTION("""COMPUTED_VALUE"""),593.13)</f>
        <v>593.13</v>
      </c>
      <c r="H247" s="4">
        <f t="shared" si="1"/>
        <v>631.72</v>
      </c>
      <c r="I247" s="16">
        <f t="shared" si="2"/>
        <v>642.458</v>
      </c>
      <c r="J247" s="16">
        <f t="shared" si="3"/>
        <v>11.78582284</v>
      </c>
      <c r="K247" s="16">
        <f t="shared" si="4"/>
        <v>654.2438228</v>
      </c>
      <c r="L247" s="16">
        <f t="shared" si="5"/>
        <v>630.6721772</v>
      </c>
      <c r="N247" s="17" t="str">
        <f t="shared" si="6"/>
        <v>F</v>
      </c>
      <c r="O247" s="17" t="str">
        <f t="shared" si="7"/>
        <v>F</v>
      </c>
      <c r="P247" s="8">
        <f t="shared" si="8"/>
        <v>1</v>
      </c>
      <c r="R247" s="17" t="str">
        <f t="shared" si="9"/>
        <v>F</v>
      </c>
      <c r="S247" s="3" t="str">
        <f t="shared" si="10"/>
        <v>T</v>
      </c>
      <c r="T247" s="8">
        <f t="shared" si="11"/>
        <v>0</v>
      </c>
      <c r="V247" s="4">
        <f t="shared" si="12"/>
        <v>1</v>
      </c>
      <c r="W247" s="8">
        <f t="shared" si="13"/>
        <v>0.87</v>
      </c>
      <c r="X247" s="8">
        <f t="shared" si="14"/>
        <v>0.87</v>
      </c>
      <c r="Y247" s="8">
        <f t="shared" si="15"/>
        <v>-92.97</v>
      </c>
    </row>
    <row r="248">
      <c r="A248" s="2">
        <v>241.0</v>
      </c>
      <c r="B248" s="15">
        <f>IFERROR(__xludf.DUMMYFUNCTION("""COMPUTED_VALUE"""),42730.64583333333)</f>
        <v>42730.64583</v>
      </c>
      <c r="C248" s="8">
        <f>IFERROR(__xludf.DUMMYFUNCTION("""COMPUTED_VALUE"""),1219.5)</f>
        <v>1219.5</v>
      </c>
      <c r="E248" s="15">
        <f>IFERROR(__xludf.DUMMYFUNCTION("""COMPUTED_VALUE"""),42730.64583333333)</f>
        <v>42730.64583</v>
      </c>
      <c r="F248" s="8">
        <f>IFERROR(__xludf.DUMMYFUNCTION("""COMPUTED_VALUE"""),587.5)</f>
        <v>587.5</v>
      </c>
      <c r="H248" s="4">
        <f t="shared" si="1"/>
        <v>632</v>
      </c>
      <c r="I248" s="16">
        <f t="shared" si="2"/>
        <v>636.954</v>
      </c>
      <c r="J248" s="16">
        <f t="shared" si="3"/>
        <v>7.456713753</v>
      </c>
      <c r="K248" s="16">
        <f t="shared" si="4"/>
        <v>644.4107138</v>
      </c>
      <c r="L248" s="16">
        <f t="shared" si="5"/>
        <v>629.4972862</v>
      </c>
      <c r="N248" s="17" t="str">
        <f t="shared" si="6"/>
        <v>F</v>
      </c>
      <c r="O248" s="17" t="str">
        <f t="shared" si="7"/>
        <v>F</v>
      </c>
      <c r="P248" s="8">
        <f t="shared" si="8"/>
        <v>1</v>
      </c>
      <c r="R248" s="17" t="str">
        <f t="shared" si="9"/>
        <v>F</v>
      </c>
      <c r="S248" s="3" t="str">
        <f t="shared" si="10"/>
        <v>T</v>
      </c>
      <c r="T248" s="8">
        <f t="shared" si="11"/>
        <v>0</v>
      </c>
      <c r="V248" s="4">
        <f t="shared" si="12"/>
        <v>1</v>
      </c>
      <c r="W248" s="8">
        <f t="shared" si="13"/>
        <v>0.28</v>
      </c>
      <c r="X248" s="8">
        <f t="shared" si="14"/>
        <v>0.28</v>
      </c>
      <c r="Y248" s="8">
        <f t="shared" si="15"/>
        <v>-92.69</v>
      </c>
    </row>
    <row r="249">
      <c r="A249" s="2">
        <v>242.0</v>
      </c>
      <c r="B249" s="15">
        <f>IFERROR(__xludf.DUMMYFUNCTION("""COMPUTED_VALUE"""),42731.64583333333)</f>
        <v>42731.64583</v>
      </c>
      <c r="C249" s="8">
        <f>IFERROR(__xludf.DUMMYFUNCTION("""COMPUTED_VALUE"""),1232.15)</f>
        <v>1232.15</v>
      </c>
      <c r="E249" s="15">
        <f>IFERROR(__xludf.DUMMYFUNCTION("""COMPUTED_VALUE"""),42731.64583333333)</f>
        <v>42731.64583</v>
      </c>
      <c r="F249" s="8">
        <f>IFERROR(__xludf.DUMMYFUNCTION("""COMPUTED_VALUE"""),592.6)</f>
        <v>592.6</v>
      </c>
      <c r="H249" s="4">
        <f t="shared" si="1"/>
        <v>639.55</v>
      </c>
      <c r="I249" s="16">
        <f t="shared" si="2"/>
        <v>635.944</v>
      </c>
      <c r="J249" s="16">
        <f t="shared" si="3"/>
        <v>6.434044607</v>
      </c>
      <c r="K249" s="16">
        <f t="shared" si="4"/>
        <v>642.3780446</v>
      </c>
      <c r="L249" s="16">
        <f t="shared" si="5"/>
        <v>629.5099554</v>
      </c>
      <c r="N249" s="17" t="str">
        <f t="shared" si="6"/>
        <v>F</v>
      </c>
      <c r="O249" s="17" t="str">
        <f t="shared" si="7"/>
        <v>T</v>
      </c>
      <c r="P249" s="8">
        <f t="shared" si="8"/>
        <v>0</v>
      </c>
      <c r="R249" s="17" t="str">
        <f t="shared" si="9"/>
        <v>F</v>
      </c>
      <c r="S249" s="3" t="str">
        <f t="shared" si="10"/>
        <v>F</v>
      </c>
      <c r="T249" s="8">
        <f t="shared" si="11"/>
        <v>0</v>
      </c>
      <c r="V249" s="4">
        <f t="shared" si="12"/>
        <v>0</v>
      </c>
      <c r="W249" s="8">
        <f t="shared" si="13"/>
        <v>7.55</v>
      </c>
      <c r="X249" s="8">
        <f t="shared" si="14"/>
        <v>7.55</v>
      </c>
      <c r="Y249" s="8">
        <f t="shared" si="15"/>
        <v>-85.14</v>
      </c>
    </row>
    <row r="250">
      <c r="A250" s="2">
        <v>243.0</v>
      </c>
      <c r="B250" s="15">
        <f>IFERROR(__xludf.DUMMYFUNCTION("""COMPUTED_VALUE"""),42732.64583333333)</f>
        <v>42732.64583</v>
      </c>
      <c r="C250" s="8">
        <f>IFERROR(__xludf.DUMMYFUNCTION("""COMPUTED_VALUE"""),1237.95)</f>
        <v>1237.95</v>
      </c>
      <c r="E250" s="15">
        <f>IFERROR(__xludf.DUMMYFUNCTION("""COMPUTED_VALUE"""),42732.64583333333)</f>
        <v>42732.64583</v>
      </c>
      <c r="F250" s="8">
        <f>IFERROR(__xludf.DUMMYFUNCTION("""COMPUTED_VALUE"""),593.38)</f>
        <v>593.38</v>
      </c>
      <c r="H250" s="4">
        <f t="shared" si="1"/>
        <v>644.57</v>
      </c>
      <c r="I250" s="16">
        <f t="shared" si="2"/>
        <v>635.738</v>
      </c>
      <c r="J250" s="16">
        <f t="shared" si="3"/>
        <v>6.052790266</v>
      </c>
      <c r="K250" s="16">
        <f t="shared" si="4"/>
        <v>641.7907903</v>
      </c>
      <c r="L250" s="16">
        <f t="shared" si="5"/>
        <v>629.6852097</v>
      </c>
      <c r="N250" s="17" t="str">
        <f t="shared" si="6"/>
        <v>F</v>
      </c>
      <c r="O250" s="17" t="str">
        <f t="shared" si="7"/>
        <v>T</v>
      </c>
      <c r="P250" s="8">
        <f t="shared" si="8"/>
        <v>0</v>
      </c>
      <c r="R250" s="17" t="str">
        <f t="shared" si="9"/>
        <v>T</v>
      </c>
      <c r="S250" s="3" t="str">
        <f t="shared" si="10"/>
        <v>F</v>
      </c>
      <c r="T250" s="8">
        <f t="shared" si="11"/>
        <v>-1</v>
      </c>
      <c r="V250" s="4">
        <f t="shared" si="12"/>
        <v>-1</v>
      </c>
      <c r="W250" s="8">
        <f t="shared" si="13"/>
        <v>5.02</v>
      </c>
      <c r="X250" s="8">
        <f t="shared" si="14"/>
        <v>0</v>
      </c>
      <c r="Y250" s="8">
        <f t="shared" si="15"/>
        <v>-85.14</v>
      </c>
    </row>
    <row r="251">
      <c r="A251" s="2">
        <v>244.0</v>
      </c>
      <c r="B251" s="15">
        <f>IFERROR(__xludf.DUMMYFUNCTION("""COMPUTED_VALUE"""),42733.64583333333)</f>
        <v>42733.64583</v>
      </c>
      <c r="C251" s="8">
        <f>IFERROR(__xludf.DUMMYFUNCTION("""COMPUTED_VALUE"""),1257.2)</f>
        <v>1257.2</v>
      </c>
      <c r="E251" s="15">
        <f>IFERROR(__xludf.DUMMYFUNCTION("""COMPUTED_VALUE"""),42733.64583333333)</f>
        <v>42733.64583</v>
      </c>
      <c r="F251" s="8">
        <f>IFERROR(__xludf.DUMMYFUNCTION("""COMPUTED_VALUE"""),602.6)</f>
        <v>602.6</v>
      </c>
      <c r="H251" s="4">
        <f t="shared" si="1"/>
        <v>654.6</v>
      </c>
      <c r="I251" s="16">
        <f t="shared" si="2"/>
        <v>640.488</v>
      </c>
      <c r="J251" s="16">
        <f t="shared" si="3"/>
        <v>9.560531889</v>
      </c>
      <c r="K251" s="16">
        <f t="shared" si="4"/>
        <v>650.0485319</v>
      </c>
      <c r="L251" s="16">
        <f t="shared" si="5"/>
        <v>630.9274681</v>
      </c>
      <c r="N251" s="17" t="str">
        <f t="shared" si="6"/>
        <v>F</v>
      </c>
      <c r="O251" s="17" t="str">
        <f t="shared" si="7"/>
        <v>T</v>
      </c>
      <c r="P251" s="8">
        <f t="shared" si="8"/>
        <v>0</v>
      </c>
      <c r="R251" s="17" t="str">
        <f t="shared" si="9"/>
        <v>T</v>
      </c>
      <c r="S251" s="3" t="str">
        <f t="shared" si="10"/>
        <v>F</v>
      </c>
      <c r="T251" s="8">
        <f t="shared" si="11"/>
        <v>-1</v>
      </c>
      <c r="V251" s="4">
        <f t="shared" si="12"/>
        <v>-1</v>
      </c>
      <c r="W251" s="8">
        <f t="shared" si="13"/>
        <v>10.03</v>
      </c>
      <c r="X251" s="8">
        <f t="shared" si="14"/>
        <v>-10.03</v>
      </c>
      <c r="Y251" s="8">
        <f t="shared" si="15"/>
        <v>-95.17</v>
      </c>
    </row>
    <row r="252">
      <c r="A252" s="2">
        <v>245.0</v>
      </c>
      <c r="B252" s="15">
        <f>IFERROR(__xludf.DUMMYFUNCTION("""COMPUTED_VALUE"""),42734.64583333333)</f>
        <v>42734.64583</v>
      </c>
      <c r="C252" s="8">
        <f>IFERROR(__xludf.DUMMYFUNCTION("""COMPUTED_VALUE"""),1262.6)</f>
        <v>1262.6</v>
      </c>
      <c r="E252" s="15">
        <f>IFERROR(__xludf.DUMMYFUNCTION("""COMPUTED_VALUE"""),42734.64583333333)</f>
        <v>42734.64583</v>
      </c>
      <c r="F252" s="8">
        <f>IFERROR(__xludf.DUMMYFUNCTION("""COMPUTED_VALUE"""),603.1)</f>
        <v>603.1</v>
      </c>
      <c r="H252" s="4">
        <f t="shared" si="1"/>
        <v>659.5</v>
      </c>
      <c r="I252" s="16">
        <f t="shared" si="2"/>
        <v>646.044</v>
      </c>
      <c r="J252" s="16">
        <f t="shared" si="3"/>
        <v>11.1338192</v>
      </c>
      <c r="K252" s="16">
        <f t="shared" si="4"/>
        <v>657.1778192</v>
      </c>
      <c r="L252" s="16">
        <f t="shared" si="5"/>
        <v>634.9101808</v>
      </c>
      <c r="N252" s="17" t="str">
        <f t="shared" si="6"/>
        <v>F</v>
      </c>
      <c r="O252" s="17" t="str">
        <f t="shared" si="7"/>
        <v>T</v>
      </c>
      <c r="P252" s="8">
        <f t="shared" si="8"/>
        <v>0</v>
      </c>
      <c r="R252" s="17" t="str">
        <f t="shared" si="9"/>
        <v>T</v>
      </c>
      <c r="S252" s="3" t="str">
        <f t="shared" si="10"/>
        <v>F</v>
      </c>
      <c r="T252" s="8">
        <f t="shared" si="11"/>
        <v>-1</v>
      </c>
      <c r="V252" s="4">
        <f t="shared" si="12"/>
        <v>-1</v>
      </c>
      <c r="W252" s="8">
        <f t="shared" si="13"/>
        <v>4.9</v>
      </c>
      <c r="X252" s="8">
        <f t="shared" si="14"/>
        <v>-4.9</v>
      </c>
      <c r="Y252" s="8">
        <f t="shared" si="15"/>
        <v>-100.07</v>
      </c>
    </row>
    <row r="253">
      <c r="A253" s="2">
        <v>246.0</v>
      </c>
      <c r="B253" s="15">
        <f>IFERROR(__xludf.DUMMYFUNCTION("""COMPUTED_VALUE"""),42737.64583333333)</f>
        <v>42737.64583</v>
      </c>
      <c r="C253" s="8">
        <f>IFERROR(__xludf.DUMMYFUNCTION("""COMPUTED_VALUE"""),1217.1)</f>
        <v>1217.1</v>
      </c>
      <c r="E253" s="15">
        <f>IFERROR(__xludf.DUMMYFUNCTION("""COMPUTED_VALUE"""),42737.64583333333)</f>
        <v>42737.64583</v>
      </c>
      <c r="F253" s="8">
        <f>IFERROR(__xludf.DUMMYFUNCTION("""COMPUTED_VALUE"""),598.55)</f>
        <v>598.55</v>
      </c>
      <c r="H253" s="4">
        <f t="shared" si="1"/>
        <v>618.55</v>
      </c>
      <c r="I253" s="16">
        <f t="shared" si="2"/>
        <v>643.354</v>
      </c>
      <c r="J253" s="16">
        <f t="shared" si="3"/>
        <v>15.95582433</v>
      </c>
      <c r="K253" s="16">
        <f t="shared" si="4"/>
        <v>659.3098243</v>
      </c>
      <c r="L253" s="16">
        <f t="shared" si="5"/>
        <v>627.3981757</v>
      </c>
      <c r="N253" s="17" t="str">
        <f t="shared" si="6"/>
        <v>T</v>
      </c>
      <c r="O253" s="17" t="str">
        <f t="shared" si="7"/>
        <v>F</v>
      </c>
      <c r="P253" s="8">
        <f t="shared" si="8"/>
        <v>1</v>
      </c>
      <c r="R253" s="17" t="str">
        <f t="shared" si="9"/>
        <v>F</v>
      </c>
      <c r="S253" s="3" t="str">
        <f t="shared" si="10"/>
        <v>T</v>
      </c>
      <c r="T253" s="8">
        <f t="shared" si="11"/>
        <v>0</v>
      </c>
      <c r="V253" s="4">
        <f t="shared" si="12"/>
        <v>1</v>
      </c>
      <c r="W253" s="8">
        <f t="shared" si="13"/>
        <v>-40.95</v>
      </c>
      <c r="X253" s="8">
        <f t="shared" si="14"/>
        <v>40.95</v>
      </c>
      <c r="Y253" s="8">
        <f t="shared" si="15"/>
        <v>-59.12</v>
      </c>
    </row>
    <row r="254">
      <c r="A254" s="2">
        <v>247.0</v>
      </c>
      <c r="B254" s="15">
        <f>IFERROR(__xludf.DUMMYFUNCTION("""COMPUTED_VALUE"""),42738.64583333333)</f>
        <v>42738.64583</v>
      </c>
      <c r="C254" s="8">
        <f>IFERROR(__xludf.DUMMYFUNCTION("""COMPUTED_VALUE"""),1214.0)</f>
        <v>1214</v>
      </c>
      <c r="E254" s="15">
        <f>IFERROR(__xludf.DUMMYFUNCTION("""COMPUTED_VALUE"""),42738.64583333333)</f>
        <v>42738.64583</v>
      </c>
      <c r="F254" s="8">
        <f>IFERROR(__xludf.DUMMYFUNCTION("""COMPUTED_VALUE"""),594.95)</f>
        <v>594.95</v>
      </c>
      <c r="H254" s="4">
        <f t="shared" si="1"/>
        <v>619.05</v>
      </c>
      <c r="I254" s="16">
        <f t="shared" si="2"/>
        <v>639.254</v>
      </c>
      <c r="J254" s="16">
        <f t="shared" si="3"/>
        <v>19.43268715</v>
      </c>
      <c r="K254" s="16">
        <f t="shared" si="4"/>
        <v>658.6866872</v>
      </c>
      <c r="L254" s="16">
        <f t="shared" si="5"/>
        <v>619.8213128</v>
      </c>
      <c r="N254" s="17" t="str">
        <f t="shared" si="6"/>
        <v>T</v>
      </c>
      <c r="O254" s="17" t="str">
        <f t="shared" si="7"/>
        <v>F</v>
      </c>
      <c r="P254" s="8">
        <f t="shared" si="8"/>
        <v>1</v>
      </c>
      <c r="R254" s="17" t="str">
        <f t="shared" si="9"/>
        <v>F</v>
      </c>
      <c r="S254" s="3" t="str">
        <f t="shared" si="10"/>
        <v>T</v>
      </c>
      <c r="T254" s="8">
        <f t="shared" si="11"/>
        <v>0</v>
      </c>
      <c r="V254" s="4">
        <f t="shared" si="12"/>
        <v>1</v>
      </c>
      <c r="W254" s="8">
        <f t="shared" si="13"/>
        <v>0.5</v>
      </c>
      <c r="X254" s="8">
        <f t="shared" si="14"/>
        <v>0.5</v>
      </c>
      <c r="Y254" s="8">
        <f t="shared" si="15"/>
        <v>-58.62</v>
      </c>
    </row>
    <row r="255">
      <c r="A255" s="2">
        <v>248.0</v>
      </c>
      <c r="B255" s="15">
        <f>IFERROR(__xludf.DUMMYFUNCTION("""COMPUTED_VALUE"""),42739.64583333333)</f>
        <v>42739.64583</v>
      </c>
      <c r="C255" s="8">
        <f>IFERROR(__xludf.DUMMYFUNCTION("""COMPUTED_VALUE"""),1212.1)</f>
        <v>1212.1</v>
      </c>
      <c r="E255" s="15">
        <f>IFERROR(__xludf.DUMMYFUNCTION("""COMPUTED_VALUE"""),42739.64583333333)</f>
        <v>42739.64583</v>
      </c>
      <c r="F255" s="8">
        <f>IFERROR(__xludf.DUMMYFUNCTION("""COMPUTED_VALUE"""),592.75)</f>
        <v>592.75</v>
      </c>
      <c r="H255" s="4">
        <f t="shared" si="1"/>
        <v>619.35</v>
      </c>
      <c r="I255" s="16">
        <f t="shared" si="2"/>
        <v>634.21</v>
      </c>
      <c r="J255" s="16">
        <f t="shared" si="3"/>
        <v>20.92377237</v>
      </c>
      <c r="K255" s="16">
        <f t="shared" si="4"/>
        <v>655.1337724</v>
      </c>
      <c r="L255" s="16">
        <f t="shared" si="5"/>
        <v>613.2862276</v>
      </c>
      <c r="N255" s="17" t="str">
        <f t="shared" si="6"/>
        <v>F</v>
      </c>
      <c r="O255" s="17" t="str">
        <f t="shared" si="7"/>
        <v>F</v>
      </c>
      <c r="P255" s="8">
        <f t="shared" si="8"/>
        <v>1</v>
      </c>
      <c r="R255" s="17" t="str">
        <f t="shared" si="9"/>
        <v>F</v>
      </c>
      <c r="S255" s="3" t="str">
        <f t="shared" si="10"/>
        <v>T</v>
      </c>
      <c r="T255" s="8">
        <f t="shared" si="11"/>
        <v>0</v>
      </c>
      <c r="V255" s="4">
        <f t="shared" si="12"/>
        <v>1</v>
      </c>
      <c r="W255" s="8">
        <f t="shared" si="13"/>
        <v>0.3</v>
      </c>
      <c r="X255" s="8">
        <f t="shared" si="14"/>
        <v>0.3</v>
      </c>
      <c r="Y255" s="8">
        <f t="shared" si="15"/>
        <v>-58.32</v>
      </c>
    </row>
    <row r="256">
      <c r="A256" s="2">
        <v>249.0</v>
      </c>
      <c r="B256" s="15">
        <f>IFERROR(__xludf.DUMMYFUNCTION("""COMPUTED_VALUE"""),42740.64583333333)</f>
        <v>42740.64583</v>
      </c>
      <c r="C256" s="8">
        <f>IFERROR(__xludf.DUMMYFUNCTION("""COMPUTED_VALUE"""),1217.2)</f>
        <v>1217.2</v>
      </c>
      <c r="E256" s="15">
        <f>IFERROR(__xludf.DUMMYFUNCTION("""COMPUTED_VALUE"""),42740.64583333333)</f>
        <v>42740.64583</v>
      </c>
      <c r="F256" s="8">
        <f>IFERROR(__xludf.DUMMYFUNCTION("""COMPUTED_VALUE"""),593.1)</f>
        <v>593.1</v>
      </c>
      <c r="H256" s="4">
        <f t="shared" si="1"/>
        <v>624.1</v>
      </c>
      <c r="I256" s="16">
        <f t="shared" si="2"/>
        <v>628.11</v>
      </c>
      <c r="J256" s="16">
        <f t="shared" si="3"/>
        <v>17.68917042</v>
      </c>
      <c r="K256" s="16">
        <f t="shared" si="4"/>
        <v>645.7991704</v>
      </c>
      <c r="L256" s="16">
        <f t="shared" si="5"/>
        <v>610.4208296</v>
      </c>
      <c r="N256" s="17" t="str">
        <f t="shared" si="6"/>
        <v>F</v>
      </c>
      <c r="O256" s="17" t="str">
        <f t="shared" si="7"/>
        <v>F</v>
      </c>
      <c r="P256" s="8">
        <f t="shared" si="8"/>
        <v>1</v>
      </c>
      <c r="R256" s="17" t="str">
        <f t="shared" si="9"/>
        <v>F</v>
      </c>
      <c r="S256" s="3" t="str">
        <f t="shared" si="10"/>
        <v>T</v>
      </c>
      <c r="T256" s="8">
        <f t="shared" si="11"/>
        <v>0</v>
      </c>
      <c r="V256" s="4">
        <f t="shared" si="12"/>
        <v>1</v>
      </c>
      <c r="W256" s="8">
        <f t="shared" si="13"/>
        <v>4.75</v>
      </c>
      <c r="X256" s="8">
        <f t="shared" si="14"/>
        <v>4.75</v>
      </c>
      <c r="Y256" s="8">
        <f t="shared" si="15"/>
        <v>-53.57</v>
      </c>
    </row>
    <row r="257">
      <c r="A257" s="2">
        <v>250.0</v>
      </c>
      <c r="B257" s="15">
        <f>IFERROR(__xludf.DUMMYFUNCTION("""COMPUTED_VALUE"""),42741.64583333333)</f>
        <v>42741.64583</v>
      </c>
      <c r="C257" s="8">
        <f>IFERROR(__xludf.DUMMYFUNCTION("""COMPUTED_VALUE"""),1222.35)</f>
        <v>1222.35</v>
      </c>
      <c r="E257" s="15">
        <f>IFERROR(__xludf.DUMMYFUNCTION("""COMPUTED_VALUE"""),42741.64583333333)</f>
        <v>42741.64583</v>
      </c>
      <c r="F257" s="8">
        <f>IFERROR(__xludf.DUMMYFUNCTION("""COMPUTED_VALUE"""),596.83)</f>
        <v>596.83</v>
      </c>
      <c r="H257" s="4">
        <f t="shared" si="1"/>
        <v>625.52</v>
      </c>
      <c r="I257" s="16">
        <f t="shared" si="2"/>
        <v>621.314</v>
      </c>
      <c r="J257" s="16">
        <f t="shared" si="3"/>
        <v>3.243259163</v>
      </c>
      <c r="K257" s="16">
        <f t="shared" si="4"/>
        <v>624.5572592</v>
      </c>
      <c r="L257" s="16">
        <f t="shared" si="5"/>
        <v>618.0707408</v>
      </c>
      <c r="N257" s="17" t="str">
        <f t="shared" si="6"/>
        <v>F</v>
      </c>
      <c r="O257" s="17" t="str">
        <f t="shared" si="7"/>
        <v>T</v>
      </c>
      <c r="P257" s="8">
        <f t="shared" si="8"/>
        <v>0</v>
      </c>
      <c r="R257" s="17" t="str">
        <f t="shared" si="9"/>
        <v>T</v>
      </c>
      <c r="S257" s="3" t="str">
        <f t="shared" si="10"/>
        <v>F</v>
      </c>
      <c r="T257" s="8">
        <f t="shared" si="11"/>
        <v>-1</v>
      </c>
      <c r="V257" s="4">
        <f t="shared" si="12"/>
        <v>-1</v>
      </c>
      <c r="W257" s="8">
        <f t="shared" si="13"/>
        <v>1.42</v>
      </c>
      <c r="X257" s="8">
        <f t="shared" si="14"/>
        <v>1.42</v>
      </c>
      <c r="Y257" s="8">
        <f t="shared" si="15"/>
        <v>-52.15</v>
      </c>
    </row>
    <row r="258">
      <c r="A258" s="2">
        <v>251.0</v>
      </c>
      <c r="B258" s="15">
        <f>IFERROR(__xludf.DUMMYFUNCTION("""COMPUTED_VALUE"""),42744.64583333333)</f>
        <v>42744.64583</v>
      </c>
      <c r="C258" s="8">
        <f>IFERROR(__xludf.DUMMYFUNCTION("""COMPUTED_VALUE"""),1223.55)</f>
        <v>1223.55</v>
      </c>
      <c r="E258" s="15">
        <f>IFERROR(__xludf.DUMMYFUNCTION("""COMPUTED_VALUE"""),42744.64583333333)</f>
        <v>42744.64583</v>
      </c>
      <c r="F258" s="8">
        <f>IFERROR(__xludf.DUMMYFUNCTION("""COMPUTED_VALUE"""),597.6)</f>
        <v>597.6</v>
      </c>
      <c r="H258" s="4">
        <f t="shared" si="1"/>
        <v>625.95</v>
      </c>
      <c r="I258" s="16">
        <f t="shared" si="2"/>
        <v>622.794</v>
      </c>
      <c r="J258" s="16">
        <f t="shared" si="3"/>
        <v>3.353196982</v>
      </c>
      <c r="K258" s="16">
        <f t="shared" si="4"/>
        <v>626.147197</v>
      </c>
      <c r="L258" s="16">
        <f t="shared" si="5"/>
        <v>619.440803</v>
      </c>
      <c r="N258" s="17" t="str">
        <f t="shared" si="6"/>
        <v>F</v>
      </c>
      <c r="O258" s="17" t="str">
        <f t="shared" si="7"/>
        <v>T</v>
      </c>
      <c r="P258" s="8">
        <f t="shared" si="8"/>
        <v>0</v>
      </c>
      <c r="R258" s="17" t="str">
        <f t="shared" si="9"/>
        <v>F</v>
      </c>
      <c r="S258" s="3" t="str">
        <f t="shared" si="10"/>
        <v>F</v>
      </c>
      <c r="T258" s="8">
        <f t="shared" si="11"/>
        <v>-1</v>
      </c>
      <c r="V258" s="4">
        <f t="shared" si="12"/>
        <v>-1</v>
      </c>
      <c r="W258" s="8">
        <f t="shared" si="13"/>
        <v>0.43</v>
      </c>
      <c r="X258" s="8">
        <f t="shared" si="14"/>
        <v>-0.43</v>
      </c>
      <c r="Y258" s="8">
        <f t="shared" si="15"/>
        <v>-52.58</v>
      </c>
    </row>
    <row r="259">
      <c r="A259" s="2">
        <v>252.0</v>
      </c>
      <c r="B259" s="15">
        <f>IFERROR(__xludf.DUMMYFUNCTION("""COMPUTED_VALUE"""),42745.64583333333)</f>
        <v>42745.64583</v>
      </c>
      <c r="C259" s="8">
        <f>IFERROR(__xludf.DUMMYFUNCTION("""COMPUTED_VALUE"""),1217.25)</f>
        <v>1217.25</v>
      </c>
      <c r="E259" s="15">
        <f>IFERROR(__xludf.DUMMYFUNCTION("""COMPUTED_VALUE"""),42745.64583333333)</f>
        <v>42745.64583</v>
      </c>
      <c r="F259" s="8">
        <f>IFERROR(__xludf.DUMMYFUNCTION("""COMPUTED_VALUE"""),607.17)</f>
        <v>607.17</v>
      </c>
      <c r="H259" s="4">
        <f t="shared" si="1"/>
        <v>610.08</v>
      </c>
      <c r="I259" s="16">
        <f t="shared" si="2"/>
        <v>621</v>
      </c>
      <c r="J259" s="16">
        <f t="shared" si="3"/>
        <v>6.642887174</v>
      </c>
      <c r="K259" s="16">
        <f t="shared" si="4"/>
        <v>627.6428872</v>
      </c>
      <c r="L259" s="16">
        <f t="shared" si="5"/>
        <v>614.3571128</v>
      </c>
      <c r="N259" s="17" t="str">
        <f t="shared" si="6"/>
        <v>T</v>
      </c>
      <c r="O259" s="17" t="str">
        <f t="shared" si="7"/>
        <v>F</v>
      </c>
      <c r="P259" s="8">
        <f t="shared" si="8"/>
        <v>1</v>
      </c>
      <c r="R259" s="17" t="str">
        <f t="shared" si="9"/>
        <v>F</v>
      </c>
      <c r="S259" s="3" t="str">
        <f t="shared" si="10"/>
        <v>T</v>
      </c>
      <c r="T259" s="8">
        <f t="shared" si="11"/>
        <v>0</v>
      </c>
      <c r="V259" s="4">
        <f t="shared" si="12"/>
        <v>1</v>
      </c>
      <c r="W259" s="8">
        <f t="shared" si="13"/>
        <v>-15.87</v>
      </c>
      <c r="X259" s="8">
        <f t="shared" si="14"/>
        <v>15.87</v>
      </c>
      <c r="Y259" s="8">
        <f t="shared" si="15"/>
        <v>-36.71</v>
      </c>
    </row>
    <row r="260">
      <c r="A260" s="2">
        <v>253.0</v>
      </c>
      <c r="B260" s="15">
        <f>IFERROR(__xludf.DUMMYFUNCTION("""COMPUTED_VALUE"""),42746.64583333333)</f>
        <v>42746.64583</v>
      </c>
      <c r="C260" s="8">
        <f>IFERROR(__xludf.DUMMYFUNCTION("""COMPUTED_VALUE"""),1228.0)</f>
        <v>1228</v>
      </c>
      <c r="E260" s="15">
        <f>IFERROR(__xludf.DUMMYFUNCTION("""COMPUTED_VALUE"""),42746.64583333333)</f>
        <v>42746.64583</v>
      </c>
      <c r="F260" s="8">
        <f>IFERROR(__xludf.DUMMYFUNCTION("""COMPUTED_VALUE"""),615.3)</f>
        <v>615.3</v>
      </c>
      <c r="H260" s="4">
        <f t="shared" si="1"/>
        <v>612.7</v>
      </c>
      <c r="I260" s="16">
        <f t="shared" si="2"/>
        <v>619.67</v>
      </c>
      <c r="J260" s="16">
        <f t="shared" si="3"/>
        <v>7.645828928</v>
      </c>
      <c r="K260" s="16">
        <f t="shared" si="4"/>
        <v>627.3158289</v>
      </c>
      <c r="L260" s="16">
        <f t="shared" si="5"/>
        <v>612.0241711</v>
      </c>
      <c r="N260" s="17" t="str">
        <f t="shared" si="6"/>
        <v>F</v>
      </c>
      <c r="O260" s="17" t="str">
        <f t="shared" si="7"/>
        <v>F</v>
      </c>
      <c r="P260" s="8">
        <f t="shared" si="8"/>
        <v>1</v>
      </c>
      <c r="R260" s="17" t="str">
        <f t="shared" si="9"/>
        <v>F</v>
      </c>
      <c r="S260" s="3" t="str">
        <f t="shared" si="10"/>
        <v>T</v>
      </c>
      <c r="T260" s="8">
        <f t="shared" si="11"/>
        <v>0</v>
      </c>
      <c r="V260" s="4">
        <f t="shared" si="12"/>
        <v>1</v>
      </c>
      <c r="W260" s="8">
        <f t="shared" si="13"/>
        <v>2.62</v>
      </c>
      <c r="X260" s="8">
        <f t="shared" si="14"/>
        <v>2.62</v>
      </c>
      <c r="Y260" s="8">
        <f t="shared" si="15"/>
        <v>-34.09</v>
      </c>
    </row>
    <row r="261">
      <c r="A261" s="2">
        <v>254.0</v>
      </c>
      <c r="B261" s="15">
        <f>IFERROR(__xludf.DUMMYFUNCTION("""COMPUTED_VALUE"""),42747.64583333333)</f>
        <v>42747.64583</v>
      </c>
      <c r="C261" s="8">
        <f>IFERROR(__xludf.DUMMYFUNCTION("""COMPUTED_VALUE"""),1221.1)</f>
        <v>1221.1</v>
      </c>
      <c r="E261" s="15">
        <f>IFERROR(__xludf.DUMMYFUNCTION("""COMPUTED_VALUE"""),42747.64583333333)</f>
        <v>42747.64583</v>
      </c>
      <c r="F261" s="8">
        <f>IFERROR(__xludf.DUMMYFUNCTION("""COMPUTED_VALUE"""),617.5)</f>
        <v>617.5</v>
      </c>
      <c r="H261" s="4">
        <f t="shared" si="1"/>
        <v>603.6</v>
      </c>
      <c r="I261" s="16">
        <f t="shared" si="2"/>
        <v>615.57</v>
      </c>
      <c r="J261" s="16">
        <f t="shared" si="3"/>
        <v>9.853994114</v>
      </c>
      <c r="K261" s="16">
        <f t="shared" si="4"/>
        <v>625.4239941</v>
      </c>
      <c r="L261" s="16">
        <f t="shared" si="5"/>
        <v>605.7160059</v>
      </c>
      <c r="N261" s="17" t="str">
        <f t="shared" si="6"/>
        <v>T</v>
      </c>
      <c r="O261" s="17" t="str">
        <f t="shared" si="7"/>
        <v>F</v>
      </c>
      <c r="P261" s="8">
        <f t="shared" si="8"/>
        <v>1</v>
      </c>
      <c r="R261" s="17" t="str">
        <f t="shared" si="9"/>
        <v>F</v>
      </c>
      <c r="S261" s="3" t="str">
        <f t="shared" si="10"/>
        <v>T</v>
      </c>
      <c r="T261" s="8">
        <f t="shared" si="11"/>
        <v>0</v>
      </c>
      <c r="V261" s="4">
        <f t="shared" si="12"/>
        <v>1</v>
      </c>
      <c r="W261" s="8">
        <f t="shared" si="13"/>
        <v>-9.1</v>
      </c>
      <c r="X261" s="8">
        <f t="shared" si="14"/>
        <v>-9.1</v>
      </c>
      <c r="Y261" s="8">
        <f t="shared" si="15"/>
        <v>-43.19</v>
      </c>
    </row>
    <row r="262">
      <c r="A262" s="2">
        <v>255.0</v>
      </c>
      <c r="B262" s="15">
        <f>IFERROR(__xludf.DUMMYFUNCTION("""COMPUTED_VALUE"""),42748.64583333333)</f>
        <v>42748.64583</v>
      </c>
      <c r="C262" s="8">
        <f>IFERROR(__xludf.DUMMYFUNCTION("""COMPUTED_VALUE"""),1247.5)</f>
        <v>1247.5</v>
      </c>
      <c r="E262" s="15">
        <f>IFERROR(__xludf.DUMMYFUNCTION("""COMPUTED_VALUE"""),42748.64583333333)</f>
        <v>42748.64583</v>
      </c>
      <c r="F262" s="8">
        <f>IFERROR(__xludf.DUMMYFUNCTION("""COMPUTED_VALUE"""),616.25)</f>
        <v>616.25</v>
      </c>
      <c r="H262" s="4">
        <f t="shared" si="1"/>
        <v>631.25</v>
      </c>
      <c r="I262" s="16">
        <f t="shared" si="2"/>
        <v>616.716</v>
      </c>
      <c r="J262" s="16">
        <f t="shared" si="3"/>
        <v>11.49671823</v>
      </c>
      <c r="K262" s="16">
        <f t="shared" si="4"/>
        <v>628.2127182</v>
      </c>
      <c r="L262" s="16">
        <f t="shared" si="5"/>
        <v>605.2192818</v>
      </c>
      <c r="N262" s="17" t="str">
        <f t="shared" si="6"/>
        <v>F</v>
      </c>
      <c r="O262" s="17" t="str">
        <f t="shared" si="7"/>
        <v>T</v>
      </c>
      <c r="P262" s="8">
        <f t="shared" si="8"/>
        <v>0</v>
      </c>
      <c r="R262" s="17" t="str">
        <f t="shared" si="9"/>
        <v>T</v>
      </c>
      <c r="S262" s="3" t="str">
        <f t="shared" si="10"/>
        <v>F</v>
      </c>
      <c r="T262" s="8">
        <f t="shared" si="11"/>
        <v>-1</v>
      </c>
      <c r="V262" s="4">
        <f t="shared" si="12"/>
        <v>-1</v>
      </c>
      <c r="W262" s="8">
        <f t="shared" si="13"/>
        <v>27.65</v>
      </c>
      <c r="X262" s="8">
        <f t="shared" si="14"/>
        <v>27.65</v>
      </c>
      <c r="Y262" s="8">
        <f t="shared" si="15"/>
        <v>-15.54</v>
      </c>
    </row>
    <row r="263">
      <c r="A263" s="2">
        <v>256.0</v>
      </c>
      <c r="B263" s="15">
        <f>IFERROR(__xludf.DUMMYFUNCTION("""COMPUTED_VALUE"""),42751.64583333333)</f>
        <v>42751.64583</v>
      </c>
      <c r="C263" s="8">
        <f>IFERROR(__xludf.DUMMYFUNCTION("""COMPUTED_VALUE"""),1256.9)</f>
        <v>1256.9</v>
      </c>
      <c r="E263" s="15">
        <f>IFERROR(__xludf.DUMMYFUNCTION("""COMPUTED_VALUE"""),42751.64583333333)</f>
        <v>42751.64583</v>
      </c>
      <c r="F263" s="8">
        <f>IFERROR(__xludf.DUMMYFUNCTION("""COMPUTED_VALUE"""),623.83)</f>
        <v>623.83</v>
      </c>
      <c r="H263" s="4">
        <f t="shared" si="1"/>
        <v>633.07</v>
      </c>
      <c r="I263" s="16">
        <f t="shared" si="2"/>
        <v>618.14</v>
      </c>
      <c r="J263" s="16">
        <f t="shared" si="3"/>
        <v>13.23580183</v>
      </c>
      <c r="K263" s="16">
        <f t="shared" si="4"/>
        <v>631.3758018</v>
      </c>
      <c r="L263" s="16">
        <f t="shared" si="5"/>
        <v>604.9041982</v>
      </c>
      <c r="N263" s="17" t="str">
        <f t="shared" si="6"/>
        <v>F</v>
      </c>
      <c r="O263" s="17" t="str">
        <f t="shared" si="7"/>
        <v>T</v>
      </c>
      <c r="P263" s="8">
        <f t="shared" si="8"/>
        <v>0</v>
      </c>
      <c r="R263" s="17" t="str">
        <f t="shared" si="9"/>
        <v>T</v>
      </c>
      <c r="S263" s="3" t="str">
        <f t="shared" si="10"/>
        <v>F</v>
      </c>
      <c r="T263" s="8">
        <f t="shared" si="11"/>
        <v>-1</v>
      </c>
      <c r="V263" s="4">
        <f t="shared" si="12"/>
        <v>-1</v>
      </c>
      <c r="W263" s="8">
        <f t="shared" si="13"/>
        <v>1.82</v>
      </c>
      <c r="X263" s="8">
        <f t="shared" si="14"/>
        <v>-1.82</v>
      </c>
      <c r="Y263" s="8">
        <f t="shared" si="15"/>
        <v>-17.36</v>
      </c>
    </row>
    <row r="264">
      <c r="A264" s="2">
        <v>257.0</v>
      </c>
      <c r="B264" s="15">
        <f>IFERROR(__xludf.DUMMYFUNCTION("""COMPUTED_VALUE"""),42752.64583333333)</f>
        <v>42752.64583</v>
      </c>
      <c r="C264" s="8">
        <f>IFERROR(__xludf.DUMMYFUNCTION("""COMPUTED_VALUE"""),1245.8)</f>
        <v>1245.8</v>
      </c>
      <c r="E264" s="15">
        <f>IFERROR(__xludf.DUMMYFUNCTION("""COMPUTED_VALUE"""),42752.64583333333)</f>
        <v>42752.64583</v>
      </c>
      <c r="F264" s="8">
        <f>IFERROR(__xludf.DUMMYFUNCTION("""COMPUTED_VALUE"""),619.25)</f>
        <v>619.25</v>
      </c>
      <c r="H264" s="4">
        <f t="shared" si="1"/>
        <v>626.55</v>
      </c>
      <c r="I264" s="16">
        <f t="shared" si="2"/>
        <v>621.434</v>
      </c>
      <c r="J264" s="16">
        <f t="shared" si="3"/>
        <v>12.76967227</v>
      </c>
      <c r="K264" s="16">
        <f t="shared" si="4"/>
        <v>634.2036723</v>
      </c>
      <c r="L264" s="16">
        <f t="shared" si="5"/>
        <v>608.6643277</v>
      </c>
      <c r="N264" s="17" t="str">
        <f t="shared" si="6"/>
        <v>F</v>
      </c>
      <c r="O264" s="17" t="str">
        <f t="shared" si="7"/>
        <v>T</v>
      </c>
      <c r="P264" s="8">
        <f t="shared" si="8"/>
        <v>0</v>
      </c>
      <c r="R264" s="17" t="str">
        <f t="shared" si="9"/>
        <v>F</v>
      </c>
      <c r="S264" s="3" t="str">
        <f t="shared" si="10"/>
        <v>F</v>
      </c>
      <c r="T264" s="8">
        <f t="shared" si="11"/>
        <v>-1</v>
      </c>
      <c r="V264" s="4">
        <f t="shared" si="12"/>
        <v>-1</v>
      </c>
      <c r="W264" s="8">
        <f t="shared" si="13"/>
        <v>-6.52</v>
      </c>
      <c r="X264" s="8">
        <f t="shared" si="14"/>
        <v>6.52</v>
      </c>
      <c r="Y264" s="8">
        <f t="shared" si="15"/>
        <v>-10.84</v>
      </c>
    </row>
    <row r="265">
      <c r="A265" s="2">
        <v>258.0</v>
      </c>
      <c r="B265" s="15">
        <f>IFERROR(__xludf.DUMMYFUNCTION("""COMPUTED_VALUE"""),42753.64583333333)</f>
        <v>42753.64583</v>
      </c>
      <c r="C265" s="8">
        <f>IFERROR(__xludf.DUMMYFUNCTION("""COMPUTED_VALUE"""),1249.05)</f>
        <v>1249.05</v>
      </c>
      <c r="E265" s="15">
        <f>IFERROR(__xludf.DUMMYFUNCTION("""COMPUTED_VALUE"""),42753.64583333333)</f>
        <v>42753.64583</v>
      </c>
      <c r="F265" s="8">
        <f>IFERROR(__xludf.DUMMYFUNCTION("""COMPUTED_VALUE"""),621.3)</f>
        <v>621.3</v>
      </c>
      <c r="H265" s="4">
        <f t="shared" si="1"/>
        <v>627.75</v>
      </c>
      <c r="I265" s="16">
        <f t="shared" si="2"/>
        <v>624.444</v>
      </c>
      <c r="J265" s="16">
        <f t="shared" si="3"/>
        <v>11.94326923</v>
      </c>
      <c r="K265" s="16">
        <f t="shared" si="4"/>
        <v>636.3872692</v>
      </c>
      <c r="L265" s="16">
        <f t="shared" si="5"/>
        <v>612.5007308</v>
      </c>
      <c r="N265" s="17" t="str">
        <f t="shared" si="6"/>
        <v>F</v>
      </c>
      <c r="O265" s="17" t="str">
        <f t="shared" si="7"/>
        <v>T</v>
      </c>
      <c r="P265" s="8">
        <f t="shared" si="8"/>
        <v>0</v>
      </c>
      <c r="R265" s="17" t="str">
        <f t="shared" si="9"/>
        <v>F</v>
      </c>
      <c r="S265" s="3" t="str">
        <f t="shared" si="10"/>
        <v>F</v>
      </c>
      <c r="T265" s="8">
        <f t="shared" si="11"/>
        <v>-1</v>
      </c>
      <c r="V265" s="4">
        <f t="shared" si="12"/>
        <v>-1</v>
      </c>
      <c r="W265" s="8">
        <f t="shared" si="13"/>
        <v>1.2</v>
      </c>
      <c r="X265" s="8">
        <f t="shared" si="14"/>
        <v>-1.2</v>
      </c>
      <c r="Y265" s="8">
        <f t="shared" si="15"/>
        <v>-12.04</v>
      </c>
    </row>
    <row r="266">
      <c r="A266" s="2">
        <v>259.0</v>
      </c>
      <c r="B266" s="15">
        <f>IFERROR(__xludf.DUMMYFUNCTION("""COMPUTED_VALUE"""),42754.64583333333)</f>
        <v>42754.64583</v>
      </c>
      <c r="C266" s="8">
        <f>IFERROR(__xludf.DUMMYFUNCTION("""COMPUTED_VALUE"""),1242.4)</f>
        <v>1242.4</v>
      </c>
      <c r="E266" s="15">
        <f>IFERROR(__xludf.DUMMYFUNCTION("""COMPUTED_VALUE"""),42754.64583333333)</f>
        <v>42754.64583</v>
      </c>
      <c r="F266" s="8">
        <f>IFERROR(__xludf.DUMMYFUNCTION("""COMPUTED_VALUE"""),618.15)</f>
        <v>618.15</v>
      </c>
      <c r="H266" s="4">
        <f t="shared" si="1"/>
        <v>624.25</v>
      </c>
      <c r="I266" s="16">
        <f t="shared" si="2"/>
        <v>628.574</v>
      </c>
      <c r="J266" s="16">
        <f t="shared" si="3"/>
        <v>3.565372351</v>
      </c>
      <c r="K266" s="16">
        <f t="shared" si="4"/>
        <v>632.1393724</v>
      </c>
      <c r="L266" s="16">
        <f t="shared" si="5"/>
        <v>625.0086276</v>
      </c>
      <c r="N266" s="17" t="str">
        <f t="shared" si="6"/>
        <v>T</v>
      </c>
      <c r="O266" s="17" t="str">
        <f t="shared" si="7"/>
        <v>F</v>
      </c>
      <c r="P266" s="8">
        <f t="shared" si="8"/>
        <v>1</v>
      </c>
      <c r="R266" s="17" t="str">
        <f t="shared" si="9"/>
        <v>F</v>
      </c>
      <c r="S266" s="3" t="str">
        <f t="shared" si="10"/>
        <v>T</v>
      </c>
      <c r="T266" s="8">
        <f t="shared" si="11"/>
        <v>0</v>
      </c>
      <c r="V266" s="4">
        <f t="shared" si="12"/>
        <v>1</v>
      </c>
      <c r="W266" s="8">
        <f t="shared" si="13"/>
        <v>-3.5</v>
      </c>
      <c r="X266" s="8">
        <f t="shared" si="14"/>
        <v>3.5</v>
      </c>
      <c r="Y266" s="8">
        <f t="shared" si="15"/>
        <v>-8.54</v>
      </c>
    </row>
    <row r="267">
      <c r="A267" s="2">
        <v>260.0</v>
      </c>
      <c r="B267" s="15">
        <f>IFERROR(__xludf.DUMMYFUNCTION("""COMPUTED_VALUE"""),42755.64583333333)</f>
        <v>42755.64583</v>
      </c>
      <c r="C267" s="8">
        <f>IFERROR(__xludf.DUMMYFUNCTION("""COMPUTED_VALUE"""),1237.3)</f>
        <v>1237.3</v>
      </c>
      <c r="E267" s="15">
        <f>IFERROR(__xludf.DUMMYFUNCTION("""COMPUTED_VALUE"""),42755.64583333333)</f>
        <v>42755.64583</v>
      </c>
      <c r="F267" s="8">
        <f>IFERROR(__xludf.DUMMYFUNCTION("""COMPUTED_VALUE"""),618.17)</f>
        <v>618.17</v>
      </c>
      <c r="H267" s="4">
        <f t="shared" si="1"/>
        <v>619.13</v>
      </c>
      <c r="I267" s="16">
        <f t="shared" si="2"/>
        <v>626.15</v>
      </c>
      <c r="J267" s="16">
        <f t="shared" si="3"/>
        <v>5.086668851</v>
      </c>
      <c r="K267" s="16">
        <f t="shared" si="4"/>
        <v>631.2366689</v>
      </c>
      <c r="L267" s="16">
        <f t="shared" si="5"/>
        <v>621.0633311</v>
      </c>
      <c r="N267" s="17" t="str">
        <f t="shared" si="6"/>
        <v>T</v>
      </c>
      <c r="O267" s="17" t="str">
        <f t="shared" si="7"/>
        <v>F</v>
      </c>
      <c r="P267" s="8">
        <f t="shared" si="8"/>
        <v>1</v>
      </c>
      <c r="R267" s="17" t="str">
        <f t="shared" si="9"/>
        <v>F</v>
      </c>
      <c r="S267" s="3" t="str">
        <f t="shared" si="10"/>
        <v>T</v>
      </c>
      <c r="T267" s="8">
        <f t="shared" si="11"/>
        <v>0</v>
      </c>
      <c r="V267" s="4">
        <f t="shared" si="12"/>
        <v>1</v>
      </c>
      <c r="W267" s="8">
        <f t="shared" si="13"/>
        <v>-5.12</v>
      </c>
      <c r="X267" s="8">
        <f t="shared" si="14"/>
        <v>-5.12</v>
      </c>
      <c r="Y267" s="8">
        <f t="shared" si="15"/>
        <v>-13.66</v>
      </c>
    </row>
    <row r="268">
      <c r="A268" s="2">
        <v>261.0</v>
      </c>
      <c r="B268" s="15">
        <f>IFERROR(__xludf.DUMMYFUNCTION("""COMPUTED_VALUE"""),42758.64583333333)</f>
        <v>42758.64583</v>
      </c>
      <c r="C268" s="8">
        <f>IFERROR(__xludf.DUMMYFUNCTION("""COMPUTED_VALUE"""),1259.75)</f>
        <v>1259.75</v>
      </c>
      <c r="E268" s="15">
        <f>IFERROR(__xludf.DUMMYFUNCTION("""COMPUTED_VALUE"""),42758.64583333333)</f>
        <v>42758.64583</v>
      </c>
      <c r="F268" s="8">
        <f>IFERROR(__xludf.DUMMYFUNCTION("""COMPUTED_VALUE"""),622.33)</f>
        <v>622.33</v>
      </c>
      <c r="H268" s="4">
        <f t="shared" si="1"/>
        <v>637.42</v>
      </c>
      <c r="I268" s="16">
        <f t="shared" si="2"/>
        <v>627.02</v>
      </c>
      <c r="J268" s="16">
        <f t="shared" si="3"/>
        <v>6.686531238</v>
      </c>
      <c r="K268" s="16">
        <f t="shared" si="4"/>
        <v>633.7065312</v>
      </c>
      <c r="L268" s="16">
        <f t="shared" si="5"/>
        <v>620.3334688</v>
      </c>
      <c r="N268" s="17" t="str">
        <f t="shared" si="6"/>
        <v>F</v>
      </c>
      <c r="O268" s="17" t="str">
        <f t="shared" si="7"/>
        <v>T</v>
      </c>
      <c r="P268" s="8">
        <f t="shared" si="8"/>
        <v>0</v>
      </c>
      <c r="R268" s="17" t="str">
        <f t="shared" si="9"/>
        <v>T</v>
      </c>
      <c r="S268" s="3" t="str">
        <f t="shared" si="10"/>
        <v>F</v>
      </c>
      <c r="T268" s="8">
        <f t="shared" si="11"/>
        <v>-1</v>
      </c>
      <c r="V268" s="4">
        <f t="shared" si="12"/>
        <v>-1</v>
      </c>
      <c r="W268" s="8">
        <f t="shared" si="13"/>
        <v>18.29</v>
      </c>
      <c r="X268" s="8">
        <f t="shared" si="14"/>
        <v>18.29</v>
      </c>
      <c r="Y268" s="8">
        <f t="shared" si="15"/>
        <v>4.63</v>
      </c>
    </row>
    <row r="269">
      <c r="A269" s="2">
        <v>262.0</v>
      </c>
      <c r="B269" s="15">
        <f>IFERROR(__xludf.DUMMYFUNCTION("""COMPUTED_VALUE"""),42759.64583333333)</f>
        <v>42759.64583</v>
      </c>
      <c r="C269" s="8">
        <f>IFERROR(__xludf.DUMMYFUNCTION("""COMPUTED_VALUE"""),1280.75)</f>
        <v>1280.75</v>
      </c>
      <c r="E269" s="15">
        <f>IFERROR(__xludf.DUMMYFUNCTION("""COMPUTED_VALUE"""),42759.64583333333)</f>
        <v>42759.64583</v>
      </c>
      <c r="F269" s="8">
        <f>IFERROR(__xludf.DUMMYFUNCTION("""COMPUTED_VALUE"""),633.78)</f>
        <v>633.78</v>
      </c>
      <c r="H269" s="4">
        <f t="shared" si="1"/>
        <v>646.97</v>
      </c>
      <c r="I269" s="16">
        <f t="shared" si="2"/>
        <v>631.104</v>
      </c>
      <c r="J269" s="16">
        <f t="shared" si="3"/>
        <v>11.10433609</v>
      </c>
      <c r="K269" s="16">
        <f t="shared" si="4"/>
        <v>642.2083361</v>
      </c>
      <c r="L269" s="16">
        <f t="shared" si="5"/>
        <v>619.9996639</v>
      </c>
      <c r="N269" s="17" t="str">
        <f t="shared" si="6"/>
        <v>F</v>
      </c>
      <c r="O269" s="17" t="str">
        <f t="shared" si="7"/>
        <v>T</v>
      </c>
      <c r="P269" s="8">
        <f t="shared" si="8"/>
        <v>0</v>
      </c>
      <c r="R269" s="17" t="str">
        <f t="shared" si="9"/>
        <v>T</v>
      </c>
      <c r="S269" s="3" t="str">
        <f t="shared" si="10"/>
        <v>F</v>
      </c>
      <c r="T269" s="8">
        <f t="shared" si="11"/>
        <v>-1</v>
      </c>
      <c r="V269" s="4">
        <f t="shared" si="12"/>
        <v>-1</v>
      </c>
      <c r="W269" s="8">
        <f t="shared" si="13"/>
        <v>9.55</v>
      </c>
      <c r="X269" s="8">
        <f t="shared" si="14"/>
        <v>-9.55</v>
      </c>
      <c r="Y269" s="8">
        <f t="shared" si="15"/>
        <v>-4.92</v>
      </c>
    </row>
    <row r="270">
      <c r="A270" s="2">
        <v>263.0</v>
      </c>
      <c r="B270" s="15">
        <f>IFERROR(__xludf.DUMMYFUNCTION("""COMPUTED_VALUE"""),42760.64583333333)</f>
        <v>42760.64583</v>
      </c>
      <c r="C270" s="8">
        <f>IFERROR(__xludf.DUMMYFUNCTION("""COMPUTED_VALUE"""),1337.4)</f>
        <v>1337.4</v>
      </c>
      <c r="E270" s="15">
        <f>IFERROR(__xludf.DUMMYFUNCTION("""COMPUTED_VALUE"""),42760.64583333333)</f>
        <v>42760.64583</v>
      </c>
      <c r="F270" s="8">
        <f>IFERROR(__xludf.DUMMYFUNCTION("""COMPUTED_VALUE"""),645.3)</f>
        <v>645.3</v>
      </c>
      <c r="H270" s="4">
        <f t="shared" si="1"/>
        <v>692.1</v>
      </c>
      <c r="I270" s="16">
        <f t="shared" si="2"/>
        <v>643.974</v>
      </c>
      <c r="J270" s="16">
        <f t="shared" si="3"/>
        <v>29.04437691</v>
      </c>
      <c r="K270" s="16">
        <f t="shared" si="4"/>
        <v>673.0183769</v>
      </c>
      <c r="L270" s="16">
        <f t="shared" si="5"/>
        <v>614.9296231</v>
      </c>
      <c r="N270" s="17" t="str">
        <f t="shared" si="6"/>
        <v>F</v>
      </c>
      <c r="O270" s="17" t="str">
        <f t="shared" si="7"/>
        <v>T</v>
      </c>
      <c r="P270" s="8">
        <f t="shared" si="8"/>
        <v>0</v>
      </c>
      <c r="R270" s="17" t="str">
        <f t="shared" si="9"/>
        <v>T</v>
      </c>
      <c r="S270" s="3" t="str">
        <f t="shared" si="10"/>
        <v>F</v>
      </c>
      <c r="T270" s="8">
        <f t="shared" si="11"/>
        <v>-1</v>
      </c>
      <c r="V270" s="4">
        <f t="shared" si="12"/>
        <v>-1</v>
      </c>
      <c r="W270" s="8">
        <f t="shared" si="13"/>
        <v>45.13</v>
      </c>
      <c r="X270" s="8">
        <f t="shared" si="14"/>
        <v>-45.13</v>
      </c>
      <c r="Y270" s="8">
        <f t="shared" si="15"/>
        <v>-50.05</v>
      </c>
    </row>
    <row r="271">
      <c r="A271" s="2">
        <v>264.0</v>
      </c>
      <c r="B271" s="15">
        <f>IFERROR(__xludf.DUMMYFUNCTION("""COMPUTED_VALUE"""),42762.64583333333)</f>
        <v>42762.64583</v>
      </c>
      <c r="C271" s="8">
        <f>IFERROR(__xludf.DUMMYFUNCTION("""COMPUTED_VALUE"""),1373.7)</f>
        <v>1373.7</v>
      </c>
      <c r="E271" s="15">
        <f>IFERROR(__xludf.DUMMYFUNCTION("""COMPUTED_VALUE"""),42762.64583333333)</f>
        <v>42762.64583</v>
      </c>
      <c r="F271" s="8">
        <f>IFERROR(__xludf.DUMMYFUNCTION("""COMPUTED_VALUE"""),645.95)</f>
        <v>645.95</v>
      </c>
      <c r="H271" s="4">
        <f t="shared" si="1"/>
        <v>727.75</v>
      </c>
      <c r="I271" s="16">
        <f t="shared" si="2"/>
        <v>664.674</v>
      </c>
      <c r="J271" s="16">
        <f t="shared" si="3"/>
        <v>44.33180382</v>
      </c>
      <c r="K271" s="16">
        <f t="shared" si="4"/>
        <v>709.0058038</v>
      </c>
      <c r="L271" s="16">
        <f t="shared" si="5"/>
        <v>620.3421962</v>
      </c>
      <c r="N271" s="17" t="str">
        <f t="shared" si="6"/>
        <v>F</v>
      </c>
      <c r="O271" s="17" t="str">
        <f t="shared" si="7"/>
        <v>T</v>
      </c>
      <c r="P271" s="8">
        <f t="shared" si="8"/>
        <v>0</v>
      </c>
      <c r="R271" s="17" t="str">
        <f t="shared" si="9"/>
        <v>T</v>
      </c>
      <c r="S271" s="3" t="str">
        <f t="shared" si="10"/>
        <v>F</v>
      </c>
      <c r="T271" s="8">
        <f t="shared" si="11"/>
        <v>-1</v>
      </c>
      <c r="V271" s="4">
        <f t="shared" si="12"/>
        <v>-1</v>
      </c>
      <c r="W271" s="8">
        <f t="shared" si="13"/>
        <v>35.65</v>
      </c>
      <c r="X271" s="8">
        <f t="shared" si="14"/>
        <v>-35.65</v>
      </c>
      <c r="Y271" s="8">
        <f t="shared" si="15"/>
        <v>-85.7</v>
      </c>
    </row>
    <row r="272">
      <c r="A272" s="2">
        <v>265.0</v>
      </c>
      <c r="B272" s="15">
        <f>IFERROR(__xludf.DUMMYFUNCTION("""COMPUTED_VALUE"""),42765.64583333333)</f>
        <v>42765.64583</v>
      </c>
      <c r="C272" s="8">
        <f>IFERROR(__xludf.DUMMYFUNCTION("""COMPUTED_VALUE"""),1371.9)</f>
        <v>1371.9</v>
      </c>
      <c r="E272" s="15">
        <f>IFERROR(__xludf.DUMMYFUNCTION("""COMPUTED_VALUE"""),42765.64583333333)</f>
        <v>42765.64583</v>
      </c>
      <c r="F272" s="8">
        <f>IFERROR(__xludf.DUMMYFUNCTION("""COMPUTED_VALUE"""),642.48)</f>
        <v>642.48</v>
      </c>
      <c r="H272" s="4">
        <f t="shared" si="1"/>
        <v>729.42</v>
      </c>
      <c r="I272" s="16">
        <f t="shared" si="2"/>
        <v>686.732</v>
      </c>
      <c r="J272" s="16">
        <f t="shared" si="3"/>
        <v>43.43456884</v>
      </c>
      <c r="K272" s="16">
        <f t="shared" si="4"/>
        <v>730.1665688</v>
      </c>
      <c r="L272" s="16">
        <f t="shared" si="5"/>
        <v>643.2974312</v>
      </c>
      <c r="N272" s="17" t="str">
        <f t="shared" si="6"/>
        <v>F</v>
      </c>
      <c r="O272" s="17" t="str">
        <f t="shared" si="7"/>
        <v>T</v>
      </c>
      <c r="P272" s="8">
        <f t="shared" si="8"/>
        <v>0</v>
      </c>
      <c r="R272" s="17" t="str">
        <f t="shared" si="9"/>
        <v>F</v>
      </c>
      <c r="S272" s="3" t="str">
        <f t="shared" si="10"/>
        <v>F</v>
      </c>
      <c r="T272" s="8">
        <f t="shared" si="11"/>
        <v>-1</v>
      </c>
      <c r="V272" s="4">
        <f t="shared" si="12"/>
        <v>-1</v>
      </c>
      <c r="W272" s="8">
        <f t="shared" si="13"/>
        <v>1.67</v>
      </c>
      <c r="X272" s="8">
        <f t="shared" si="14"/>
        <v>-1.67</v>
      </c>
      <c r="Y272" s="8">
        <f t="shared" si="15"/>
        <v>-87.37</v>
      </c>
    </row>
    <row r="273">
      <c r="A273" s="2">
        <v>266.0</v>
      </c>
      <c r="B273" s="15">
        <f>IFERROR(__xludf.DUMMYFUNCTION("""COMPUTED_VALUE"""),42766.64583333333)</f>
        <v>42766.64583</v>
      </c>
      <c r="C273" s="8">
        <f>IFERROR(__xludf.DUMMYFUNCTION("""COMPUTED_VALUE"""),1365.85)</f>
        <v>1365.85</v>
      </c>
      <c r="E273" s="15">
        <f>IFERROR(__xludf.DUMMYFUNCTION("""COMPUTED_VALUE"""),42766.64583333333)</f>
        <v>42766.64583</v>
      </c>
      <c r="F273" s="8">
        <f>IFERROR(__xludf.DUMMYFUNCTION("""COMPUTED_VALUE"""),643.33)</f>
        <v>643.33</v>
      </c>
      <c r="H273" s="4">
        <f t="shared" si="1"/>
        <v>722.52</v>
      </c>
      <c r="I273" s="16">
        <f t="shared" si="2"/>
        <v>703.752</v>
      </c>
      <c r="J273" s="16">
        <f t="shared" si="3"/>
        <v>35.16728835</v>
      </c>
      <c r="K273" s="16">
        <f t="shared" si="4"/>
        <v>738.9192884</v>
      </c>
      <c r="L273" s="16">
        <f t="shared" si="5"/>
        <v>668.5847116</v>
      </c>
      <c r="N273" s="17" t="str">
        <f t="shared" si="6"/>
        <v>F</v>
      </c>
      <c r="O273" s="17" t="str">
        <f t="shared" si="7"/>
        <v>T</v>
      </c>
      <c r="P273" s="8">
        <f t="shared" si="8"/>
        <v>0</v>
      </c>
      <c r="R273" s="17" t="str">
        <f t="shared" si="9"/>
        <v>F</v>
      </c>
      <c r="S273" s="3" t="str">
        <f t="shared" si="10"/>
        <v>F</v>
      </c>
      <c r="T273" s="8">
        <f t="shared" si="11"/>
        <v>-1</v>
      </c>
      <c r="V273" s="4">
        <f t="shared" si="12"/>
        <v>-1</v>
      </c>
      <c r="W273" s="8">
        <f t="shared" si="13"/>
        <v>-6.9</v>
      </c>
      <c r="X273" s="8">
        <f t="shared" si="14"/>
        <v>6.9</v>
      </c>
      <c r="Y273" s="8">
        <f t="shared" si="15"/>
        <v>-80.47</v>
      </c>
    </row>
    <row r="274">
      <c r="A274" s="2">
        <v>267.0</v>
      </c>
      <c r="B274" s="15">
        <f>IFERROR(__xludf.DUMMYFUNCTION("""COMPUTED_VALUE"""),42767.64583333333)</f>
        <v>42767.64583</v>
      </c>
      <c r="C274" s="8">
        <f>IFERROR(__xludf.DUMMYFUNCTION("""COMPUTED_VALUE"""),1412.1)</f>
        <v>1412.1</v>
      </c>
      <c r="E274" s="15">
        <f>IFERROR(__xludf.DUMMYFUNCTION("""COMPUTED_VALUE"""),42767.64583333333)</f>
        <v>42767.64583</v>
      </c>
      <c r="F274" s="8">
        <f>IFERROR(__xludf.DUMMYFUNCTION("""COMPUTED_VALUE"""),652.85)</f>
        <v>652.85</v>
      </c>
      <c r="H274" s="4">
        <f t="shared" si="1"/>
        <v>759.25</v>
      </c>
      <c r="I274" s="16">
        <f t="shared" si="2"/>
        <v>726.208</v>
      </c>
      <c r="J274" s="16">
        <f t="shared" si="3"/>
        <v>23.88213495</v>
      </c>
      <c r="K274" s="16">
        <f t="shared" si="4"/>
        <v>750.090135</v>
      </c>
      <c r="L274" s="16">
        <f t="shared" si="5"/>
        <v>702.325865</v>
      </c>
      <c r="N274" s="17" t="str">
        <f t="shared" si="6"/>
        <v>F</v>
      </c>
      <c r="O274" s="17" t="str">
        <f t="shared" si="7"/>
        <v>T</v>
      </c>
      <c r="P274" s="8">
        <f t="shared" si="8"/>
        <v>0</v>
      </c>
      <c r="R274" s="17" t="str">
        <f t="shared" si="9"/>
        <v>T</v>
      </c>
      <c r="S274" s="3" t="str">
        <f t="shared" si="10"/>
        <v>F</v>
      </c>
      <c r="T274" s="8">
        <f t="shared" si="11"/>
        <v>-1</v>
      </c>
      <c r="V274" s="4">
        <f t="shared" si="12"/>
        <v>-1</v>
      </c>
      <c r="W274" s="8">
        <f t="shared" si="13"/>
        <v>36.73</v>
      </c>
      <c r="X274" s="8">
        <f t="shared" si="14"/>
        <v>-36.73</v>
      </c>
      <c r="Y274" s="8">
        <f t="shared" si="15"/>
        <v>-117.2</v>
      </c>
    </row>
    <row r="275">
      <c r="A275" s="2">
        <v>268.0</v>
      </c>
      <c r="B275" s="15">
        <f>IFERROR(__xludf.DUMMYFUNCTION("""COMPUTED_VALUE"""),42768.64583333333)</f>
        <v>42768.64583</v>
      </c>
      <c r="C275" s="8">
        <f>IFERROR(__xludf.DUMMYFUNCTION("""COMPUTED_VALUE"""),1401.3)</f>
        <v>1401.3</v>
      </c>
      <c r="E275" s="15">
        <f>IFERROR(__xludf.DUMMYFUNCTION("""COMPUTED_VALUE"""),42768.64583333333)</f>
        <v>42768.64583</v>
      </c>
      <c r="F275" s="8">
        <f>IFERROR(__xludf.DUMMYFUNCTION("""COMPUTED_VALUE"""),649.35)</f>
        <v>649.35</v>
      </c>
      <c r="H275" s="4">
        <f t="shared" si="1"/>
        <v>751.95</v>
      </c>
      <c r="I275" s="16">
        <f t="shared" si="2"/>
        <v>738.178</v>
      </c>
      <c r="J275" s="16">
        <f t="shared" si="3"/>
        <v>16.31192723</v>
      </c>
      <c r="K275" s="16">
        <f t="shared" si="4"/>
        <v>754.4899272</v>
      </c>
      <c r="L275" s="16">
        <f t="shared" si="5"/>
        <v>721.8660728</v>
      </c>
      <c r="N275" s="17" t="str">
        <f t="shared" si="6"/>
        <v>F</v>
      </c>
      <c r="O275" s="17" t="str">
        <f t="shared" si="7"/>
        <v>T</v>
      </c>
      <c r="P275" s="8">
        <f t="shared" si="8"/>
        <v>0</v>
      </c>
      <c r="R275" s="17" t="str">
        <f t="shared" si="9"/>
        <v>F</v>
      </c>
      <c r="S275" s="3" t="str">
        <f t="shared" si="10"/>
        <v>F</v>
      </c>
      <c r="T275" s="8">
        <f t="shared" si="11"/>
        <v>-1</v>
      </c>
      <c r="V275" s="4">
        <f t="shared" si="12"/>
        <v>-1</v>
      </c>
      <c r="W275" s="8">
        <f t="shared" si="13"/>
        <v>-7.3</v>
      </c>
      <c r="X275" s="8">
        <f t="shared" si="14"/>
        <v>7.3</v>
      </c>
      <c r="Y275" s="8">
        <f t="shared" si="15"/>
        <v>-109.9</v>
      </c>
    </row>
    <row r="276">
      <c r="A276" s="2">
        <v>269.0</v>
      </c>
      <c r="B276" s="15">
        <f>IFERROR(__xludf.DUMMYFUNCTION("""COMPUTED_VALUE"""),42769.64583333333)</f>
        <v>42769.64583</v>
      </c>
      <c r="C276" s="8">
        <f>IFERROR(__xludf.DUMMYFUNCTION("""COMPUTED_VALUE"""),1397.45)</f>
        <v>1397.45</v>
      </c>
      <c r="E276" s="15">
        <f>IFERROR(__xludf.DUMMYFUNCTION("""COMPUTED_VALUE"""),42769.64583333333)</f>
        <v>42769.64583</v>
      </c>
      <c r="F276" s="8">
        <f>IFERROR(__xludf.DUMMYFUNCTION("""COMPUTED_VALUE"""),655.53)</f>
        <v>655.53</v>
      </c>
      <c r="H276" s="4">
        <f t="shared" si="1"/>
        <v>741.92</v>
      </c>
      <c r="I276" s="16">
        <f t="shared" si="2"/>
        <v>741.012</v>
      </c>
      <c r="J276" s="16">
        <f t="shared" si="3"/>
        <v>15.24317454</v>
      </c>
      <c r="K276" s="16">
        <f t="shared" si="4"/>
        <v>756.2551745</v>
      </c>
      <c r="L276" s="16">
        <f t="shared" si="5"/>
        <v>725.7688255</v>
      </c>
      <c r="N276" s="17" t="str">
        <f t="shared" si="6"/>
        <v>F</v>
      </c>
      <c r="O276" s="17" t="str">
        <f t="shared" si="7"/>
        <v>T</v>
      </c>
      <c r="P276" s="8">
        <f t="shared" si="8"/>
        <v>0</v>
      </c>
      <c r="R276" s="17" t="str">
        <f t="shared" si="9"/>
        <v>F</v>
      </c>
      <c r="S276" s="3" t="str">
        <f t="shared" si="10"/>
        <v>F</v>
      </c>
      <c r="T276" s="8">
        <f t="shared" si="11"/>
        <v>-1</v>
      </c>
      <c r="V276" s="4">
        <f t="shared" si="12"/>
        <v>-1</v>
      </c>
      <c r="W276" s="8">
        <f t="shared" si="13"/>
        <v>-10.03</v>
      </c>
      <c r="X276" s="8">
        <f t="shared" si="14"/>
        <v>10.03</v>
      </c>
      <c r="Y276" s="8">
        <f t="shared" si="15"/>
        <v>-99.87</v>
      </c>
    </row>
    <row r="277">
      <c r="A277" s="2">
        <v>270.0</v>
      </c>
      <c r="B277" s="15">
        <f>IFERROR(__xludf.DUMMYFUNCTION("""COMPUTED_VALUE"""),42772.64583333333)</f>
        <v>42772.64583</v>
      </c>
      <c r="C277" s="8">
        <f>IFERROR(__xludf.DUMMYFUNCTION("""COMPUTED_VALUE"""),1400.3)</f>
        <v>1400.3</v>
      </c>
      <c r="E277" s="15">
        <f>IFERROR(__xludf.DUMMYFUNCTION("""COMPUTED_VALUE"""),42772.64583333333)</f>
        <v>42772.64583</v>
      </c>
      <c r="F277" s="8">
        <f>IFERROR(__xludf.DUMMYFUNCTION("""COMPUTED_VALUE"""),657.05)</f>
        <v>657.05</v>
      </c>
      <c r="H277" s="4">
        <f t="shared" si="1"/>
        <v>743.25</v>
      </c>
      <c r="I277" s="16">
        <f t="shared" si="2"/>
        <v>743.778</v>
      </c>
      <c r="J277" s="16">
        <f t="shared" si="3"/>
        <v>13.80034311</v>
      </c>
      <c r="K277" s="16">
        <f t="shared" si="4"/>
        <v>757.5783431</v>
      </c>
      <c r="L277" s="16">
        <f t="shared" si="5"/>
        <v>729.9776569</v>
      </c>
      <c r="N277" s="17" t="str">
        <f t="shared" si="6"/>
        <v>F</v>
      </c>
      <c r="O277" s="17" t="str">
        <f t="shared" si="7"/>
        <v>F</v>
      </c>
      <c r="P277" s="8">
        <f t="shared" si="8"/>
        <v>0</v>
      </c>
      <c r="R277" s="17" t="str">
        <f t="shared" si="9"/>
        <v>F</v>
      </c>
      <c r="S277" s="3" t="str">
        <f t="shared" si="10"/>
        <v>T</v>
      </c>
      <c r="T277" s="8">
        <f t="shared" si="11"/>
        <v>0</v>
      </c>
      <c r="V277" s="4">
        <f t="shared" si="12"/>
        <v>0</v>
      </c>
      <c r="W277" s="8">
        <f t="shared" si="13"/>
        <v>1.33</v>
      </c>
      <c r="X277" s="8">
        <f t="shared" si="14"/>
        <v>-1.33</v>
      </c>
      <c r="Y277" s="8">
        <f t="shared" si="15"/>
        <v>-101.2</v>
      </c>
    </row>
    <row r="278">
      <c r="A278" s="2">
        <v>271.0</v>
      </c>
      <c r="B278" s="15">
        <f>IFERROR(__xludf.DUMMYFUNCTION("""COMPUTED_VALUE"""),42773.64583333333)</f>
        <v>42773.64583</v>
      </c>
      <c r="C278" s="8">
        <f>IFERROR(__xludf.DUMMYFUNCTION("""COMPUTED_VALUE"""),1407.25)</f>
        <v>1407.25</v>
      </c>
      <c r="E278" s="15">
        <f>IFERROR(__xludf.DUMMYFUNCTION("""COMPUTED_VALUE"""),42773.64583333333)</f>
        <v>42773.64583</v>
      </c>
      <c r="F278" s="8">
        <f>IFERROR(__xludf.DUMMYFUNCTION("""COMPUTED_VALUE"""),653.58)</f>
        <v>653.58</v>
      </c>
      <c r="H278" s="4">
        <f t="shared" si="1"/>
        <v>753.67</v>
      </c>
      <c r="I278" s="16">
        <f t="shared" si="2"/>
        <v>750.008</v>
      </c>
      <c r="J278" s="16">
        <f t="shared" si="3"/>
        <v>7.3089411</v>
      </c>
      <c r="K278" s="16">
        <f t="shared" si="4"/>
        <v>757.3169411</v>
      </c>
      <c r="L278" s="16">
        <f t="shared" si="5"/>
        <v>742.6990589</v>
      </c>
      <c r="N278" s="17" t="str">
        <f t="shared" si="6"/>
        <v>F</v>
      </c>
      <c r="O278" s="17" t="str">
        <f t="shared" si="7"/>
        <v>T</v>
      </c>
      <c r="P278" s="8">
        <f t="shared" si="8"/>
        <v>0</v>
      </c>
      <c r="R278" s="17" t="str">
        <f t="shared" si="9"/>
        <v>F</v>
      </c>
      <c r="S278" s="3" t="str">
        <f t="shared" si="10"/>
        <v>F</v>
      </c>
      <c r="T278" s="8">
        <f t="shared" si="11"/>
        <v>0</v>
      </c>
      <c r="V278" s="4">
        <f t="shared" si="12"/>
        <v>0</v>
      </c>
      <c r="W278" s="8">
        <f t="shared" si="13"/>
        <v>10.42</v>
      </c>
      <c r="X278" s="8">
        <f t="shared" si="14"/>
        <v>0</v>
      </c>
      <c r="Y278" s="8">
        <f t="shared" si="15"/>
        <v>-101.2</v>
      </c>
    </row>
    <row r="279">
      <c r="A279" s="2">
        <v>272.0</v>
      </c>
      <c r="B279" s="15">
        <f>IFERROR(__xludf.DUMMYFUNCTION("""COMPUTED_VALUE"""),42774.64583333333)</f>
        <v>42774.64583</v>
      </c>
      <c r="C279" s="8">
        <f>IFERROR(__xludf.DUMMYFUNCTION("""COMPUTED_VALUE"""),1401.1)</f>
        <v>1401.1</v>
      </c>
      <c r="E279" s="15">
        <f>IFERROR(__xludf.DUMMYFUNCTION("""COMPUTED_VALUE"""),42774.64583333333)</f>
        <v>42774.64583</v>
      </c>
      <c r="F279" s="8">
        <f>IFERROR(__xludf.DUMMYFUNCTION("""COMPUTED_VALUE"""),652.83)</f>
        <v>652.83</v>
      </c>
      <c r="H279" s="4">
        <f t="shared" si="1"/>
        <v>748.27</v>
      </c>
      <c r="I279" s="16">
        <f t="shared" si="2"/>
        <v>747.812</v>
      </c>
      <c r="J279" s="16">
        <f t="shared" si="3"/>
        <v>5.176303701</v>
      </c>
      <c r="K279" s="16">
        <f t="shared" si="4"/>
        <v>752.9883037</v>
      </c>
      <c r="L279" s="16">
        <f t="shared" si="5"/>
        <v>742.6356963</v>
      </c>
      <c r="N279" s="17" t="str">
        <f t="shared" si="6"/>
        <v>F</v>
      </c>
      <c r="O279" s="17" t="str">
        <f t="shared" si="7"/>
        <v>T</v>
      </c>
      <c r="P279" s="8">
        <f t="shared" si="8"/>
        <v>0</v>
      </c>
      <c r="R279" s="17" t="str">
        <f t="shared" si="9"/>
        <v>F</v>
      </c>
      <c r="S279" s="3" t="str">
        <f t="shared" si="10"/>
        <v>F</v>
      </c>
      <c r="T279" s="8">
        <f t="shared" si="11"/>
        <v>0</v>
      </c>
      <c r="V279" s="4">
        <f t="shared" si="12"/>
        <v>0</v>
      </c>
      <c r="W279" s="8">
        <f t="shared" si="13"/>
        <v>-5.4</v>
      </c>
      <c r="X279" s="8">
        <f t="shared" si="14"/>
        <v>0</v>
      </c>
      <c r="Y279" s="8">
        <f t="shared" si="15"/>
        <v>-101.2</v>
      </c>
    </row>
    <row r="280">
      <c r="A280" s="2">
        <v>273.0</v>
      </c>
      <c r="B280" s="15">
        <f>IFERROR(__xludf.DUMMYFUNCTION("""COMPUTED_VALUE"""),42775.64583333333)</f>
        <v>42775.64583</v>
      </c>
      <c r="C280" s="8">
        <f>IFERROR(__xludf.DUMMYFUNCTION("""COMPUTED_VALUE"""),1396.9)</f>
        <v>1396.9</v>
      </c>
      <c r="E280" s="15">
        <f>IFERROR(__xludf.DUMMYFUNCTION("""COMPUTED_VALUE"""),42775.64583333333)</f>
        <v>42775.64583</v>
      </c>
      <c r="F280" s="8">
        <f>IFERROR(__xludf.DUMMYFUNCTION("""COMPUTED_VALUE"""),648.83)</f>
        <v>648.83</v>
      </c>
      <c r="H280" s="4">
        <f t="shared" si="1"/>
        <v>748.07</v>
      </c>
      <c r="I280" s="16">
        <f t="shared" si="2"/>
        <v>747.036</v>
      </c>
      <c r="J280" s="16">
        <f t="shared" si="3"/>
        <v>4.666613333</v>
      </c>
      <c r="K280" s="16">
        <f t="shared" si="4"/>
        <v>751.7026133</v>
      </c>
      <c r="L280" s="16">
        <f t="shared" si="5"/>
        <v>742.3693867</v>
      </c>
      <c r="N280" s="17" t="str">
        <f t="shared" si="6"/>
        <v>F</v>
      </c>
      <c r="O280" s="17" t="str">
        <f t="shared" si="7"/>
        <v>T</v>
      </c>
      <c r="P280" s="8">
        <f t="shared" si="8"/>
        <v>0</v>
      </c>
      <c r="R280" s="17" t="str">
        <f t="shared" si="9"/>
        <v>F</v>
      </c>
      <c r="S280" s="3" t="str">
        <f t="shared" si="10"/>
        <v>F</v>
      </c>
      <c r="T280" s="8">
        <f t="shared" si="11"/>
        <v>0</v>
      </c>
      <c r="V280" s="4">
        <f t="shared" si="12"/>
        <v>0</v>
      </c>
      <c r="W280" s="8">
        <f t="shared" si="13"/>
        <v>-0.2</v>
      </c>
      <c r="X280" s="8">
        <f t="shared" si="14"/>
        <v>0</v>
      </c>
      <c r="Y280" s="8">
        <f t="shared" si="15"/>
        <v>-101.2</v>
      </c>
    </row>
    <row r="281">
      <c r="A281" s="2">
        <v>274.0</v>
      </c>
      <c r="B281" s="15">
        <f>IFERROR(__xludf.DUMMYFUNCTION("""COMPUTED_VALUE"""),42776.64583333333)</f>
        <v>42776.64583</v>
      </c>
      <c r="C281" s="8">
        <f>IFERROR(__xludf.DUMMYFUNCTION("""COMPUTED_VALUE"""),1388.55)</f>
        <v>1388.55</v>
      </c>
      <c r="E281" s="15">
        <f>IFERROR(__xludf.DUMMYFUNCTION("""COMPUTED_VALUE"""),42776.64583333333)</f>
        <v>42776.64583</v>
      </c>
      <c r="F281" s="8">
        <f>IFERROR(__xludf.DUMMYFUNCTION("""COMPUTED_VALUE"""),651.8)</f>
        <v>651.8</v>
      </c>
      <c r="H281" s="4">
        <f t="shared" si="1"/>
        <v>736.75</v>
      </c>
      <c r="I281" s="16">
        <f t="shared" si="2"/>
        <v>746.002</v>
      </c>
      <c r="J281" s="16">
        <f t="shared" si="3"/>
        <v>6.352001259</v>
      </c>
      <c r="K281" s="16">
        <f t="shared" si="4"/>
        <v>752.3540013</v>
      </c>
      <c r="L281" s="16">
        <f t="shared" si="5"/>
        <v>739.6499987</v>
      </c>
      <c r="N281" s="17" t="str">
        <f t="shared" si="6"/>
        <v>T</v>
      </c>
      <c r="O281" s="17" t="str">
        <f t="shared" si="7"/>
        <v>F</v>
      </c>
      <c r="P281" s="8">
        <f t="shared" si="8"/>
        <v>1</v>
      </c>
      <c r="R281" s="17" t="str">
        <f t="shared" si="9"/>
        <v>F</v>
      </c>
      <c r="S281" s="3" t="str">
        <f t="shared" si="10"/>
        <v>T</v>
      </c>
      <c r="T281" s="8">
        <f t="shared" si="11"/>
        <v>0</v>
      </c>
      <c r="V281" s="4">
        <f t="shared" si="12"/>
        <v>1</v>
      </c>
      <c r="W281" s="8">
        <f t="shared" si="13"/>
        <v>-11.32</v>
      </c>
      <c r="X281" s="8">
        <f t="shared" si="14"/>
        <v>0</v>
      </c>
      <c r="Y281" s="8">
        <f t="shared" si="15"/>
        <v>-101.2</v>
      </c>
    </row>
    <row r="282">
      <c r="A282" s="2">
        <v>275.0</v>
      </c>
      <c r="B282" s="15">
        <f>IFERROR(__xludf.DUMMYFUNCTION("""COMPUTED_VALUE"""),42779.64583333333)</f>
        <v>42779.64583</v>
      </c>
      <c r="C282" s="8">
        <f>IFERROR(__xludf.DUMMYFUNCTION("""COMPUTED_VALUE"""),1392.05)</f>
        <v>1392.05</v>
      </c>
      <c r="E282" s="15">
        <f>IFERROR(__xludf.DUMMYFUNCTION("""COMPUTED_VALUE"""),42779.64583333333)</f>
        <v>42779.64583</v>
      </c>
      <c r="F282" s="8">
        <f>IFERROR(__xludf.DUMMYFUNCTION("""COMPUTED_VALUE"""),655.1)</f>
        <v>655.1</v>
      </c>
      <c r="H282" s="4">
        <f t="shared" si="1"/>
        <v>736.95</v>
      </c>
      <c r="I282" s="16">
        <f t="shared" si="2"/>
        <v>744.742</v>
      </c>
      <c r="J282" s="16">
        <f t="shared" si="3"/>
        <v>7.546835098</v>
      </c>
      <c r="K282" s="16">
        <f t="shared" si="4"/>
        <v>752.2888351</v>
      </c>
      <c r="L282" s="16">
        <f t="shared" si="5"/>
        <v>737.1951649</v>
      </c>
      <c r="N282" s="17" t="str">
        <f t="shared" si="6"/>
        <v>T</v>
      </c>
      <c r="O282" s="17" t="str">
        <f t="shared" si="7"/>
        <v>F</v>
      </c>
      <c r="P282" s="8">
        <f t="shared" si="8"/>
        <v>1</v>
      </c>
      <c r="R282" s="17" t="str">
        <f t="shared" si="9"/>
        <v>F</v>
      </c>
      <c r="S282" s="3" t="str">
        <f t="shared" si="10"/>
        <v>T</v>
      </c>
      <c r="T282" s="8">
        <f t="shared" si="11"/>
        <v>0</v>
      </c>
      <c r="V282" s="4">
        <f t="shared" si="12"/>
        <v>1</v>
      </c>
      <c r="W282" s="8">
        <f t="shared" si="13"/>
        <v>0.2</v>
      </c>
      <c r="X282" s="8">
        <f t="shared" si="14"/>
        <v>0.2</v>
      </c>
      <c r="Y282" s="8">
        <f t="shared" si="15"/>
        <v>-101</v>
      </c>
    </row>
    <row r="283">
      <c r="A283" s="2">
        <v>276.0</v>
      </c>
      <c r="B283" s="15">
        <f>IFERROR(__xludf.DUMMYFUNCTION("""COMPUTED_VALUE"""),42780.64583333333)</f>
        <v>42780.64583</v>
      </c>
      <c r="C283" s="8">
        <f>IFERROR(__xludf.DUMMYFUNCTION("""COMPUTED_VALUE"""),1398.15)</f>
        <v>1398.15</v>
      </c>
      <c r="E283" s="15">
        <f>IFERROR(__xludf.DUMMYFUNCTION("""COMPUTED_VALUE"""),42780.64583333333)</f>
        <v>42780.64583</v>
      </c>
      <c r="F283" s="8">
        <f>IFERROR(__xludf.DUMMYFUNCTION("""COMPUTED_VALUE"""),655.55)</f>
        <v>655.55</v>
      </c>
      <c r="H283" s="4">
        <f t="shared" si="1"/>
        <v>742.6</v>
      </c>
      <c r="I283" s="16">
        <f t="shared" si="2"/>
        <v>742.528</v>
      </c>
      <c r="J283" s="16">
        <f t="shared" si="3"/>
        <v>5.661026409</v>
      </c>
      <c r="K283" s="16">
        <f t="shared" si="4"/>
        <v>748.1890264</v>
      </c>
      <c r="L283" s="16">
        <f t="shared" si="5"/>
        <v>736.8669736</v>
      </c>
      <c r="N283" s="17" t="str">
        <f t="shared" si="6"/>
        <v>F</v>
      </c>
      <c r="O283" s="17" t="str">
        <f t="shared" si="7"/>
        <v>T</v>
      </c>
      <c r="P283" s="8">
        <f t="shared" si="8"/>
        <v>0</v>
      </c>
      <c r="R283" s="17" t="str">
        <f t="shared" si="9"/>
        <v>F</v>
      </c>
      <c r="S283" s="3" t="str">
        <f t="shared" si="10"/>
        <v>F</v>
      </c>
      <c r="T283" s="8">
        <f t="shared" si="11"/>
        <v>0</v>
      </c>
      <c r="V283" s="4">
        <f t="shared" si="12"/>
        <v>0</v>
      </c>
      <c r="W283" s="8">
        <f t="shared" si="13"/>
        <v>5.65</v>
      </c>
      <c r="X283" s="8">
        <f t="shared" si="14"/>
        <v>5.65</v>
      </c>
      <c r="Y283" s="8">
        <f t="shared" si="15"/>
        <v>-95.35</v>
      </c>
    </row>
    <row r="284">
      <c r="A284" s="2">
        <v>277.0</v>
      </c>
      <c r="B284" s="15">
        <f>IFERROR(__xludf.DUMMYFUNCTION("""COMPUTED_VALUE"""),42781.64583333333)</f>
        <v>42781.64583</v>
      </c>
      <c r="C284" s="8">
        <f>IFERROR(__xludf.DUMMYFUNCTION("""COMPUTED_VALUE"""),1399.15)</f>
        <v>1399.15</v>
      </c>
      <c r="E284" s="15">
        <f>IFERROR(__xludf.DUMMYFUNCTION("""COMPUTED_VALUE"""),42781.64583333333)</f>
        <v>42781.64583</v>
      </c>
      <c r="F284" s="8">
        <f>IFERROR(__xludf.DUMMYFUNCTION("""COMPUTED_VALUE"""),661.1)</f>
        <v>661.1</v>
      </c>
      <c r="H284" s="4">
        <f t="shared" si="1"/>
        <v>738.05</v>
      </c>
      <c r="I284" s="16">
        <f t="shared" si="2"/>
        <v>740.484</v>
      </c>
      <c r="J284" s="16">
        <f t="shared" si="3"/>
        <v>4.857497298</v>
      </c>
      <c r="K284" s="16">
        <f t="shared" si="4"/>
        <v>745.3414973</v>
      </c>
      <c r="L284" s="16">
        <f t="shared" si="5"/>
        <v>735.6265027</v>
      </c>
      <c r="N284" s="17" t="str">
        <f t="shared" si="6"/>
        <v>F</v>
      </c>
      <c r="O284" s="17" t="str">
        <f t="shared" si="7"/>
        <v>F</v>
      </c>
      <c r="P284" s="8">
        <f t="shared" si="8"/>
        <v>0</v>
      </c>
      <c r="R284" s="17" t="str">
        <f t="shared" si="9"/>
        <v>F</v>
      </c>
      <c r="S284" s="3" t="str">
        <f t="shared" si="10"/>
        <v>T</v>
      </c>
      <c r="T284" s="8">
        <f t="shared" si="11"/>
        <v>0</v>
      </c>
      <c r="V284" s="4">
        <f t="shared" si="12"/>
        <v>0</v>
      </c>
      <c r="W284" s="8">
        <f t="shared" si="13"/>
        <v>-4.55</v>
      </c>
      <c r="X284" s="8">
        <f t="shared" si="14"/>
        <v>0</v>
      </c>
      <c r="Y284" s="8">
        <f t="shared" si="15"/>
        <v>-95.35</v>
      </c>
    </row>
    <row r="285">
      <c r="A285" s="2">
        <v>278.0</v>
      </c>
      <c r="B285" s="15">
        <f>IFERROR(__xludf.DUMMYFUNCTION("""COMPUTED_VALUE"""),42782.64583333333)</f>
        <v>42782.64583</v>
      </c>
      <c r="C285" s="8">
        <f>IFERROR(__xludf.DUMMYFUNCTION("""COMPUTED_VALUE"""),1393.55)</f>
        <v>1393.55</v>
      </c>
      <c r="E285" s="15">
        <f>IFERROR(__xludf.DUMMYFUNCTION("""COMPUTED_VALUE"""),42782.64583333333)</f>
        <v>42782.64583</v>
      </c>
      <c r="F285" s="8">
        <f>IFERROR(__xludf.DUMMYFUNCTION("""COMPUTED_VALUE"""),663.95)</f>
        <v>663.95</v>
      </c>
      <c r="H285" s="4">
        <f t="shared" si="1"/>
        <v>729.6</v>
      </c>
      <c r="I285" s="16">
        <f t="shared" si="2"/>
        <v>736.79</v>
      </c>
      <c r="J285" s="16">
        <f t="shared" si="3"/>
        <v>4.665484969</v>
      </c>
      <c r="K285" s="16">
        <f t="shared" si="4"/>
        <v>741.455485</v>
      </c>
      <c r="L285" s="16">
        <f t="shared" si="5"/>
        <v>732.124515</v>
      </c>
      <c r="N285" s="17" t="str">
        <f t="shared" si="6"/>
        <v>T</v>
      </c>
      <c r="O285" s="17" t="str">
        <f t="shared" si="7"/>
        <v>F</v>
      </c>
      <c r="P285" s="8">
        <f t="shared" si="8"/>
        <v>1</v>
      </c>
      <c r="R285" s="17" t="str">
        <f t="shared" si="9"/>
        <v>F</v>
      </c>
      <c r="S285" s="3" t="str">
        <f t="shared" si="10"/>
        <v>T</v>
      </c>
      <c r="T285" s="8">
        <f t="shared" si="11"/>
        <v>0</v>
      </c>
      <c r="V285" s="4">
        <f t="shared" si="12"/>
        <v>1</v>
      </c>
      <c r="W285" s="8">
        <f t="shared" si="13"/>
        <v>-8.45</v>
      </c>
      <c r="X285" s="8">
        <f t="shared" si="14"/>
        <v>0</v>
      </c>
      <c r="Y285" s="8">
        <f t="shared" si="15"/>
        <v>-95.35</v>
      </c>
    </row>
    <row r="286">
      <c r="A286" s="2">
        <v>279.0</v>
      </c>
      <c r="B286" s="15">
        <f>IFERROR(__xludf.DUMMYFUNCTION("""COMPUTED_VALUE"""),42783.64583333333)</f>
        <v>42783.64583</v>
      </c>
      <c r="C286" s="8">
        <f>IFERROR(__xludf.DUMMYFUNCTION("""COMPUTED_VALUE"""),1402.5)</f>
        <v>1402.5</v>
      </c>
      <c r="E286" s="15">
        <f>IFERROR(__xludf.DUMMYFUNCTION("""COMPUTED_VALUE"""),42783.64583333333)</f>
        <v>42783.64583</v>
      </c>
      <c r="F286" s="8">
        <f>IFERROR(__xludf.DUMMYFUNCTION("""COMPUTED_VALUE"""),688.53)</f>
        <v>688.53</v>
      </c>
      <c r="H286" s="4">
        <f t="shared" si="1"/>
        <v>713.97</v>
      </c>
      <c r="I286" s="16">
        <f t="shared" si="2"/>
        <v>732.234</v>
      </c>
      <c r="J286" s="16">
        <f t="shared" si="3"/>
        <v>11.22532984</v>
      </c>
      <c r="K286" s="16">
        <f t="shared" si="4"/>
        <v>743.4593298</v>
      </c>
      <c r="L286" s="16">
        <f t="shared" si="5"/>
        <v>721.0086702</v>
      </c>
      <c r="N286" s="17" t="str">
        <f t="shared" si="6"/>
        <v>T</v>
      </c>
      <c r="O286" s="17" t="str">
        <f t="shared" si="7"/>
        <v>F</v>
      </c>
      <c r="P286" s="8">
        <f t="shared" si="8"/>
        <v>1</v>
      </c>
      <c r="R286" s="17" t="str">
        <f t="shared" si="9"/>
        <v>F</v>
      </c>
      <c r="S286" s="3" t="str">
        <f t="shared" si="10"/>
        <v>T</v>
      </c>
      <c r="T286" s="8">
        <f t="shared" si="11"/>
        <v>0</v>
      </c>
      <c r="V286" s="4">
        <f t="shared" si="12"/>
        <v>1</v>
      </c>
      <c r="W286" s="8">
        <f t="shared" si="13"/>
        <v>-15.63</v>
      </c>
      <c r="X286" s="8">
        <f t="shared" si="14"/>
        <v>-15.63</v>
      </c>
      <c r="Y286" s="8">
        <f t="shared" si="15"/>
        <v>-110.98</v>
      </c>
    </row>
    <row r="287">
      <c r="A287" s="2">
        <v>280.0</v>
      </c>
      <c r="B287" s="15">
        <f>IFERROR(__xludf.DUMMYFUNCTION("""COMPUTED_VALUE"""),42786.64583333333)</f>
        <v>42786.64583</v>
      </c>
      <c r="C287" s="8">
        <f>IFERROR(__xludf.DUMMYFUNCTION("""COMPUTED_VALUE"""),1393.3)</f>
        <v>1393.3</v>
      </c>
      <c r="E287" s="15">
        <f>IFERROR(__xludf.DUMMYFUNCTION("""COMPUTED_VALUE"""),42786.64583333333)</f>
        <v>42786.64583</v>
      </c>
      <c r="F287" s="8">
        <f>IFERROR(__xludf.DUMMYFUNCTION("""COMPUTED_VALUE"""),704.55)</f>
        <v>704.55</v>
      </c>
      <c r="H287" s="4">
        <f t="shared" si="1"/>
        <v>688.75</v>
      </c>
      <c r="I287" s="16">
        <f t="shared" si="2"/>
        <v>722.594</v>
      </c>
      <c r="J287" s="16">
        <f t="shared" si="3"/>
        <v>21.84033951</v>
      </c>
      <c r="K287" s="16">
        <f t="shared" si="4"/>
        <v>744.4343395</v>
      </c>
      <c r="L287" s="16">
        <f t="shared" si="5"/>
        <v>700.7536605</v>
      </c>
      <c r="N287" s="17" t="str">
        <f t="shared" si="6"/>
        <v>T</v>
      </c>
      <c r="O287" s="17" t="str">
        <f t="shared" si="7"/>
        <v>F</v>
      </c>
      <c r="P287" s="8">
        <f t="shared" si="8"/>
        <v>1</v>
      </c>
      <c r="R287" s="17" t="str">
        <f t="shared" si="9"/>
        <v>F</v>
      </c>
      <c r="S287" s="3" t="str">
        <f t="shared" si="10"/>
        <v>T</v>
      </c>
      <c r="T287" s="8">
        <f t="shared" si="11"/>
        <v>0</v>
      </c>
      <c r="V287" s="4">
        <f t="shared" si="12"/>
        <v>1</v>
      </c>
      <c r="W287" s="8">
        <f t="shared" si="13"/>
        <v>-25.22</v>
      </c>
      <c r="X287" s="8">
        <f t="shared" si="14"/>
        <v>-25.22</v>
      </c>
      <c r="Y287" s="8">
        <f t="shared" si="15"/>
        <v>-136.2</v>
      </c>
    </row>
    <row r="288">
      <c r="A288" s="2">
        <v>281.0</v>
      </c>
      <c r="B288" s="15">
        <f>IFERROR(__xludf.DUMMYFUNCTION("""COMPUTED_VALUE"""),42787.64583333333)</f>
        <v>42787.64583</v>
      </c>
      <c r="C288" s="8">
        <f>IFERROR(__xludf.DUMMYFUNCTION("""COMPUTED_VALUE"""),1412.45)</f>
        <v>1412.45</v>
      </c>
      <c r="E288" s="15">
        <f>IFERROR(__xludf.DUMMYFUNCTION("""COMPUTED_VALUE"""),42787.64583333333)</f>
        <v>42787.64583</v>
      </c>
      <c r="F288" s="8">
        <f>IFERROR(__xludf.DUMMYFUNCTION("""COMPUTED_VALUE"""),707.78)</f>
        <v>707.78</v>
      </c>
      <c r="H288" s="4">
        <f t="shared" si="1"/>
        <v>704.67</v>
      </c>
      <c r="I288" s="16">
        <f t="shared" si="2"/>
        <v>715.008</v>
      </c>
      <c r="J288" s="16">
        <f t="shared" si="3"/>
        <v>19.62966174</v>
      </c>
      <c r="K288" s="16">
        <f t="shared" si="4"/>
        <v>734.6376617</v>
      </c>
      <c r="L288" s="16">
        <f t="shared" si="5"/>
        <v>695.3783383</v>
      </c>
      <c r="N288" s="17" t="str">
        <f t="shared" si="6"/>
        <v>F</v>
      </c>
      <c r="O288" s="17" t="str">
        <f t="shared" si="7"/>
        <v>F</v>
      </c>
      <c r="P288" s="8">
        <f t="shared" si="8"/>
        <v>1</v>
      </c>
      <c r="R288" s="17" t="str">
        <f t="shared" si="9"/>
        <v>F</v>
      </c>
      <c r="S288" s="3" t="str">
        <f t="shared" si="10"/>
        <v>T</v>
      </c>
      <c r="T288" s="8">
        <f t="shared" si="11"/>
        <v>0</v>
      </c>
      <c r="V288" s="4">
        <f t="shared" si="12"/>
        <v>1</v>
      </c>
      <c r="W288" s="8">
        <f t="shared" si="13"/>
        <v>15.92</v>
      </c>
      <c r="X288" s="8">
        <f t="shared" si="14"/>
        <v>15.92</v>
      </c>
      <c r="Y288" s="8">
        <f t="shared" si="15"/>
        <v>-120.28</v>
      </c>
    </row>
    <row r="289">
      <c r="A289" s="2">
        <v>282.0</v>
      </c>
      <c r="B289" s="15">
        <f>IFERROR(__xludf.DUMMYFUNCTION("""COMPUTED_VALUE"""),42788.64583333333)</f>
        <v>42788.64583</v>
      </c>
      <c r="C289" s="8">
        <f>IFERROR(__xludf.DUMMYFUNCTION("""COMPUTED_VALUE"""),1394.1)</f>
        <v>1394.1</v>
      </c>
      <c r="E289" s="15">
        <f>IFERROR(__xludf.DUMMYFUNCTION("""COMPUTED_VALUE"""),42788.64583333333)</f>
        <v>42788.64583</v>
      </c>
      <c r="F289" s="8">
        <f>IFERROR(__xludf.DUMMYFUNCTION("""COMPUTED_VALUE"""),699.58)</f>
        <v>699.58</v>
      </c>
      <c r="H289" s="4">
        <f t="shared" si="1"/>
        <v>694.52</v>
      </c>
      <c r="I289" s="16">
        <f t="shared" si="2"/>
        <v>706.302</v>
      </c>
      <c r="J289" s="16">
        <f t="shared" si="3"/>
        <v>16.21069616</v>
      </c>
      <c r="K289" s="16">
        <f t="shared" si="4"/>
        <v>722.5126962</v>
      </c>
      <c r="L289" s="16">
        <f t="shared" si="5"/>
        <v>690.0913038</v>
      </c>
      <c r="N289" s="17" t="str">
        <f t="shared" si="6"/>
        <v>F</v>
      </c>
      <c r="O289" s="17" t="str">
        <f t="shared" si="7"/>
        <v>F</v>
      </c>
      <c r="P289" s="8">
        <f t="shared" si="8"/>
        <v>1</v>
      </c>
      <c r="R289" s="17" t="str">
        <f t="shared" si="9"/>
        <v>F</v>
      </c>
      <c r="S289" s="3" t="str">
        <f t="shared" si="10"/>
        <v>T</v>
      </c>
      <c r="T289" s="8">
        <f t="shared" si="11"/>
        <v>0</v>
      </c>
      <c r="V289" s="4">
        <f t="shared" si="12"/>
        <v>1</v>
      </c>
      <c r="W289" s="8">
        <f t="shared" si="13"/>
        <v>-10.15</v>
      </c>
      <c r="X289" s="8">
        <f t="shared" si="14"/>
        <v>-10.15</v>
      </c>
      <c r="Y289" s="8">
        <f t="shared" si="15"/>
        <v>-130.43</v>
      </c>
    </row>
    <row r="290">
      <c r="A290" s="2">
        <v>283.0</v>
      </c>
      <c r="B290" s="15">
        <f>IFERROR(__xludf.DUMMYFUNCTION("""COMPUTED_VALUE"""),42789.64583333333)</f>
        <v>42789.64583</v>
      </c>
      <c r="C290" s="8">
        <f>IFERROR(__xludf.DUMMYFUNCTION("""COMPUTED_VALUE"""),1385.7)</f>
        <v>1385.7</v>
      </c>
      <c r="E290" s="15">
        <f>IFERROR(__xludf.DUMMYFUNCTION("""COMPUTED_VALUE"""),42789.64583333333)</f>
        <v>42789.64583</v>
      </c>
      <c r="F290" s="8">
        <f>IFERROR(__xludf.DUMMYFUNCTION("""COMPUTED_VALUE"""),697.15)</f>
        <v>697.15</v>
      </c>
      <c r="H290" s="4">
        <f t="shared" si="1"/>
        <v>688.55</v>
      </c>
      <c r="I290" s="16">
        <f t="shared" si="2"/>
        <v>698.092</v>
      </c>
      <c r="J290" s="16">
        <f t="shared" si="3"/>
        <v>11.02795176</v>
      </c>
      <c r="K290" s="16">
        <f t="shared" si="4"/>
        <v>709.1199518</v>
      </c>
      <c r="L290" s="16">
        <f t="shared" si="5"/>
        <v>687.0640482</v>
      </c>
      <c r="N290" s="17" t="str">
        <f t="shared" si="6"/>
        <v>F</v>
      </c>
      <c r="O290" s="17" t="str">
        <f t="shared" si="7"/>
        <v>F</v>
      </c>
      <c r="P290" s="8">
        <f t="shared" si="8"/>
        <v>1</v>
      </c>
      <c r="R290" s="17" t="str">
        <f t="shared" si="9"/>
        <v>F</v>
      </c>
      <c r="S290" s="3" t="str">
        <f t="shared" si="10"/>
        <v>T</v>
      </c>
      <c r="T290" s="8">
        <f t="shared" si="11"/>
        <v>0</v>
      </c>
      <c r="V290" s="4">
        <f t="shared" si="12"/>
        <v>1</v>
      </c>
      <c r="W290" s="8">
        <f t="shared" si="13"/>
        <v>-5.97</v>
      </c>
      <c r="X290" s="8">
        <f t="shared" si="14"/>
        <v>-5.97</v>
      </c>
      <c r="Y290" s="8">
        <f t="shared" si="15"/>
        <v>-136.4</v>
      </c>
    </row>
    <row r="291">
      <c r="A291" s="2">
        <v>284.0</v>
      </c>
      <c r="B291" s="15">
        <f>IFERROR(__xludf.DUMMYFUNCTION("""COMPUTED_VALUE"""),42793.64583333333)</f>
        <v>42793.64583</v>
      </c>
      <c r="C291" s="8">
        <f>IFERROR(__xludf.DUMMYFUNCTION("""COMPUTED_VALUE"""),1375.7)</f>
        <v>1375.7</v>
      </c>
      <c r="E291" s="15">
        <f>IFERROR(__xludf.DUMMYFUNCTION("""COMPUTED_VALUE"""),42793.64583333333)</f>
        <v>42793.64583</v>
      </c>
      <c r="F291" s="8">
        <f>IFERROR(__xludf.DUMMYFUNCTION("""COMPUTED_VALUE"""),696.8)</f>
        <v>696.8</v>
      </c>
      <c r="H291" s="4">
        <f t="shared" si="1"/>
        <v>678.9</v>
      </c>
      <c r="I291" s="16">
        <f t="shared" si="2"/>
        <v>691.078</v>
      </c>
      <c r="J291" s="16">
        <f t="shared" si="3"/>
        <v>9.443302918</v>
      </c>
      <c r="K291" s="16">
        <f t="shared" si="4"/>
        <v>700.5213029</v>
      </c>
      <c r="L291" s="16">
        <f t="shared" si="5"/>
        <v>681.6346971</v>
      </c>
      <c r="N291" s="17" t="str">
        <f t="shared" si="6"/>
        <v>T</v>
      </c>
      <c r="O291" s="17" t="str">
        <f t="shared" si="7"/>
        <v>F</v>
      </c>
      <c r="P291" s="8">
        <f t="shared" si="8"/>
        <v>1</v>
      </c>
      <c r="R291" s="17" t="str">
        <f t="shared" si="9"/>
        <v>F</v>
      </c>
      <c r="S291" s="3" t="str">
        <f t="shared" si="10"/>
        <v>T</v>
      </c>
      <c r="T291" s="8">
        <f t="shared" si="11"/>
        <v>0</v>
      </c>
      <c r="V291" s="4">
        <f t="shared" si="12"/>
        <v>1</v>
      </c>
      <c r="W291" s="8">
        <f t="shared" si="13"/>
        <v>-9.65</v>
      </c>
      <c r="X291" s="8">
        <f t="shared" si="14"/>
        <v>-9.65</v>
      </c>
      <c r="Y291" s="8">
        <f t="shared" si="15"/>
        <v>-146.05</v>
      </c>
    </row>
    <row r="292">
      <c r="A292" s="2">
        <v>285.0</v>
      </c>
      <c r="B292" s="15">
        <f>IFERROR(__xludf.DUMMYFUNCTION("""COMPUTED_VALUE"""),42794.64583333333)</f>
        <v>42794.64583</v>
      </c>
      <c r="C292" s="8">
        <f>IFERROR(__xludf.DUMMYFUNCTION("""COMPUTED_VALUE"""),1370.05)</f>
        <v>1370.05</v>
      </c>
      <c r="E292" s="15">
        <f>IFERROR(__xludf.DUMMYFUNCTION("""COMPUTED_VALUE"""),42794.64583333333)</f>
        <v>42794.64583</v>
      </c>
      <c r="F292" s="8">
        <f>IFERROR(__xludf.DUMMYFUNCTION("""COMPUTED_VALUE"""),695.05)</f>
        <v>695.05</v>
      </c>
      <c r="H292" s="4">
        <f t="shared" si="1"/>
        <v>675</v>
      </c>
      <c r="I292" s="16">
        <f t="shared" si="2"/>
        <v>688.328</v>
      </c>
      <c r="J292" s="16">
        <f t="shared" si="3"/>
        <v>11.95798771</v>
      </c>
      <c r="K292" s="16">
        <f t="shared" si="4"/>
        <v>700.2859877</v>
      </c>
      <c r="L292" s="16">
        <f t="shared" si="5"/>
        <v>676.3700123</v>
      </c>
      <c r="N292" s="17" t="str">
        <f t="shared" si="6"/>
        <v>T</v>
      </c>
      <c r="O292" s="17" t="str">
        <f t="shared" si="7"/>
        <v>F</v>
      </c>
      <c r="P292" s="8">
        <f t="shared" si="8"/>
        <v>1</v>
      </c>
      <c r="R292" s="17" t="str">
        <f t="shared" si="9"/>
        <v>F</v>
      </c>
      <c r="S292" s="3" t="str">
        <f t="shared" si="10"/>
        <v>T</v>
      </c>
      <c r="T292" s="8">
        <f t="shared" si="11"/>
        <v>0</v>
      </c>
      <c r="V292" s="4">
        <f t="shared" si="12"/>
        <v>1</v>
      </c>
      <c r="W292" s="8">
        <f t="shared" si="13"/>
        <v>-3.9</v>
      </c>
      <c r="X292" s="8">
        <f t="shared" si="14"/>
        <v>-3.9</v>
      </c>
      <c r="Y292" s="8">
        <f t="shared" si="15"/>
        <v>-149.95</v>
      </c>
    </row>
    <row r="293">
      <c r="A293" s="2">
        <v>286.0</v>
      </c>
      <c r="B293" s="15">
        <f>IFERROR(__xludf.DUMMYFUNCTION("""COMPUTED_VALUE"""),42795.64583333333)</f>
        <v>42795.64583</v>
      </c>
      <c r="C293" s="8">
        <f>IFERROR(__xludf.DUMMYFUNCTION("""COMPUTED_VALUE"""),1400.55)</f>
        <v>1400.55</v>
      </c>
      <c r="E293" s="15">
        <f>IFERROR(__xludf.DUMMYFUNCTION("""COMPUTED_VALUE"""),42795.64583333333)</f>
        <v>42795.64583</v>
      </c>
      <c r="F293" s="8">
        <f>IFERROR(__xludf.DUMMYFUNCTION("""COMPUTED_VALUE"""),695.83)</f>
        <v>695.83</v>
      </c>
      <c r="H293" s="4">
        <f t="shared" si="1"/>
        <v>704.72</v>
      </c>
      <c r="I293" s="16">
        <f t="shared" si="2"/>
        <v>688.338</v>
      </c>
      <c r="J293" s="16">
        <f t="shared" si="3"/>
        <v>11.97507912</v>
      </c>
      <c r="K293" s="16">
        <f t="shared" si="4"/>
        <v>700.3130791</v>
      </c>
      <c r="L293" s="16">
        <f t="shared" si="5"/>
        <v>676.3629209</v>
      </c>
      <c r="N293" s="17" t="str">
        <f t="shared" si="6"/>
        <v>F</v>
      </c>
      <c r="O293" s="17" t="str">
        <f t="shared" si="7"/>
        <v>T</v>
      </c>
      <c r="P293" s="8">
        <f t="shared" si="8"/>
        <v>0</v>
      </c>
      <c r="R293" s="17" t="str">
        <f t="shared" si="9"/>
        <v>T</v>
      </c>
      <c r="S293" s="3" t="str">
        <f t="shared" si="10"/>
        <v>F</v>
      </c>
      <c r="T293" s="8">
        <f t="shared" si="11"/>
        <v>-1</v>
      </c>
      <c r="V293" s="4">
        <f t="shared" si="12"/>
        <v>-1</v>
      </c>
      <c r="W293" s="8">
        <f t="shared" si="13"/>
        <v>29.72</v>
      </c>
      <c r="X293" s="8">
        <f t="shared" si="14"/>
        <v>29.72</v>
      </c>
      <c r="Y293" s="8">
        <f t="shared" si="15"/>
        <v>-120.23</v>
      </c>
    </row>
    <row r="294">
      <c r="A294" s="2">
        <v>287.0</v>
      </c>
      <c r="B294" s="15">
        <f>IFERROR(__xludf.DUMMYFUNCTION("""COMPUTED_VALUE"""),42796.64583333333)</f>
        <v>42796.64583</v>
      </c>
      <c r="C294" s="8">
        <f>IFERROR(__xludf.DUMMYFUNCTION("""COMPUTED_VALUE"""),1399.0)</f>
        <v>1399</v>
      </c>
      <c r="E294" s="15">
        <f>IFERROR(__xludf.DUMMYFUNCTION("""COMPUTED_VALUE"""),42796.64583333333)</f>
        <v>42796.64583</v>
      </c>
      <c r="F294" s="8">
        <f>IFERROR(__xludf.DUMMYFUNCTION("""COMPUTED_VALUE"""),690.05)</f>
        <v>690.05</v>
      </c>
      <c r="H294" s="4">
        <f t="shared" si="1"/>
        <v>708.95</v>
      </c>
      <c r="I294" s="16">
        <f t="shared" si="2"/>
        <v>691.224</v>
      </c>
      <c r="J294" s="16">
        <f t="shared" si="3"/>
        <v>15.15422812</v>
      </c>
      <c r="K294" s="16">
        <f t="shared" si="4"/>
        <v>706.3782281</v>
      </c>
      <c r="L294" s="16">
        <f t="shared" si="5"/>
        <v>676.0697719</v>
      </c>
      <c r="N294" s="17" t="str">
        <f t="shared" si="6"/>
        <v>F</v>
      </c>
      <c r="O294" s="17" t="str">
        <f t="shared" si="7"/>
        <v>T</v>
      </c>
      <c r="P294" s="8">
        <f t="shared" si="8"/>
        <v>0</v>
      </c>
      <c r="R294" s="17" t="str">
        <f t="shared" si="9"/>
        <v>T</v>
      </c>
      <c r="S294" s="3" t="str">
        <f t="shared" si="10"/>
        <v>F</v>
      </c>
      <c r="T294" s="8">
        <f t="shared" si="11"/>
        <v>-1</v>
      </c>
      <c r="V294" s="4">
        <f t="shared" si="12"/>
        <v>-1</v>
      </c>
      <c r="W294" s="8">
        <f t="shared" si="13"/>
        <v>4.23</v>
      </c>
      <c r="X294" s="8">
        <f t="shared" si="14"/>
        <v>-4.23</v>
      </c>
      <c r="Y294" s="8">
        <f t="shared" si="15"/>
        <v>-124.46</v>
      </c>
    </row>
    <row r="295">
      <c r="A295" s="2">
        <v>288.0</v>
      </c>
      <c r="B295" s="15">
        <f>IFERROR(__xludf.DUMMYFUNCTION("""COMPUTED_VALUE"""),42797.64583333333)</f>
        <v>42797.64583</v>
      </c>
      <c r="C295" s="8">
        <f>IFERROR(__xludf.DUMMYFUNCTION("""COMPUTED_VALUE"""),1371.2)</f>
        <v>1371.2</v>
      </c>
      <c r="E295" s="15">
        <f>IFERROR(__xludf.DUMMYFUNCTION("""COMPUTED_VALUE"""),42797.64583333333)</f>
        <v>42797.64583</v>
      </c>
      <c r="F295" s="8">
        <f>IFERROR(__xludf.DUMMYFUNCTION("""COMPUTED_VALUE"""),688.5)</f>
        <v>688.5</v>
      </c>
      <c r="H295" s="4">
        <f t="shared" si="1"/>
        <v>682.7</v>
      </c>
      <c r="I295" s="16">
        <f t="shared" si="2"/>
        <v>690.054</v>
      </c>
      <c r="J295" s="16">
        <f t="shared" si="3"/>
        <v>15.63062955</v>
      </c>
      <c r="K295" s="16">
        <f t="shared" si="4"/>
        <v>705.6846295</v>
      </c>
      <c r="L295" s="16">
        <f t="shared" si="5"/>
        <v>674.4233705</v>
      </c>
      <c r="N295" s="17" t="str">
        <f t="shared" si="6"/>
        <v>F</v>
      </c>
      <c r="O295" s="17" t="str">
        <f t="shared" si="7"/>
        <v>F</v>
      </c>
      <c r="P295" s="8">
        <f t="shared" si="8"/>
        <v>0</v>
      </c>
      <c r="R295" s="17" t="str">
        <f t="shared" si="9"/>
        <v>F</v>
      </c>
      <c r="S295" s="3" t="str">
        <f t="shared" si="10"/>
        <v>T</v>
      </c>
      <c r="T295" s="8">
        <f t="shared" si="11"/>
        <v>0</v>
      </c>
      <c r="V295" s="4">
        <f t="shared" si="12"/>
        <v>0</v>
      </c>
      <c r="W295" s="8">
        <f t="shared" si="13"/>
        <v>-26.25</v>
      </c>
      <c r="X295" s="8">
        <f t="shared" si="14"/>
        <v>26.25</v>
      </c>
      <c r="Y295" s="8">
        <f t="shared" si="15"/>
        <v>-98.21</v>
      </c>
    </row>
    <row r="296">
      <c r="A296" s="2">
        <v>289.0</v>
      </c>
      <c r="B296" s="15">
        <f>IFERROR(__xludf.DUMMYFUNCTION("""COMPUTED_VALUE"""),42800.64583333333)</f>
        <v>42800.64583</v>
      </c>
      <c r="C296" s="8">
        <f>IFERROR(__xludf.DUMMYFUNCTION("""COMPUTED_VALUE"""),1365.95)</f>
        <v>1365.95</v>
      </c>
      <c r="E296" s="15">
        <f>IFERROR(__xludf.DUMMYFUNCTION("""COMPUTED_VALUE"""),42800.64583333333)</f>
        <v>42800.64583</v>
      </c>
      <c r="F296" s="8">
        <f>IFERROR(__xludf.DUMMYFUNCTION("""COMPUTED_VALUE"""),690.38)</f>
        <v>690.38</v>
      </c>
      <c r="H296" s="4">
        <f t="shared" si="1"/>
        <v>675.57</v>
      </c>
      <c r="I296" s="16">
        <f t="shared" si="2"/>
        <v>689.388</v>
      </c>
      <c r="J296" s="16">
        <f t="shared" si="3"/>
        <v>16.28206897</v>
      </c>
      <c r="K296" s="16">
        <f t="shared" si="4"/>
        <v>705.670069</v>
      </c>
      <c r="L296" s="16">
        <f t="shared" si="5"/>
        <v>673.105931</v>
      </c>
      <c r="N296" s="17" t="str">
        <f t="shared" si="6"/>
        <v>F</v>
      </c>
      <c r="O296" s="17" t="str">
        <f t="shared" si="7"/>
        <v>F</v>
      </c>
      <c r="P296" s="8">
        <f t="shared" si="8"/>
        <v>0</v>
      </c>
      <c r="R296" s="17" t="str">
        <f t="shared" si="9"/>
        <v>F</v>
      </c>
      <c r="S296" s="3" t="str">
        <f t="shared" si="10"/>
        <v>T</v>
      </c>
      <c r="T296" s="8">
        <f t="shared" si="11"/>
        <v>0</v>
      </c>
      <c r="V296" s="4">
        <f t="shared" si="12"/>
        <v>0</v>
      </c>
      <c r="W296" s="8">
        <f t="shared" si="13"/>
        <v>-7.13</v>
      </c>
      <c r="X296" s="8">
        <f t="shared" si="14"/>
        <v>0</v>
      </c>
      <c r="Y296" s="8">
        <f t="shared" si="15"/>
        <v>-98.21</v>
      </c>
    </row>
    <row r="297">
      <c r="A297" s="2">
        <v>290.0</v>
      </c>
      <c r="B297" s="15">
        <f>IFERROR(__xludf.DUMMYFUNCTION("""COMPUTED_VALUE"""),42801.64583333333)</f>
        <v>42801.64583</v>
      </c>
      <c r="C297" s="8">
        <f>IFERROR(__xludf.DUMMYFUNCTION("""COMPUTED_VALUE"""),1365.4)</f>
        <v>1365.4</v>
      </c>
      <c r="E297" s="15">
        <f>IFERROR(__xludf.DUMMYFUNCTION("""COMPUTED_VALUE"""),42801.64583333333)</f>
        <v>42801.64583</v>
      </c>
      <c r="F297" s="8">
        <f>IFERROR(__xludf.DUMMYFUNCTION("""COMPUTED_VALUE"""),693.1)</f>
        <v>693.1</v>
      </c>
      <c r="H297" s="4">
        <f t="shared" si="1"/>
        <v>672.3</v>
      </c>
      <c r="I297" s="16">
        <f t="shared" si="2"/>
        <v>688.848</v>
      </c>
      <c r="J297" s="16">
        <f t="shared" si="3"/>
        <v>16.91116702</v>
      </c>
      <c r="K297" s="16">
        <f t="shared" si="4"/>
        <v>705.759167</v>
      </c>
      <c r="L297" s="16">
        <f t="shared" si="5"/>
        <v>671.936833</v>
      </c>
      <c r="N297" s="17" t="str">
        <f t="shared" si="6"/>
        <v>F</v>
      </c>
      <c r="O297" s="17" t="str">
        <f t="shared" si="7"/>
        <v>F</v>
      </c>
      <c r="P297" s="8">
        <f t="shared" si="8"/>
        <v>0</v>
      </c>
      <c r="R297" s="17" t="str">
        <f t="shared" si="9"/>
        <v>F</v>
      </c>
      <c r="S297" s="3" t="str">
        <f t="shared" si="10"/>
        <v>T</v>
      </c>
      <c r="T297" s="8">
        <f t="shared" si="11"/>
        <v>0</v>
      </c>
      <c r="V297" s="4">
        <f t="shared" si="12"/>
        <v>0</v>
      </c>
      <c r="W297" s="8">
        <f t="shared" si="13"/>
        <v>-3.27</v>
      </c>
      <c r="X297" s="8">
        <f t="shared" si="14"/>
        <v>0</v>
      </c>
      <c r="Y297" s="8">
        <f t="shared" si="15"/>
        <v>-98.21</v>
      </c>
    </row>
    <row r="298">
      <c r="A298" s="2">
        <v>291.0</v>
      </c>
      <c r="B298" s="15">
        <f>IFERROR(__xludf.DUMMYFUNCTION("""COMPUTED_VALUE"""),42802.64583333333)</f>
        <v>42802.64583</v>
      </c>
      <c r="C298" s="8">
        <f>IFERROR(__xludf.DUMMYFUNCTION("""COMPUTED_VALUE"""),1367.7)</f>
        <v>1367.7</v>
      </c>
      <c r="E298" s="15">
        <f>IFERROR(__xludf.DUMMYFUNCTION("""COMPUTED_VALUE"""),42802.64583333333)</f>
        <v>42802.64583</v>
      </c>
      <c r="F298" s="8">
        <f>IFERROR(__xludf.DUMMYFUNCTION("""COMPUTED_VALUE"""),696.1)</f>
        <v>696.1</v>
      </c>
      <c r="H298" s="4">
        <f t="shared" si="1"/>
        <v>671.6</v>
      </c>
      <c r="I298" s="16">
        <f t="shared" si="2"/>
        <v>682.224</v>
      </c>
      <c r="J298" s="16">
        <f t="shared" si="3"/>
        <v>15.57350731</v>
      </c>
      <c r="K298" s="16">
        <f t="shared" si="4"/>
        <v>697.7975073</v>
      </c>
      <c r="L298" s="16">
        <f t="shared" si="5"/>
        <v>666.6504927</v>
      </c>
      <c r="N298" s="17" t="str">
        <f t="shared" si="6"/>
        <v>F</v>
      </c>
      <c r="O298" s="17" t="str">
        <f t="shared" si="7"/>
        <v>F</v>
      </c>
      <c r="P298" s="8">
        <f t="shared" si="8"/>
        <v>0</v>
      </c>
      <c r="R298" s="17" t="str">
        <f t="shared" si="9"/>
        <v>F</v>
      </c>
      <c r="S298" s="3" t="str">
        <f t="shared" si="10"/>
        <v>T</v>
      </c>
      <c r="T298" s="8">
        <f t="shared" si="11"/>
        <v>0</v>
      </c>
      <c r="V298" s="4">
        <f t="shared" si="12"/>
        <v>0</v>
      </c>
      <c r="W298" s="8">
        <f t="shared" si="13"/>
        <v>-0.7</v>
      </c>
      <c r="X298" s="8">
        <f t="shared" si="14"/>
        <v>0</v>
      </c>
      <c r="Y298" s="8">
        <f t="shared" si="15"/>
        <v>-98.21</v>
      </c>
    </row>
    <row r="299">
      <c r="A299" s="2">
        <v>292.0</v>
      </c>
      <c r="B299" s="15">
        <f>IFERROR(__xludf.DUMMYFUNCTION("""COMPUTED_VALUE"""),42803.64583333333)</f>
        <v>42803.64583</v>
      </c>
      <c r="C299" s="8">
        <f>IFERROR(__xludf.DUMMYFUNCTION("""COMPUTED_VALUE"""),1371.5)</f>
        <v>1371.5</v>
      </c>
      <c r="E299" s="15">
        <f>IFERROR(__xludf.DUMMYFUNCTION("""COMPUTED_VALUE"""),42803.64583333333)</f>
        <v>42803.64583</v>
      </c>
      <c r="F299" s="8">
        <f>IFERROR(__xludf.DUMMYFUNCTION("""COMPUTED_VALUE"""),697.1)</f>
        <v>697.1</v>
      </c>
      <c r="H299" s="4">
        <f t="shared" si="1"/>
        <v>674.4</v>
      </c>
      <c r="I299" s="16">
        <f t="shared" si="2"/>
        <v>675.314</v>
      </c>
      <c r="J299" s="16">
        <f t="shared" si="3"/>
        <v>4.425266094</v>
      </c>
      <c r="K299" s="16">
        <f t="shared" si="4"/>
        <v>679.7392661</v>
      </c>
      <c r="L299" s="16">
        <f t="shared" si="5"/>
        <v>670.8887339</v>
      </c>
      <c r="N299" s="17" t="str">
        <f t="shared" si="6"/>
        <v>F</v>
      </c>
      <c r="O299" s="17" t="str">
        <f t="shared" si="7"/>
        <v>F</v>
      </c>
      <c r="P299" s="8">
        <f t="shared" si="8"/>
        <v>0</v>
      </c>
      <c r="R299" s="17" t="str">
        <f t="shared" si="9"/>
        <v>F</v>
      </c>
      <c r="S299" s="3" t="str">
        <f t="shared" si="10"/>
        <v>T</v>
      </c>
      <c r="T299" s="8">
        <f t="shared" si="11"/>
        <v>0</v>
      </c>
      <c r="V299" s="4">
        <f t="shared" si="12"/>
        <v>0</v>
      </c>
      <c r="W299" s="8">
        <f t="shared" si="13"/>
        <v>2.8</v>
      </c>
      <c r="X299" s="8">
        <f t="shared" si="14"/>
        <v>0</v>
      </c>
      <c r="Y299" s="8">
        <f t="shared" si="15"/>
        <v>-98.21</v>
      </c>
    </row>
    <row r="300">
      <c r="A300" s="2">
        <v>293.0</v>
      </c>
      <c r="B300" s="15">
        <f>IFERROR(__xludf.DUMMYFUNCTION("""COMPUTED_VALUE"""),42804.64583333333)</f>
        <v>42804.64583</v>
      </c>
      <c r="C300" s="8">
        <f>IFERROR(__xludf.DUMMYFUNCTION("""COMPUTED_VALUE"""),1373.8)</f>
        <v>1373.8</v>
      </c>
      <c r="E300" s="15">
        <f>IFERROR(__xludf.DUMMYFUNCTION("""COMPUTED_VALUE"""),42804.64583333333)</f>
        <v>42804.64583</v>
      </c>
      <c r="F300" s="8">
        <f>IFERROR(__xludf.DUMMYFUNCTION("""COMPUTED_VALUE"""),700.05)</f>
        <v>700.05</v>
      </c>
      <c r="H300" s="4">
        <f t="shared" si="1"/>
        <v>673.75</v>
      </c>
      <c r="I300" s="16">
        <f t="shared" si="2"/>
        <v>673.524</v>
      </c>
      <c r="J300" s="16">
        <f t="shared" si="3"/>
        <v>1.59722572</v>
      </c>
      <c r="K300" s="16">
        <f t="shared" si="4"/>
        <v>675.1212257</v>
      </c>
      <c r="L300" s="16">
        <f t="shared" si="5"/>
        <v>671.9267743</v>
      </c>
      <c r="N300" s="17" t="str">
        <f t="shared" si="6"/>
        <v>F</v>
      </c>
      <c r="O300" s="17" t="str">
        <f t="shared" si="7"/>
        <v>T</v>
      </c>
      <c r="P300" s="8">
        <f t="shared" si="8"/>
        <v>0</v>
      </c>
      <c r="R300" s="17" t="str">
        <f t="shared" si="9"/>
        <v>F</v>
      </c>
      <c r="S300" s="3" t="str">
        <f t="shared" si="10"/>
        <v>F</v>
      </c>
      <c r="T300" s="8">
        <f t="shared" si="11"/>
        <v>0</v>
      </c>
      <c r="V300" s="4">
        <f t="shared" si="12"/>
        <v>0</v>
      </c>
      <c r="W300" s="8">
        <f t="shared" si="13"/>
        <v>-0.65</v>
      </c>
      <c r="X300" s="8">
        <f t="shared" si="14"/>
        <v>0</v>
      </c>
      <c r="Y300" s="8">
        <f t="shared" si="15"/>
        <v>-98.21</v>
      </c>
    </row>
    <row r="301">
      <c r="A301" s="2">
        <v>294.0</v>
      </c>
      <c r="B301" s="15">
        <f>IFERROR(__xludf.DUMMYFUNCTION("""COMPUTED_VALUE"""),42808.64583333333)</f>
        <v>42808.64583</v>
      </c>
      <c r="C301" s="8">
        <f>IFERROR(__xludf.DUMMYFUNCTION("""COMPUTED_VALUE"""),1424.15)</f>
        <v>1424.15</v>
      </c>
      <c r="E301" s="15">
        <f>IFERROR(__xludf.DUMMYFUNCTION("""COMPUTED_VALUE"""),42808.64583333333)</f>
        <v>42808.64583</v>
      </c>
      <c r="F301" s="8">
        <f>IFERROR(__xludf.DUMMYFUNCTION("""COMPUTED_VALUE"""),705.35)</f>
        <v>705.35</v>
      </c>
      <c r="H301" s="4">
        <f t="shared" si="1"/>
        <v>718.8</v>
      </c>
      <c r="I301" s="16">
        <f t="shared" si="2"/>
        <v>682.17</v>
      </c>
      <c r="J301" s="16">
        <f t="shared" si="3"/>
        <v>20.50712071</v>
      </c>
      <c r="K301" s="16">
        <f t="shared" si="4"/>
        <v>702.6771207</v>
      </c>
      <c r="L301" s="16">
        <f t="shared" si="5"/>
        <v>661.6628793</v>
      </c>
      <c r="N301" s="17" t="str">
        <f t="shared" si="6"/>
        <v>F</v>
      </c>
      <c r="O301" s="17" t="str">
        <f t="shared" si="7"/>
        <v>T</v>
      </c>
      <c r="P301" s="8">
        <f t="shared" si="8"/>
        <v>0</v>
      </c>
      <c r="R301" s="17" t="str">
        <f t="shared" si="9"/>
        <v>T</v>
      </c>
      <c r="S301" s="3" t="str">
        <f t="shared" si="10"/>
        <v>F</v>
      </c>
      <c r="T301" s="8">
        <f t="shared" si="11"/>
        <v>-1</v>
      </c>
      <c r="V301" s="4">
        <f t="shared" si="12"/>
        <v>-1</v>
      </c>
      <c r="W301" s="8">
        <f t="shared" si="13"/>
        <v>45.05</v>
      </c>
      <c r="X301" s="8">
        <f t="shared" si="14"/>
        <v>0</v>
      </c>
      <c r="Y301" s="8">
        <f t="shared" si="15"/>
        <v>-98.21</v>
      </c>
    </row>
    <row r="302">
      <c r="A302" s="2">
        <v>295.0</v>
      </c>
      <c r="B302" s="15">
        <f>IFERROR(__xludf.DUMMYFUNCTION("""COMPUTED_VALUE"""),42809.64583333333)</f>
        <v>42809.64583</v>
      </c>
      <c r="C302" s="8">
        <f>IFERROR(__xludf.DUMMYFUNCTION("""COMPUTED_VALUE"""),1426.1)</f>
        <v>1426.1</v>
      </c>
      <c r="E302" s="15">
        <f>IFERROR(__xludf.DUMMYFUNCTION("""COMPUTED_VALUE"""),42809.64583333333)</f>
        <v>42809.64583</v>
      </c>
      <c r="F302" s="8">
        <f>IFERROR(__xludf.DUMMYFUNCTION("""COMPUTED_VALUE"""),708.3)</f>
        <v>708.3</v>
      </c>
      <c r="H302" s="4">
        <f t="shared" si="1"/>
        <v>717.8</v>
      </c>
      <c r="I302" s="16">
        <f t="shared" si="2"/>
        <v>691.27</v>
      </c>
      <c r="J302" s="16">
        <f t="shared" si="3"/>
        <v>24.69918015</v>
      </c>
      <c r="K302" s="16">
        <f t="shared" si="4"/>
        <v>715.9691801</v>
      </c>
      <c r="L302" s="16">
        <f t="shared" si="5"/>
        <v>666.5708199</v>
      </c>
      <c r="N302" s="17" t="str">
        <f t="shared" si="6"/>
        <v>F</v>
      </c>
      <c r="O302" s="17" t="str">
        <f t="shared" si="7"/>
        <v>T</v>
      </c>
      <c r="P302" s="8">
        <f t="shared" si="8"/>
        <v>0</v>
      </c>
      <c r="R302" s="17" t="str">
        <f t="shared" si="9"/>
        <v>T</v>
      </c>
      <c r="S302" s="3" t="str">
        <f t="shared" si="10"/>
        <v>F</v>
      </c>
      <c r="T302" s="8">
        <f t="shared" si="11"/>
        <v>-1</v>
      </c>
      <c r="V302" s="4">
        <f t="shared" si="12"/>
        <v>-1</v>
      </c>
      <c r="W302" s="8">
        <f t="shared" si="13"/>
        <v>-1</v>
      </c>
      <c r="X302" s="8">
        <f t="shared" si="14"/>
        <v>1</v>
      </c>
      <c r="Y302" s="8">
        <f t="shared" si="15"/>
        <v>-97.21</v>
      </c>
    </row>
    <row r="303">
      <c r="A303" s="2">
        <v>296.0</v>
      </c>
      <c r="B303" s="15">
        <f>IFERROR(__xludf.DUMMYFUNCTION("""COMPUTED_VALUE"""),42810.64583333333)</f>
        <v>42810.64583</v>
      </c>
      <c r="C303" s="8">
        <f>IFERROR(__xludf.DUMMYFUNCTION("""COMPUTED_VALUE"""),1450.25)</f>
        <v>1450.25</v>
      </c>
      <c r="E303" s="15">
        <f>IFERROR(__xludf.DUMMYFUNCTION("""COMPUTED_VALUE"""),42810.64583333333)</f>
        <v>42810.64583</v>
      </c>
      <c r="F303" s="8">
        <f>IFERROR(__xludf.DUMMYFUNCTION("""COMPUTED_VALUE"""),708.68)</f>
        <v>708.68</v>
      </c>
      <c r="H303" s="4">
        <f t="shared" si="1"/>
        <v>741.57</v>
      </c>
      <c r="I303" s="16">
        <f t="shared" si="2"/>
        <v>705.264</v>
      </c>
      <c r="J303" s="16">
        <f t="shared" si="3"/>
        <v>30.01757369</v>
      </c>
      <c r="K303" s="16">
        <f t="shared" si="4"/>
        <v>735.2815737</v>
      </c>
      <c r="L303" s="16">
        <f t="shared" si="5"/>
        <v>675.2464263</v>
      </c>
      <c r="N303" s="17" t="str">
        <f t="shared" si="6"/>
        <v>F</v>
      </c>
      <c r="O303" s="17" t="str">
        <f t="shared" si="7"/>
        <v>T</v>
      </c>
      <c r="P303" s="8">
        <f t="shared" si="8"/>
        <v>0</v>
      </c>
      <c r="R303" s="17" t="str">
        <f t="shared" si="9"/>
        <v>T</v>
      </c>
      <c r="S303" s="3" t="str">
        <f t="shared" si="10"/>
        <v>F</v>
      </c>
      <c r="T303" s="8">
        <f t="shared" si="11"/>
        <v>-1</v>
      </c>
      <c r="V303" s="4">
        <f t="shared" si="12"/>
        <v>-1</v>
      </c>
      <c r="W303" s="8">
        <f t="shared" si="13"/>
        <v>23.77</v>
      </c>
      <c r="X303" s="8">
        <f t="shared" si="14"/>
        <v>-23.77</v>
      </c>
      <c r="Y303" s="8">
        <f t="shared" si="15"/>
        <v>-120.98</v>
      </c>
    </row>
    <row r="304">
      <c r="A304" s="2">
        <v>297.0</v>
      </c>
      <c r="B304" s="15">
        <f>IFERROR(__xludf.DUMMYFUNCTION("""COMPUTED_VALUE"""),42811.64583333333)</f>
        <v>42811.64583</v>
      </c>
      <c r="C304" s="8">
        <f>IFERROR(__xludf.DUMMYFUNCTION("""COMPUTED_VALUE"""),1451.2)</f>
        <v>1451.2</v>
      </c>
      <c r="E304" s="15">
        <f>IFERROR(__xludf.DUMMYFUNCTION("""COMPUTED_VALUE"""),42811.64583333333)</f>
        <v>42811.64583</v>
      </c>
      <c r="F304" s="8">
        <f>IFERROR(__xludf.DUMMYFUNCTION("""COMPUTED_VALUE"""),712.93)</f>
        <v>712.93</v>
      </c>
      <c r="H304" s="4">
        <f t="shared" si="1"/>
        <v>738.27</v>
      </c>
      <c r="I304" s="16">
        <f t="shared" si="2"/>
        <v>718.038</v>
      </c>
      <c r="J304" s="16">
        <f t="shared" si="3"/>
        <v>27.04234217</v>
      </c>
      <c r="K304" s="16">
        <f t="shared" si="4"/>
        <v>745.0803422</v>
      </c>
      <c r="L304" s="16">
        <f t="shared" si="5"/>
        <v>690.9956578</v>
      </c>
      <c r="N304" s="17" t="str">
        <f t="shared" si="6"/>
        <v>F</v>
      </c>
      <c r="O304" s="17" t="str">
        <f t="shared" si="7"/>
        <v>T</v>
      </c>
      <c r="P304" s="8">
        <f t="shared" si="8"/>
        <v>0</v>
      </c>
      <c r="R304" s="17" t="str">
        <f t="shared" si="9"/>
        <v>F</v>
      </c>
      <c r="S304" s="3" t="str">
        <f t="shared" si="10"/>
        <v>F</v>
      </c>
      <c r="T304" s="8">
        <f t="shared" si="11"/>
        <v>-1</v>
      </c>
      <c r="V304" s="4">
        <f t="shared" si="12"/>
        <v>-1</v>
      </c>
      <c r="W304" s="8">
        <f t="shared" si="13"/>
        <v>-3.3</v>
      </c>
      <c r="X304" s="8">
        <f t="shared" si="14"/>
        <v>3.3</v>
      </c>
      <c r="Y304" s="8">
        <f t="shared" si="15"/>
        <v>-117.68</v>
      </c>
    </row>
    <row r="305">
      <c r="A305" s="2">
        <v>298.0</v>
      </c>
      <c r="B305" s="15">
        <f>IFERROR(__xludf.DUMMYFUNCTION("""COMPUTED_VALUE"""),42814.64583333333)</f>
        <v>42814.64583</v>
      </c>
      <c r="C305" s="8">
        <f>IFERROR(__xludf.DUMMYFUNCTION("""COMPUTED_VALUE"""),1457.75)</f>
        <v>1457.75</v>
      </c>
      <c r="E305" s="15">
        <f>IFERROR(__xludf.DUMMYFUNCTION("""COMPUTED_VALUE"""),42814.64583333333)</f>
        <v>42814.64583</v>
      </c>
      <c r="F305" s="8">
        <f>IFERROR(__xludf.DUMMYFUNCTION("""COMPUTED_VALUE"""),718.05)</f>
        <v>718.05</v>
      </c>
      <c r="H305" s="4">
        <f t="shared" si="1"/>
        <v>739.7</v>
      </c>
      <c r="I305" s="16">
        <f t="shared" si="2"/>
        <v>731.228</v>
      </c>
      <c r="J305" s="16">
        <f t="shared" si="3"/>
        <v>11.86473641</v>
      </c>
      <c r="K305" s="16">
        <f t="shared" si="4"/>
        <v>743.0927364</v>
      </c>
      <c r="L305" s="16">
        <f t="shared" si="5"/>
        <v>719.3632636</v>
      </c>
      <c r="N305" s="17" t="str">
        <f t="shared" si="6"/>
        <v>F</v>
      </c>
      <c r="O305" s="17" t="str">
        <f t="shared" si="7"/>
        <v>T</v>
      </c>
      <c r="P305" s="8">
        <f t="shared" si="8"/>
        <v>0</v>
      </c>
      <c r="R305" s="17" t="str">
        <f t="shared" si="9"/>
        <v>F</v>
      </c>
      <c r="S305" s="3" t="str">
        <f t="shared" si="10"/>
        <v>F</v>
      </c>
      <c r="T305" s="8">
        <f t="shared" si="11"/>
        <v>-1</v>
      </c>
      <c r="V305" s="4">
        <f t="shared" si="12"/>
        <v>-1</v>
      </c>
      <c r="W305" s="8">
        <f t="shared" si="13"/>
        <v>1.43</v>
      </c>
      <c r="X305" s="8">
        <f t="shared" si="14"/>
        <v>-1.43</v>
      </c>
      <c r="Y305" s="8">
        <f t="shared" si="15"/>
        <v>-119.11</v>
      </c>
    </row>
    <row r="306">
      <c r="A306" s="2">
        <v>299.0</v>
      </c>
      <c r="B306" s="15">
        <f>IFERROR(__xludf.DUMMYFUNCTION("""COMPUTED_VALUE"""),42815.64583333333)</f>
        <v>42815.64583</v>
      </c>
      <c r="C306" s="8">
        <f>IFERROR(__xludf.DUMMYFUNCTION("""COMPUTED_VALUE"""),1458.4)</f>
        <v>1458.4</v>
      </c>
      <c r="E306" s="15">
        <f>IFERROR(__xludf.DUMMYFUNCTION("""COMPUTED_VALUE"""),42815.64583333333)</f>
        <v>42815.64583</v>
      </c>
      <c r="F306" s="8">
        <f>IFERROR(__xludf.DUMMYFUNCTION("""COMPUTED_VALUE"""),720.48)</f>
        <v>720.48</v>
      </c>
      <c r="H306" s="4">
        <f t="shared" si="1"/>
        <v>737.92</v>
      </c>
      <c r="I306" s="16">
        <f t="shared" si="2"/>
        <v>735.052</v>
      </c>
      <c r="J306" s="16">
        <f t="shared" si="3"/>
        <v>9.750649722</v>
      </c>
      <c r="K306" s="16">
        <f t="shared" si="4"/>
        <v>744.8026497</v>
      </c>
      <c r="L306" s="16">
        <f t="shared" si="5"/>
        <v>725.3013503</v>
      </c>
      <c r="N306" s="17" t="str">
        <f t="shared" si="6"/>
        <v>F</v>
      </c>
      <c r="O306" s="17" t="str">
        <f t="shared" si="7"/>
        <v>T</v>
      </c>
      <c r="P306" s="8">
        <f t="shared" si="8"/>
        <v>0</v>
      </c>
      <c r="R306" s="17" t="str">
        <f t="shared" si="9"/>
        <v>F</v>
      </c>
      <c r="S306" s="3" t="str">
        <f t="shared" si="10"/>
        <v>F</v>
      </c>
      <c r="T306" s="8">
        <f t="shared" si="11"/>
        <v>-1</v>
      </c>
      <c r="V306" s="4">
        <f t="shared" si="12"/>
        <v>-1</v>
      </c>
      <c r="W306" s="8">
        <f t="shared" si="13"/>
        <v>-1.78</v>
      </c>
      <c r="X306" s="8">
        <f t="shared" si="14"/>
        <v>1.78</v>
      </c>
      <c r="Y306" s="8">
        <f t="shared" si="15"/>
        <v>-117.33</v>
      </c>
    </row>
    <row r="307">
      <c r="A307" s="2">
        <v>300.0</v>
      </c>
      <c r="B307" s="15">
        <f>IFERROR(__xludf.DUMMYFUNCTION("""COMPUTED_VALUE"""),42816.64583333333)</f>
        <v>42816.64583</v>
      </c>
      <c r="C307" s="8">
        <f>IFERROR(__xludf.DUMMYFUNCTION("""COMPUTED_VALUE"""),1442.3)</f>
        <v>1442.3</v>
      </c>
      <c r="E307" s="15">
        <f>IFERROR(__xludf.DUMMYFUNCTION("""COMPUTED_VALUE"""),42816.64583333333)</f>
        <v>42816.64583</v>
      </c>
      <c r="F307" s="8">
        <f>IFERROR(__xludf.DUMMYFUNCTION("""COMPUTED_VALUE"""),715.45)</f>
        <v>715.45</v>
      </c>
      <c r="H307" s="4">
        <f t="shared" si="1"/>
        <v>726.85</v>
      </c>
      <c r="I307" s="16">
        <f t="shared" si="2"/>
        <v>736.862</v>
      </c>
      <c r="J307" s="16">
        <f t="shared" si="3"/>
        <v>5.778440101</v>
      </c>
      <c r="K307" s="16">
        <f t="shared" si="4"/>
        <v>742.6404401</v>
      </c>
      <c r="L307" s="16">
        <f t="shared" si="5"/>
        <v>731.0835599</v>
      </c>
      <c r="N307" s="17" t="str">
        <f t="shared" si="6"/>
        <v>T</v>
      </c>
      <c r="O307" s="17" t="str">
        <f t="shared" si="7"/>
        <v>F</v>
      </c>
      <c r="P307" s="8">
        <f t="shared" si="8"/>
        <v>1</v>
      </c>
      <c r="R307" s="17" t="str">
        <f t="shared" si="9"/>
        <v>F</v>
      </c>
      <c r="S307" s="3" t="str">
        <f t="shared" si="10"/>
        <v>T</v>
      </c>
      <c r="T307" s="8">
        <f t="shared" si="11"/>
        <v>0</v>
      </c>
      <c r="V307" s="4">
        <f t="shared" si="12"/>
        <v>1</v>
      </c>
      <c r="W307" s="8">
        <f t="shared" si="13"/>
        <v>-11.07</v>
      </c>
      <c r="X307" s="8">
        <f t="shared" si="14"/>
        <v>11.07</v>
      </c>
      <c r="Y307" s="8">
        <f t="shared" si="15"/>
        <v>-106.26</v>
      </c>
    </row>
    <row r="308">
      <c r="A308" s="2">
        <v>301.0</v>
      </c>
      <c r="B308" s="15">
        <f>IFERROR(__xludf.DUMMYFUNCTION("""COMPUTED_VALUE"""),42817.64583333333)</f>
        <v>42817.64583</v>
      </c>
      <c r="C308" s="8">
        <f>IFERROR(__xludf.DUMMYFUNCTION("""COMPUTED_VALUE"""),1456.65)</f>
        <v>1456.65</v>
      </c>
      <c r="E308" s="15">
        <f>IFERROR(__xludf.DUMMYFUNCTION("""COMPUTED_VALUE"""),42817.64583333333)</f>
        <v>42817.64583</v>
      </c>
      <c r="F308" s="8">
        <f>IFERROR(__xludf.DUMMYFUNCTION("""COMPUTED_VALUE"""),715.45)</f>
        <v>715.45</v>
      </c>
      <c r="H308" s="4">
        <f t="shared" si="1"/>
        <v>741.2</v>
      </c>
      <c r="I308" s="16">
        <f t="shared" si="2"/>
        <v>736.788</v>
      </c>
      <c r="J308" s="16">
        <f t="shared" si="3"/>
        <v>5.704977651</v>
      </c>
      <c r="K308" s="16">
        <f t="shared" si="4"/>
        <v>742.4929777</v>
      </c>
      <c r="L308" s="16">
        <f t="shared" si="5"/>
        <v>731.0830223</v>
      </c>
      <c r="N308" s="17" t="str">
        <f t="shared" si="6"/>
        <v>F</v>
      </c>
      <c r="O308" s="17" t="str">
        <f t="shared" si="7"/>
        <v>T</v>
      </c>
      <c r="P308" s="8">
        <f t="shared" si="8"/>
        <v>0</v>
      </c>
      <c r="R308" s="17" t="str">
        <f t="shared" si="9"/>
        <v>F</v>
      </c>
      <c r="S308" s="3" t="str">
        <f t="shared" si="10"/>
        <v>F</v>
      </c>
      <c r="T308" s="8">
        <f t="shared" si="11"/>
        <v>0</v>
      </c>
      <c r="V308" s="4">
        <f t="shared" si="12"/>
        <v>0</v>
      </c>
      <c r="W308" s="8">
        <f t="shared" si="13"/>
        <v>14.35</v>
      </c>
      <c r="X308" s="8">
        <f t="shared" si="14"/>
        <v>14.35</v>
      </c>
      <c r="Y308" s="8">
        <f t="shared" si="15"/>
        <v>-91.91</v>
      </c>
    </row>
    <row r="309">
      <c r="A309" s="2">
        <v>302.0</v>
      </c>
      <c r="B309" s="15">
        <f>IFERROR(__xludf.DUMMYFUNCTION("""COMPUTED_VALUE"""),42818.64583333333)</f>
        <v>42818.64583</v>
      </c>
      <c r="C309" s="8">
        <f>IFERROR(__xludf.DUMMYFUNCTION("""COMPUTED_VALUE"""),1462.6)</f>
        <v>1462.6</v>
      </c>
      <c r="E309" s="15">
        <f>IFERROR(__xludf.DUMMYFUNCTION("""COMPUTED_VALUE"""),42818.64583333333)</f>
        <v>42818.64583</v>
      </c>
      <c r="F309" s="8">
        <f>IFERROR(__xludf.DUMMYFUNCTION("""COMPUTED_VALUE"""),712.18)</f>
        <v>712.18</v>
      </c>
      <c r="H309" s="4">
        <f t="shared" si="1"/>
        <v>750.42</v>
      </c>
      <c r="I309" s="16">
        <f t="shared" si="2"/>
        <v>739.218</v>
      </c>
      <c r="J309" s="16">
        <f t="shared" si="3"/>
        <v>8.430564631</v>
      </c>
      <c r="K309" s="16">
        <f t="shared" si="4"/>
        <v>747.6485646</v>
      </c>
      <c r="L309" s="16">
        <f t="shared" si="5"/>
        <v>730.7874354</v>
      </c>
      <c r="N309" s="17" t="str">
        <f t="shared" si="6"/>
        <v>F</v>
      </c>
      <c r="O309" s="17" t="str">
        <f t="shared" si="7"/>
        <v>T</v>
      </c>
      <c r="P309" s="8">
        <f t="shared" si="8"/>
        <v>0</v>
      </c>
      <c r="R309" s="17" t="str">
        <f t="shared" si="9"/>
        <v>T</v>
      </c>
      <c r="S309" s="3" t="str">
        <f t="shared" si="10"/>
        <v>F</v>
      </c>
      <c r="T309" s="8">
        <f t="shared" si="11"/>
        <v>-1</v>
      </c>
      <c r="V309" s="4">
        <f t="shared" si="12"/>
        <v>-1</v>
      </c>
      <c r="W309" s="8">
        <f t="shared" si="13"/>
        <v>9.22</v>
      </c>
      <c r="X309" s="8">
        <f t="shared" si="14"/>
        <v>0</v>
      </c>
      <c r="Y309" s="8">
        <f t="shared" si="15"/>
        <v>-91.91</v>
      </c>
    </row>
    <row r="310">
      <c r="A310" s="2">
        <v>303.0</v>
      </c>
      <c r="B310" s="15">
        <f>IFERROR(__xludf.DUMMYFUNCTION("""COMPUTED_VALUE"""),42821.64583333333)</f>
        <v>42821.64583</v>
      </c>
      <c r="C310" s="8">
        <f>IFERROR(__xludf.DUMMYFUNCTION("""COMPUTED_VALUE"""),1474.7)</f>
        <v>1474.7</v>
      </c>
      <c r="E310" s="15">
        <f>IFERROR(__xludf.DUMMYFUNCTION("""COMPUTED_VALUE"""),42821.64583333333)</f>
        <v>42821.64583</v>
      </c>
      <c r="F310" s="8">
        <f>IFERROR(__xludf.DUMMYFUNCTION("""COMPUTED_VALUE"""),704.93)</f>
        <v>704.93</v>
      </c>
      <c r="H310" s="4">
        <f t="shared" si="1"/>
        <v>769.77</v>
      </c>
      <c r="I310" s="16">
        <f t="shared" si="2"/>
        <v>745.232</v>
      </c>
      <c r="J310" s="16">
        <f t="shared" si="3"/>
        <v>16.09851763</v>
      </c>
      <c r="K310" s="16">
        <f t="shared" si="4"/>
        <v>761.3305176</v>
      </c>
      <c r="L310" s="16">
        <f t="shared" si="5"/>
        <v>729.1334824</v>
      </c>
      <c r="N310" s="17" t="str">
        <f t="shared" si="6"/>
        <v>F</v>
      </c>
      <c r="O310" s="17" t="str">
        <f t="shared" si="7"/>
        <v>T</v>
      </c>
      <c r="P310" s="8">
        <f t="shared" si="8"/>
        <v>0</v>
      </c>
      <c r="R310" s="17" t="str">
        <f t="shared" si="9"/>
        <v>T</v>
      </c>
      <c r="S310" s="3" t="str">
        <f t="shared" si="10"/>
        <v>F</v>
      </c>
      <c r="T310" s="8">
        <f t="shared" si="11"/>
        <v>-1</v>
      </c>
      <c r="V310" s="4">
        <f t="shared" si="12"/>
        <v>-1</v>
      </c>
      <c r="W310" s="8">
        <f t="shared" si="13"/>
        <v>19.35</v>
      </c>
      <c r="X310" s="8">
        <f t="shared" si="14"/>
        <v>-19.35</v>
      </c>
      <c r="Y310" s="8">
        <f t="shared" si="15"/>
        <v>-111.26</v>
      </c>
    </row>
    <row r="311">
      <c r="A311" s="2">
        <v>304.0</v>
      </c>
      <c r="B311" s="15">
        <f>IFERROR(__xludf.DUMMYFUNCTION("""COMPUTED_VALUE"""),42822.64583333333)</f>
        <v>42822.64583</v>
      </c>
      <c r="C311" s="8">
        <f>IFERROR(__xludf.DUMMYFUNCTION("""COMPUTED_VALUE"""),1504.1)</f>
        <v>1504.1</v>
      </c>
      <c r="E311" s="15">
        <f>IFERROR(__xludf.DUMMYFUNCTION("""COMPUTED_VALUE"""),42822.64583333333)</f>
        <v>42822.64583</v>
      </c>
      <c r="F311" s="8">
        <f>IFERROR(__xludf.DUMMYFUNCTION("""COMPUTED_VALUE"""),710.1)</f>
        <v>710.1</v>
      </c>
      <c r="H311" s="4">
        <f t="shared" si="1"/>
        <v>794</v>
      </c>
      <c r="I311" s="16">
        <f t="shared" si="2"/>
        <v>756.448</v>
      </c>
      <c r="J311" s="16">
        <f t="shared" si="3"/>
        <v>26.13669968</v>
      </c>
      <c r="K311" s="16">
        <f t="shared" si="4"/>
        <v>782.5846997</v>
      </c>
      <c r="L311" s="16">
        <f t="shared" si="5"/>
        <v>730.3113003</v>
      </c>
      <c r="N311" s="17" t="str">
        <f t="shared" si="6"/>
        <v>F</v>
      </c>
      <c r="O311" s="17" t="str">
        <f t="shared" si="7"/>
        <v>T</v>
      </c>
      <c r="P311" s="8">
        <f t="shared" si="8"/>
        <v>0</v>
      </c>
      <c r="R311" s="17" t="str">
        <f t="shared" si="9"/>
        <v>T</v>
      </c>
      <c r="S311" s="3" t="str">
        <f t="shared" si="10"/>
        <v>F</v>
      </c>
      <c r="T311" s="8">
        <f t="shared" si="11"/>
        <v>-1</v>
      </c>
      <c r="V311" s="4">
        <f t="shared" si="12"/>
        <v>-1</v>
      </c>
      <c r="W311" s="8">
        <f t="shared" si="13"/>
        <v>24.23</v>
      </c>
      <c r="X311" s="8">
        <f t="shared" si="14"/>
        <v>-24.23</v>
      </c>
      <c r="Y311" s="8">
        <f t="shared" si="15"/>
        <v>-135.49</v>
      </c>
    </row>
    <row r="312">
      <c r="A312" s="2">
        <v>305.0</v>
      </c>
      <c r="B312" s="15">
        <f>IFERROR(__xludf.DUMMYFUNCTION("""COMPUTED_VALUE"""),42823.64583333333)</f>
        <v>42823.64583</v>
      </c>
      <c r="C312" s="8">
        <f>IFERROR(__xludf.DUMMYFUNCTION("""COMPUTED_VALUE"""),1522.05)</f>
        <v>1522.05</v>
      </c>
      <c r="E312" s="15">
        <f>IFERROR(__xludf.DUMMYFUNCTION("""COMPUTED_VALUE"""),42823.64583333333)</f>
        <v>42823.64583</v>
      </c>
      <c r="F312" s="8">
        <f>IFERROR(__xludf.DUMMYFUNCTION("""COMPUTED_VALUE"""),714.3)</f>
        <v>714.3</v>
      </c>
      <c r="H312" s="4">
        <f t="shared" si="1"/>
        <v>807.75</v>
      </c>
      <c r="I312" s="16">
        <f t="shared" si="2"/>
        <v>772.628</v>
      </c>
      <c r="J312" s="16">
        <f t="shared" si="3"/>
        <v>28.19308373</v>
      </c>
      <c r="K312" s="16">
        <f t="shared" si="4"/>
        <v>800.8210837</v>
      </c>
      <c r="L312" s="16">
        <f t="shared" si="5"/>
        <v>744.4349163</v>
      </c>
      <c r="N312" s="17" t="str">
        <f t="shared" si="6"/>
        <v>F</v>
      </c>
      <c r="O312" s="17" t="str">
        <f t="shared" si="7"/>
        <v>T</v>
      </c>
      <c r="P312" s="8">
        <f t="shared" si="8"/>
        <v>0</v>
      </c>
      <c r="R312" s="17" t="str">
        <f t="shared" si="9"/>
        <v>T</v>
      </c>
      <c r="S312" s="3" t="str">
        <f t="shared" si="10"/>
        <v>F</v>
      </c>
      <c r="T312" s="8">
        <f t="shared" si="11"/>
        <v>-1</v>
      </c>
      <c r="V312" s="4">
        <f t="shared" si="12"/>
        <v>-1</v>
      </c>
      <c r="W312" s="8">
        <f t="shared" si="13"/>
        <v>13.75</v>
      </c>
      <c r="X312" s="8">
        <f t="shared" si="14"/>
        <v>-13.75</v>
      </c>
      <c r="Y312" s="8">
        <f t="shared" si="15"/>
        <v>-149.24</v>
      </c>
    </row>
    <row r="313">
      <c r="A313" s="2">
        <v>306.0</v>
      </c>
      <c r="B313" s="15">
        <f>IFERROR(__xludf.DUMMYFUNCTION("""COMPUTED_VALUE"""),42824.64583333333)</f>
        <v>42824.64583</v>
      </c>
      <c r="C313" s="8">
        <f>IFERROR(__xludf.DUMMYFUNCTION("""COMPUTED_VALUE"""),1519.95)</f>
        <v>1519.95</v>
      </c>
      <c r="E313" s="15">
        <f>IFERROR(__xludf.DUMMYFUNCTION("""COMPUTED_VALUE"""),42824.64583333333)</f>
        <v>42824.64583</v>
      </c>
      <c r="F313" s="8">
        <f>IFERROR(__xludf.DUMMYFUNCTION("""COMPUTED_VALUE"""),733.1)</f>
        <v>733.1</v>
      </c>
      <c r="H313" s="4">
        <f t="shared" si="1"/>
        <v>786.85</v>
      </c>
      <c r="I313" s="16">
        <f t="shared" si="2"/>
        <v>781.758</v>
      </c>
      <c r="J313" s="16">
        <f t="shared" si="3"/>
        <v>22.23264199</v>
      </c>
      <c r="K313" s="16">
        <f t="shared" si="4"/>
        <v>803.990642</v>
      </c>
      <c r="L313" s="16">
        <f t="shared" si="5"/>
        <v>759.525358</v>
      </c>
      <c r="N313" s="17" t="str">
        <f t="shared" si="6"/>
        <v>F</v>
      </c>
      <c r="O313" s="17" t="str">
        <f t="shared" si="7"/>
        <v>T</v>
      </c>
      <c r="P313" s="8">
        <f t="shared" si="8"/>
        <v>0</v>
      </c>
      <c r="R313" s="17" t="str">
        <f t="shared" si="9"/>
        <v>F</v>
      </c>
      <c r="S313" s="3" t="str">
        <f t="shared" si="10"/>
        <v>F</v>
      </c>
      <c r="T313" s="8">
        <f t="shared" si="11"/>
        <v>-1</v>
      </c>
      <c r="V313" s="4">
        <f t="shared" si="12"/>
        <v>-1</v>
      </c>
      <c r="W313" s="8">
        <f t="shared" si="13"/>
        <v>-20.9</v>
      </c>
      <c r="X313" s="8">
        <f t="shared" si="14"/>
        <v>20.9</v>
      </c>
      <c r="Y313" s="8">
        <f t="shared" si="15"/>
        <v>-128.34</v>
      </c>
    </row>
    <row r="314">
      <c r="A314" s="2">
        <v>307.0</v>
      </c>
      <c r="B314" s="15">
        <f>IFERROR(__xludf.DUMMYFUNCTION("""COMPUTED_VALUE"""),42825.64583333333)</f>
        <v>42825.64583</v>
      </c>
      <c r="C314" s="8">
        <f>IFERROR(__xludf.DUMMYFUNCTION("""COMPUTED_VALUE"""),1502.1)</f>
        <v>1502.1</v>
      </c>
      <c r="E314" s="15">
        <f>IFERROR(__xludf.DUMMYFUNCTION("""COMPUTED_VALUE"""),42825.64583333333)</f>
        <v>42825.64583</v>
      </c>
      <c r="F314" s="8">
        <f>IFERROR(__xludf.DUMMYFUNCTION("""COMPUTED_VALUE"""),721.28)</f>
        <v>721.28</v>
      </c>
      <c r="H314" s="4">
        <f t="shared" si="1"/>
        <v>780.82</v>
      </c>
      <c r="I314" s="16">
        <f t="shared" si="2"/>
        <v>787.838</v>
      </c>
      <c r="J314" s="16">
        <f t="shared" si="3"/>
        <v>14.24025175</v>
      </c>
      <c r="K314" s="16">
        <f t="shared" si="4"/>
        <v>802.0782518</v>
      </c>
      <c r="L314" s="16">
        <f t="shared" si="5"/>
        <v>773.5977482</v>
      </c>
      <c r="N314" s="17" t="str">
        <f t="shared" si="6"/>
        <v>F</v>
      </c>
      <c r="O314" s="17" t="str">
        <f t="shared" si="7"/>
        <v>F</v>
      </c>
      <c r="P314" s="8">
        <f t="shared" si="8"/>
        <v>0</v>
      </c>
      <c r="R314" s="17" t="str">
        <f t="shared" si="9"/>
        <v>F</v>
      </c>
      <c r="S314" s="3" t="str">
        <f t="shared" si="10"/>
        <v>T</v>
      </c>
      <c r="T314" s="8">
        <f t="shared" si="11"/>
        <v>0</v>
      </c>
      <c r="V314" s="4">
        <f t="shared" si="12"/>
        <v>0</v>
      </c>
      <c r="W314" s="8">
        <f t="shared" si="13"/>
        <v>-6.03</v>
      </c>
      <c r="X314" s="8">
        <f t="shared" si="14"/>
        <v>6.03</v>
      </c>
      <c r="Y314" s="8">
        <f t="shared" si="15"/>
        <v>-122.31</v>
      </c>
    </row>
    <row r="315">
      <c r="A315" s="2">
        <v>308.0</v>
      </c>
      <c r="B315" s="15">
        <f>IFERROR(__xludf.DUMMYFUNCTION("""COMPUTED_VALUE"""),42828.64583333333)</f>
        <v>42828.64583</v>
      </c>
      <c r="C315" s="8">
        <f>IFERROR(__xludf.DUMMYFUNCTION("""COMPUTED_VALUE"""),1533.65)</f>
        <v>1533.65</v>
      </c>
      <c r="E315" s="15">
        <f>IFERROR(__xludf.DUMMYFUNCTION("""COMPUTED_VALUE"""),42828.64583333333)</f>
        <v>42828.64583</v>
      </c>
      <c r="F315" s="8">
        <f>IFERROR(__xludf.DUMMYFUNCTION("""COMPUTED_VALUE"""),716.6)</f>
        <v>716.6</v>
      </c>
      <c r="H315" s="4">
        <f t="shared" si="1"/>
        <v>817.05</v>
      </c>
      <c r="I315" s="16">
        <f t="shared" si="2"/>
        <v>797.294</v>
      </c>
      <c r="J315" s="16">
        <f t="shared" si="3"/>
        <v>14.92437369</v>
      </c>
      <c r="K315" s="16">
        <f t="shared" si="4"/>
        <v>812.2183737</v>
      </c>
      <c r="L315" s="16">
        <f t="shared" si="5"/>
        <v>782.3696263</v>
      </c>
      <c r="N315" s="17" t="str">
        <f t="shared" si="6"/>
        <v>F</v>
      </c>
      <c r="O315" s="17" t="str">
        <f t="shared" si="7"/>
        <v>T</v>
      </c>
      <c r="P315" s="8">
        <f t="shared" si="8"/>
        <v>0</v>
      </c>
      <c r="R315" s="17" t="str">
        <f t="shared" si="9"/>
        <v>T</v>
      </c>
      <c r="S315" s="3" t="str">
        <f t="shared" si="10"/>
        <v>F</v>
      </c>
      <c r="T315" s="8">
        <f t="shared" si="11"/>
        <v>-1</v>
      </c>
      <c r="V315" s="4">
        <f t="shared" si="12"/>
        <v>-1</v>
      </c>
      <c r="W315" s="8">
        <f t="shared" si="13"/>
        <v>36.23</v>
      </c>
      <c r="X315" s="8">
        <f t="shared" si="14"/>
        <v>0</v>
      </c>
      <c r="Y315" s="8">
        <f t="shared" si="15"/>
        <v>-122.31</v>
      </c>
    </row>
    <row r="316">
      <c r="A316" s="2">
        <v>309.0</v>
      </c>
      <c r="B316" s="15">
        <f>IFERROR(__xludf.DUMMYFUNCTION("""COMPUTED_VALUE"""),42830.64583333333)</f>
        <v>42830.64583</v>
      </c>
      <c r="C316" s="8">
        <f>IFERROR(__xludf.DUMMYFUNCTION("""COMPUTED_VALUE"""),1490.15)</f>
        <v>1490.15</v>
      </c>
      <c r="E316" s="15">
        <f>IFERROR(__xludf.DUMMYFUNCTION("""COMPUTED_VALUE"""),42830.64583333333)</f>
        <v>42830.64583</v>
      </c>
      <c r="F316" s="8">
        <f>IFERROR(__xludf.DUMMYFUNCTION("""COMPUTED_VALUE"""),716.18)</f>
        <v>716.18</v>
      </c>
      <c r="H316" s="4">
        <f t="shared" si="1"/>
        <v>773.97</v>
      </c>
      <c r="I316" s="16">
        <f t="shared" si="2"/>
        <v>793.288</v>
      </c>
      <c r="J316" s="16">
        <f t="shared" si="3"/>
        <v>18.32938952</v>
      </c>
      <c r="K316" s="16">
        <f t="shared" si="4"/>
        <v>811.6173895</v>
      </c>
      <c r="L316" s="16">
        <f t="shared" si="5"/>
        <v>774.9586105</v>
      </c>
      <c r="N316" s="17" t="str">
        <f t="shared" si="6"/>
        <v>T</v>
      </c>
      <c r="O316" s="17" t="str">
        <f t="shared" si="7"/>
        <v>F</v>
      </c>
      <c r="P316" s="8">
        <f t="shared" si="8"/>
        <v>1</v>
      </c>
      <c r="R316" s="17" t="str">
        <f t="shared" si="9"/>
        <v>F</v>
      </c>
      <c r="S316" s="3" t="str">
        <f t="shared" si="10"/>
        <v>T</v>
      </c>
      <c r="T316" s="8">
        <f t="shared" si="11"/>
        <v>0</v>
      </c>
      <c r="V316" s="4">
        <f t="shared" si="12"/>
        <v>1</v>
      </c>
      <c r="W316" s="8">
        <f t="shared" si="13"/>
        <v>-43.08</v>
      </c>
      <c r="X316" s="8">
        <f t="shared" si="14"/>
        <v>43.08</v>
      </c>
      <c r="Y316" s="8">
        <f t="shared" si="15"/>
        <v>-79.23</v>
      </c>
    </row>
    <row r="317">
      <c r="A317" s="2">
        <v>310.0</v>
      </c>
      <c r="B317" s="15">
        <f>IFERROR(__xludf.DUMMYFUNCTION("""COMPUTED_VALUE"""),42831.64583333333)</f>
        <v>42831.64583</v>
      </c>
      <c r="C317" s="8">
        <f>IFERROR(__xludf.DUMMYFUNCTION("""COMPUTED_VALUE"""),1482.6)</f>
        <v>1482.6</v>
      </c>
      <c r="E317" s="15">
        <f>IFERROR(__xludf.DUMMYFUNCTION("""COMPUTED_VALUE"""),42831.64583333333)</f>
        <v>42831.64583</v>
      </c>
      <c r="F317" s="8">
        <f>IFERROR(__xludf.DUMMYFUNCTION("""COMPUTED_VALUE"""),719.25)</f>
        <v>719.25</v>
      </c>
      <c r="H317" s="4">
        <f t="shared" si="1"/>
        <v>763.35</v>
      </c>
      <c r="I317" s="16">
        <f t="shared" si="2"/>
        <v>784.408</v>
      </c>
      <c r="J317" s="16">
        <f t="shared" si="3"/>
        <v>20.22825054</v>
      </c>
      <c r="K317" s="16">
        <f t="shared" si="4"/>
        <v>804.6362505</v>
      </c>
      <c r="L317" s="16">
        <f t="shared" si="5"/>
        <v>764.1797495</v>
      </c>
      <c r="N317" s="17" t="str">
        <f t="shared" si="6"/>
        <v>T</v>
      </c>
      <c r="O317" s="17" t="str">
        <f t="shared" si="7"/>
        <v>F</v>
      </c>
      <c r="P317" s="8">
        <f t="shared" si="8"/>
        <v>1</v>
      </c>
      <c r="R317" s="17" t="str">
        <f t="shared" si="9"/>
        <v>F</v>
      </c>
      <c r="S317" s="3" t="str">
        <f t="shared" si="10"/>
        <v>T</v>
      </c>
      <c r="T317" s="8">
        <f t="shared" si="11"/>
        <v>0</v>
      </c>
      <c r="V317" s="4">
        <f t="shared" si="12"/>
        <v>1</v>
      </c>
      <c r="W317" s="8">
        <f t="shared" si="13"/>
        <v>-10.62</v>
      </c>
      <c r="X317" s="8">
        <f t="shared" si="14"/>
        <v>-10.62</v>
      </c>
      <c r="Y317" s="8">
        <f t="shared" si="15"/>
        <v>-89.85</v>
      </c>
    </row>
    <row r="318">
      <c r="A318" s="2">
        <v>311.0</v>
      </c>
      <c r="B318" s="15">
        <f>IFERROR(__xludf.DUMMYFUNCTION("""COMPUTED_VALUE"""),42832.64583333333)</f>
        <v>42832.64583</v>
      </c>
      <c r="C318" s="8">
        <f>IFERROR(__xludf.DUMMYFUNCTION("""COMPUTED_VALUE"""),1484.75)</f>
        <v>1484.75</v>
      </c>
      <c r="E318" s="15">
        <f>IFERROR(__xludf.DUMMYFUNCTION("""COMPUTED_VALUE"""),42832.64583333333)</f>
        <v>42832.64583</v>
      </c>
      <c r="F318" s="8">
        <f>IFERROR(__xludf.DUMMYFUNCTION("""COMPUTED_VALUE"""),719.43)</f>
        <v>719.43</v>
      </c>
      <c r="H318" s="4">
        <f t="shared" si="1"/>
        <v>765.32</v>
      </c>
      <c r="I318" s="16">
        <f t="shared" si="2"/>
        <v>780.102</v>
      </c>
      <c r="J318" s="16">
        <f t="shared" si="3"/>
        <v>21.80830507</v>
      </c>
      <c r="K318" s="16">
        <f t="shared" si="4"/>
        <v>801.9103051</v>
      </c>
      <c r="L318" s="16">
        <f t="shared" si="5"/>
        <v>758.2936949</v>
      </c>
      <c r="N318" s="17" t="str">
        <f t="shared" si="6"/>
        <v>F</v>
      </c>
      <c r="O318" s="17" t="str">
        <f t="shared" si="7"/>
        <v>F</v>
      </c>
      <c r="P318" s="8">
        <f t="shared" si="8"/>
        <v>1</v>
      </c>
      <c r="R318" s="17" t="str">
        <f t="shared" si="9"/>
        <v>F</v>
      </c>
      <c r="S318" s="3" t="str">
        <f t="shared" si="10"/>
        <v>T</v>
      </c>
      <c r="T318" s="8">
        <f t="shared" si="11"/>
        <v>0</v>
      </c>
      <c r="V318" s="4">
        <f t="shared" si="12"/>
        <v>1</v>
      </c>
      <c r="W318" s="8">
        <f t="shared" si="13"/>
        <v>1.97</v>
      </c>
      <c r="X318" s="8">
        <f t="shared" si="14"/>
        <v>1.97</v>
      </c>
      <c r="Y318" s="8">
        <f t="shared" si="15"/>
        <v>-87.88</v>
      </c>
    </row>
    <row r="319">
      <c r="A319" s="2">
        <v>312.0</v>
      </c>
      <c r="B319" s="15">
        <f>IFERROR(__xludf.DUMMYFUNCTION("""COMPUTED_VALUE"""),42835.64583333333)</f>
        <v>42835.64583</v>
      </c>
      <c r="C319" s="8">
        <f>IFERROR(__xludf.DUMMYFUNCTION("""COMPUTED_VALUE"""),1467.5)</f>
        <v>1467.5</v>
      </c>
      <c r="E319" s="15">
        <f>IFERROR(__xludf.DUMMYFUNCTION("""COMPUTED_VALUE"""),42835.64583333333)</f>
        <v>42835.64583</v>
      </c>
      <c r="F319" s="8">
        <f>IFERROR(__xludf.DUMMYFUNCTION("""COMPUTED_VALUE"""),717.08)</f>
        <v>717.08</v>
      </c>
      <c r="H319" s="4">
        <f t="shared" si="1"/>
        <v>750.42</v>
      </c>
      <c r="I319" s="16">
        <f t="shared" si="2"/>
        <v>774.022</v>
      </c>
      <c r="J319" s="16">
        <f t="shared" si="3"/>
        <v>25.48569344</v>
      </c>
      <c r="K319" s="16">
        <f t="shared" si="4"/>
        <v>799.5076934</v>
      </c>
      <c r="L319" s="16">
        <f t="shared" si="5"/>
        <v>748.5363066</v>
      </c>
      <c r="N319" s="17" t="str">
        <f t="shared" si="6"/>
        <v>F</v>
      </c>
      <c r="O319" s="17" t="str">
        <f t="shared" si="7"/>
        <v>F</v>
      </c>
      <c r="P319" s="8">
        <f t="shared" si="8"/>
        <v>1</v>
      </c>
      <c r="R319" s="17" t="str">
        <f t="shared" si="9"/>
        <v>F</v>
      </c>
      <c r="S319" s="3" t="str">
        <f t="shared" si="10"/>
        <v>T</v>
      </c>
      <c r="T319" s="8">
        <f t="shared" si="11"/>
        <v>0</v>
      </c>
      <c r="V319" s="4">
        <f t="shared" si="12"/>
        <v>1</v>
      </c>
      <c r="W319" s="8">
        <f t="shared" si="13"/>
        <v>-14.9</v>
      </c>
      <c r="X319" s="8">
        <f t="shared" si="14"/>
        <v>-14.9</v>
      </c>
      <c r="Y319" s="8">
        <f t="shared" si="15"/>
        <v>-102.78</v>
      </c>
    </row>
    <row r="320">
      <c r="A320" s="2">
        <v>313.0</v>
      </c>
      <c r="B320" s="15">
        <f>IFERROR(__xludf.DUMMYFUNCTION("""COMPUTED_VALUE"""),42836.64583333333)</f>
        <v>42836.64583</v>
      </c>
      <c r="C320" s="8">
        <f>IFERROR(__xludf.DUMMYFUNCTION("""COMPUTED_VALUE"""),1476.85)</f>
        <v>1476.85</v>
      </c>
      <c r="E320" s="15">
        <f>IFERROR(__xludf.DUMMYFUNCTION("""COMPUTED_VALUE"""),42836.64583333333)</f>
        <v>42836.64583</v>
      </c>
      <c r="F320" s="8">
        <f>IFERROR(__xludf.DUMMYFUNCTION("""COMPUTED_VALUE"""),719.75)</f>
        <v>719.75</v>
      </c>
      <c r="H320" s="4">
        <f t="shared" si="1"/>
        <v>757.1</v>
      </c>
      <c r="I320" s="16">
        <f t="shared" si="2"/>
        <v>762.032</v>
      </c>
      <c r="J320" s="16">
        <f t="shared" si="3"/>
        <v>8.863225711</v>
      </c>
      <c r="K320" s="16">
        <f t="shared" si="4"/>
        <v>770.8952257</v>
      </c>
      <c r="L320" s="16">
        <f t="shared" si="5"/>
        <v>753.1687743</v>
      </c>
      <c r="N320" s="17" t="str">
        <f t="shared" si="6"/>
        <v>F</v>
      </c>
      <c r="O320" s="17" t="str">
        <f t="shared" si="7"/>
        <v>F</v>
      </c>
      <c r="P320" s="8">
        <f t="shared" si="8"/>
        <v>1</v>
      </c>
      <c r="R320" s="17" t="str">
        <f t="shared" si="9"/>
        <v>F</v>
      </c>
      <c r="S320" s="3" t="str">
        <f t="shared" si="10"/>
        <v>T</v>
      </c>
      <c r="T320" s="8">
        <f t="shared" si="11"/>
        <v>0</v>
      </c>
      <c r="V320" s="4">
        <f t="shared" si="12"/>
        <v>1</v>
      </c>
      <c r="W320" s="8">
        <f t="shared" si="13"/>
        <v>6.68</v>
      </c>
      <c r="X320" s="8">
        <f t="shared" si="14"/>
        <v>6.68</v>
      </c>
      <c r="Y320" s="8">
        <f t="shared" si="15"/>
        <v>-96.1</v>
      </c>
    </row>
    <row r="321">
      <c r="A321" s="2">
        <v>314.0</v>
      </c>
      <c r="B321" s="15">
        <f>IFERROR(__xludf.DUMMYFUNCTION("""COMPUTED_VALUE"""),42837.64583333333)</f>
        <v>42837.64583</v>
      </c>
      <c r="C321" s="8">
        <f>IFERROR(__xludf.DUMMYFUNCTION("""COMPUTED_VALUE"""),1466.65)</f>
        <v>1466.65</v>
      </c>
      <c r="E321" s="15">
        <f>IFERROR(__xludf.DUMMYFUNCTION("""COMPUTED_VALUE"""),42837.64583333333)</f>
        <v>42837.64583</v>
      </c>
      <c r="F321" s="8">
        <f>IFERROR(__xludf.DUMMYFUNCTION("""COMPUTED_VALUE"""),721.85)</f>
        <v>721.85</v>
      </c>
      <c r="H321" s="4">
        <f t="shared" si="1"/>
        <v>744.8</v>
      </c>
      <c r="I321" s="16">
        <f t="shared" si="2"/>
        <v>756.198</v>
      </c>
      <c r="J321" s="16">
        <f t="shared" si="3"/>
        <v>8.638218566</v>
      </c>
      <c r="K321" s="16">
        <f t="shared" si="4"/>
        <v>764.8362186</v>
      </c>
      <c r="L321" s="16">
        <f t="shared" si="5"/>
        <v>747.5597814</v>
      </c>
      <c r="N321" s="17" t="str">
        <f t="shared" si="6"/>
        <v>T</v>
      </c>
      <c r="O321" s="17" t="str">
        <f t="shared" si="7"/>
        <v>F</v>
      </c>
      <c r="P321" s="8">
        <f t="shared" si="8"/>
        <v>1</v>
      </c>
      <c r="R321" s="17" t="str">
        <f t="shared" si="9"/>
        <v>F</v>
      </c>
      <c r="S321" s="3" t="str">
        <f t="shared" si="10"/>
        <v>T</v>
      </c>
      <c r="T321" s="8">
        <f t="shared" si="11"/>
        <v>0</v>
      </c>
      <c r="V321" s="4">
        <f t="shared" si="12"/>
        <v>1</v>
      </c>
      <c r="W321" s="8">
        <f t="shared" si="13"/>
        <v>-12.3</v>
      </c>
      <c r="X321" s="8">
        <f t="shared" si="14"/>
        <v>-12.3</v>
      </c>
      <c r="Y321" s="8">
        <f t="shared" si="15"/>
        <v>-108.4</v>
      </c>
    </row>
    <row r="322">
      <c r="A322" s="2">
        <v>315.0</v>
      </c>
      <c r="B322" s="15">
        <f>IFERROR(__xludf.DUMMYFUNCTION("""COMPUTED_VALUE"""),42838.64583333333)</f>
        <v>42838.64583</v>
      </c>
      <c r="C322" s="8">
        <f>IFERROR(__xludf.DUMMYFUNCTION("""COMPUTED_VALUE"""),1474.9)</f>
        <v>1474.9</v>
      </c>
      <c r="E322" s="15">
        <f>IFERROR(__xludf.DUMMYFUNCTION("""COMPUTED_VALUE"""),42838.64583333333)</f>
        <v>42838.64583</v>
      </c>
      <c r="F322" s="8">
        <f>IFERROR(__xludf.DUMMYFUNCTION("""COMPUTED_VALUE"""),720.15)</f>
        <v>720.15</v>
      </c>
      <c r="H322" s="4">
        <f t="shared" si="1"/>
        <v>754.75</v>
      </c>
      <c r="I322" s="16">
        <f t="shared" si="2"/>
        <v>754.478</v>
      </c>
      <c r="J322" s="16">
        <f t="shared" si="3"/>
        <v>7.658800167</v>
      </c>
      <c r="K322" s="16">
        <f t="shared" si="4"/>
        <v>762.1368002</v>
      </c>
      <c r="L322" s="16">
        <f t="shared" si="5"/>
        <v>746.8191998</v>
      </c>
      <c r="N322" s="17" t="str">
        <f t="shared" si="6"/>
        <v>F</v>
      </c>
      <c r="O322" s="17" t="str">
        <f t="shared" si="7"/>
        <v>T</v>
      </c>
      <c r="P322" s="8">
        <f t="shared" si="8"/>
        <v>0</v>
      </c>
      <c r="R322" s="17" t="str">
        <f t="shared" si="9"/>
        <v>F</v>
      </c>
      <c r="S322" s="3" t="str">
        <f t="shared" si="10"/>
        <v>F</v>
      </c>
      <c r="T322" s="8">
        <f t="shared" si="11"/>
        <v>0</v>
      </c>
      <c r="V322" s="4">
        <f t="shared" si="12"/>
        <v>0</v>
      </c>
      <c r="W322" s="8">
        <f t="shared" si="13"/>
        <v>9.95</v>
      </c>
      <c r="X322" s="8">
        <f t="shared" si="14"/>
        <v>9.95</v>
      </c>
      <c r="Y322" s="8">
        <f t="shared" si="15"/>
        <v>-98.45</v>
      </c>
    </row>
    <row r="323">
      <c r="A323" s="2">
        <v>316.0</v>
      </c>
      <c r="B323" s="15">
        <f>IFERROR(__xludf.DUMMYFUNCTION("""COMPUTED_VALUE"""),42842.64583333333)</f>
        <v>42842.64583</v>
      </c>
      <c r="C323" s="8">
        <f>IFERROR(__xludf.DUMMYFUNCTION("""COMPUTED_VALUE"""),1479.55)</f>
        <v>1479.55</v>
      </c>
      <c r="E323" s="15">
        <f>IFERROR(__xludf.DUMMYFUNCTION("""COMPUTED_VALUE"""),42842.64583333333)</f>
        <v>42842.64583</v>
      </c>
      <c r="F323" s="8">
        <f>IFERROR(__xludf.DUMMYFUNCTION("""COMPUTED_VALUE"""),718.4)</f>
        <v>718.4</v>
      </c>
      <c r="H323" s="4">
        <f t="shared" si="1"/>
        <v>761.15</v>
      </c>
      <c r="I323" s="16">
        <f t="shared" si="2"/>
        <v>753.644</v>
      </c>
      <c r="J323" s="16">
        <f t="shared" si="3"/>
        <v>6.287243434</v>
      </c>
      <c r="K323" s="16">
        <f t="shared" si="4"/>
        <v>759.9312434</v>
      </c>
      <c r="L323" s="16">
        <f t="shared" si="5"/>
        <v>747.3567566</v>
      </c>
      <c r="N323" s="17" t="str">
        <f t="shared" si="6"/>
        <v>F</v>
      </c>
      <c r="O323" s="17" t="str">
        <f t="shared" si="7"/>
        <v>T</v>
      </c>
      <c r="P323" s="8">
        <f t="shared" si="8"/>
        <v>0</v>
      </c>
      <c r="R323" s="17" t="str">
        <f t="shared" si="9"/>
        <v>T</v>
      </c>
      <c r="S323" s="3" t="str">
        <f t="shared" si="10"/>
        <v>F</v>
      </c>
      <c r="T323" s="8">
        <f t="shared" si="11"/>
        <v>-1</v>
      </c>
      <c r="V323" s="4">
        <f t="shared" si="12"/>
        <v>-1</v>
      </c>
      <c r="W323" s="8">
        <f t="shared" si="13"/>
        <v>6.4</v>
      </c>
      <c r="X323" s="8">
        <f t="shared" si="14"/>
        <v>0</v>
      </c>
      <c r="Y323" s="8">
        <f t="shared" si="15"/>
        <v>-98.45</v>
      </c>
    </row>
    <row r="324">
      <c r="A324" s="2">
        <v>317.0</v>
      </c>
      <c r="B324" s="15">
        <f>IFERROR(__xludf.DUMMYFUNCTION("""COMPUTED_VALUE"""),42843.64583333333)</f>
        <v>42843.64583</v>
      </c>
      <c r="C324" s="8">
        <f>IFERROR(__xludf.DUMMYFUNCTION("""COMPUTED_VALUE"""),1480.05)</f>
        <v>1480.05</v>
      </c>
      <c r="E324" s="15">
        <f>IFERROR(__xludf.DUMMYFUNCTION("""COMPUTED_VALUE"""),42843.64583333333)</f>
        <v>42843.64583</v>
      </c>
      <c r="F324" s="8">
        <f>IFERROR(__xludf.DUMMYFUNCTION("""COMPUTED_VALUE"""),723.65)</f>
        <v>723.65</v>
      </c>
      <c r="H324" s="4">
        <f t="shared" si="1"/>
        <v>756.4</v>
      </c>
      <c r="I324" s="16">
        <f t="shared" si="2"/>
        <v>754.84</v>
      </c>
      <c r="J324" s="16">
        <f t="shared" si="3"/>
        <v>6.086193392</v>
      </c>
      <c r="K324" s="16">
        <f t="shared" si="4"/>
        <v>760.9261934</v>
      </c>
      <c r="L324" s="16">
        <f t="shared" si="5"/>
        <v>748.7538066</v>
      </c>
      <c r="N324" s="17" t="str">
        <f t="shared" si="6"/>
        <v>F</v>
      </c>
      <c r="O324" s="17" t="str">
        <f t="shared" si="7"/>
        <v>T</v>
      </c>
      <c r="P324" s="8">
        <f t="shared" si="8"/>
        <v>0</v>
      </c>
      <c r="R324" s="17" t="str">
        <f t="shared" si="9"/>
        <v>F</v>
      </c>
      <c r="S324" s="3" t="str">
        <f t="shared" si="10"/>
        <v>F</v>
      </c>
      <c r="T324" s="8">
        <f t="shared" si="11"/>
        <v>-1</v>
      </c>
      <c r="V324" s="4">
        <f t="shared" si="12"/>
        <v>-1</v>
      </c>
      <c r="W324" s="8">
        <f t="shared" si="13"/>
        <v>-4.75</v>
      </c>
      <c r="X324" s="8">
        <f t="shared" si="14"/>
        <v>4.75</v>
      </c>
      <c r="Y324" s="8">
        <f t="shared" si="15"/>
        <v>-93.7</v>
      </c>
    </row>
    <row r="325">
      <c r="A325" s="2">
        <v>318.0</v>
      </c>
      <c r="B325" s="15">
        <f>IFERROR(__xludf.DUMMYFUNCTION("""COMPUTED_VALUE"""),42844.64583333333)</f>
        <v>42844.64583</v>
      </c>
      <c r="C325" s="8">
        <f>IFERROR(__xludf.DUMMYFUNCTION("""COMPUTED_VALUE"""),1490.2)</f>
        <v>1490.2</v>
      </c>
      <c r="E325" s="15">
        <f>IFERROR(__xludf.DUMMYFUNCTION("""COMPUTED_VALUE"""),42844.64583333333)</f>
        <v>42844.64583</v>
      </c>
      <c r="F325" s="8">
        <f>IFERROR(__xludf.DUMMYFUNCTION("""COMPUTED_VALUE"""),724.5)</f>
        <v>724.5</v>
      </c>
      <c r="H325" s="4">
        <f t="shared" si="1"/>
        <v>765.7</v>
      </c>
      <c r="I325" s="16">
        <f t="shared" si="2"/>
        <v>756.56</v>
      </c>
      <c r="J325" s="16">
        <f t="shared" si="3"/>
        <v>7.845492336</v>
      </c>
      <c r="K325" s="16">
        <f t="shared" si="4"/>
        <v>764.4054923</v>
      </c>
      <c r="L325" s="16">
        <f t="shared" si="5"/>
        <v>748.7145077</v>
      </c>
      <c r="N325" s="17" t="str">
        <f t="shared" si="6"/>
        <v>F</v>
      </c>
      <c r="O325" s="17" t="str">
        <f t="shared" si="7"/>
        <v>T</v>
      </c>
      <c r="P325" s="8">
        <f t="shared" si="8"/>
        <v>0</v>
      </c>
      <c r="R325" s="17" t="str">
        <f t="shared" si="9"/>
        <v>T</v>
      </c>
      <c r="S325" s="3" t="str">
        <f t="shared" si="10"/>
        <v>F</v>
      </c>
      <c r="T325" s="8">
        <f t="shared" si="11"/>
        <v>-1</v>
      </c>
      <c r="V325" s="4">
        <f t="shared" si="12"/>
        <v>-1</v>
      </c>
      <c r="W325" s="8">
        <f t="shared" si="13"/>
        <v>9.3</v>
      </c>
      <c r="X325" s="8">
        <f t="shared" si="14"/>
        <v>-9.3</v>
      </c>
      <c r="Y325" s="8">
        <f t="shared" si="15"/>
        <v>-103</v>
      </c>
    </row>
    <row r="326">
      <c r="A326" s="2">
        <v>319.0</v>
      </c>
      <c r="B326" s="15">
        <f>IFERROR(__xludf.DUMMYFUNCTION("""COMPUTED_VALUE"""),42845.64583333333)</f>
        <v>42845.64583</v>
      </c>
      <c r="C326" s="8">
        <f>IFERROR(__xludf.DUMMYFUNCTION("""COMPUTED_VALUE"""),1517.1)</f>
        <v>1517.1</v>
      </c>
      <c r="E326" s="15">
        <f>IFERROR(__xludf.DUMMYFUNCTION("""COMPUTED_VALUE"""),42845.64583333333)</f>
        <v>42845.64583</v>
      </c>
      <c r="F326" s="8">
        <f>IFERROR(__xludf.DUMMYFUNCTION("""COMPUTED_VALUE"""),731.08)</f>
        <v>731.08</v>
      </c>
      <c r="H326" s="4">
        <f t="shared" si="1"/>
        <v>786.02</v>
      </c>
      <c r="I326" s="16">
        <f t="shared" si="2"/>
        <v>764.804</v>
      </c>
      <c r="J326" s="16">
        <f t="shared" si="3"/>
        <v>12.60935486</v>
      </c>
      <c r="K326" s="16">
        <f t="shared" si="4"/>
        <v>777.4133549</v>
      </c>
      <c r="L326" s="16">
        <f t="shared" si="5"/>
        <v>752.1946451</v>
      </c>
      <c r="N326" s="17" t="str">
        <f t="shared" si="6"/>
        <v>F</v>
      </c>
      <c r="O326" s="17" t="str">
        <f t="shared" si="7"/>
        <v>T</v>
      </c>
      <c r="P326" s="8">
        <f t="shared" si="8"/>
        <v>0</v>
      </c>
      <c r="R326" s="17" t="str">
        <f t="shared" si="9"/>
        <v>T</v>
      </c>
      <c r="S326" s="3" t="str">
        <f t="shared" si="10"/>
        <v>F</v>
      </c>
      <c r="T326" s="8">
        <f t="shared" si="11"/>
        <v>-1</v>
      </c>
      <c r="V326" s="4">
        <f t="shared" si="12"/>
        <v>-1</v>
      </c>
      <c r="W326" s="8">
        <f t="shared" si="13"/>
        <v>20.32</v>
      </c>
      <c r="X326" s="8">
        <f t="shared" si="14"/>
        <v>-20.32</v>
      </c>
      <c r="Y326" s="8">
        <f t="shared" si="15"/>
        <v>-123.32</v>
      </c>
    </row>
    <row r="327">
      <c r="A327" s="2">
        <v>320.0</v>
      </c>
      <c r="B327" s="15">
        <f>IFERROR(__xludf.DUMMYFUNCTION("""COMPUTED_VALUE"""),42846.64583333333)</f>
        <v>42846.64583</v>
      </c>
      <c r="C327" s="8">
        <f>IFERROR(__xludf.DUMMYFUNCTION("""COMPUTED_VALUE"""),1507.45)</f>
        <v>1507.45</v>
      </c>
      <c r="E327" s="15">
        <f>IFERROR(__xludf.DUMMYFUNCTION("""COMPUTED_VALUE"""),42846.64583333333)</f>
        <v>42846.64583</v>
      </c>
      <c r="F327" s="8">
        <f>IFERROR(__xludf.DUMMYFUNCTION("""COMPUTED_VALUE"""),748.3)</f>
        <v>748.3</v>
      </c>
      <c r="H327" s="4">
        <f t="shared" si="1"/>
        <v>759.15</v>
      </c>
      <c r="I327" s="16">
        <f t="shared" si="2"/>
        <v>765.684</v>
      </c>
      <c r="J327" s="16">
        <f t="shared" si="3"/>
        <v>11.86376964</v>
      </c>
      <c r="K327" s="16">
        <f t="shared" si="4"/>
        <v>777.5477696</v>
      </c>
      <c r="L327" s="16">
        <f t="shared" si="5"/>
        <v>753.8202304</v>
      </c>
      <c r="N327" s="17" t="str">
        <f t="shared" si="6"/>
        <v>F</v>
      </c>
      <c r="O327" s="17" t="str">
        <f t="shared" si="7"/>
        <v>F</v>
      </c>
      <c r="P327" s="8">
        <f t="shared" si="8"/>
        <v>0</v>
      </c>
      <c r="R327" s="17" t="str">
        <f t="shared" si="9"/>
        <v>F</v>
      </c>
      <c r="S327" s="3" t="str">
        <f t="shared" si="10"/>
        <v>T</v>
      </c>
      <c r="T327" s="8">
        <f t="shared" si="11"/>
        <v>0</v>
      </c>
      <c r="V327" s="4">
        <f t="shared" si="12"/>
        <v>0</v>
      </c>
      <c r="W327" s="8">
        <f t="shared" si="13"/>
        <v>-26.87</v>
      </c>
      <c r="X327" s="8">
        <f t="shared" si="14"/>
        <v>26.87</v>
      </c>
      <c r="Y327" s="8">
        <f t="shared" si="15"/>
        <v>-96.45</v>
      </c>
    </row>
    <row r="328">
      <c r="A328" s="2">
        <v>321.0</v>
      </c>
      <c r="B328" s="15">
        <f>IFERROR(__xludf.DUMMYFUNCTION("""COMPUTED_VALUE"""),42849.64583333333)</f>
        <v>42849.64583</v>
      </c>
      <c r="C328" s="8">
        <f>IFERROR(__xludf.DUMMYFUNCTION("""COMPUTED_VALUE"""),1530.7)</f>
        <v>1530.7</v>
      </c>
      <c r="E328" s="15">
        <f>IFERROR(__xludf.DUMMYFUNCTION("""COMPUTED_VALUE"""),42849.64583333333)</f>
        <v>42849.64583</v>
      </c>
      <c r="F328" s="8">
        <f>IFERROR(__xludf.DUMMYFUNCTION("""COMPUTED_VALUE"""),766.53)</f>
        <v>766.53</v>
      </c>
      <c r="H328" s="4">
        <f t="shared" si="1"/>
        <v>764.17</v>
      </c>
      <c r="I328" s="16">
        <f t="shared" si="2"/>
        <v>766.288</v>
      </c>
      <c r="J328" s="16">
        <f t="shared" si="3"/>
        <v>11.65018326</v>
      </c>
      <c r="K328" s="16">
        <f t="shared" si="4"/>
        <v>777.9381833</v>
      </c>
      <c r="L328" s="16">
        <f t="shared" si="5"/>
        <v>754.6378167</v>
      </c>
      <c r="N328" s="17" t="str">
        <f t="shared" si="6"/>
        <v>F</v>
      </c>
      <c r="O328" s="17" t="str">
        <f t="shared" si="7"/>
        <v>F</v>
      </c>
      <c r="P328" s="8">
        <f t="shared" si="8"/>
        <v>0</v>
      </c>
      <c r="R328" s="17" t="str">
        <f t="shared" si="9"/>
        <v>F</v>
      </c>
      <c r="S328" s="3" t="str">
        <f t="shared" si="10"/>
        <v>T</v>
      </c>
      <c r="T328" s="8">
        <f t="shared" si="11"/>
        <v>0</v>
      </c>
      <c r="V328" s="4">
        <f t="shared" si="12"/>
        <v>0</v>
      </c>
      <c r="W328" s="8">
        <f t="shared" si="13"/>
        <v>5.02</v>
      </c>
      <c r="X328" s="8">
        <f t="shared" si="14"/>
        <v>0</v>
      </c>
      <c r="Y328" s="8">
        <f t="shared" si="15"/>
        <v>-96.45</v>
      </c>
    </row>
    <row r="329">
      <c r="A329" s="2">
        <v>322.0</v>
      </c>
      <c r="B329" s="15">
        <f>IFERROR(__xludf.DUMMYFUNCTION("""COMPUTED_VALUE"""),42850.64583333333)</f>
        <v>42850.64583</v>
      </c>
      <c r="C329" s="8">
        <f>IFERROR(__xludf.DUMMYFUNCTION("""COMPUTED_VALUE"""),1548.4)</f>
        <v>1548.4</v>
      </c>
      <c r="E329" s="15">
        <f>IFERROR(__xludf.DUMMYFUNCTION("""COMPUTED_VALUE"""),42850.64583333333)</f>
        <v>42850.64583</v>
      </c>
      <c r="F329" s="8">
        <f>IFERROR(__xludf.DUMMYFUNCTION("""COMPUTED_VALUE"""),768.53)</f>
        <v>768.53</v>
      </c>
      <c r="H329" s="4">
        <f t="shared" si="1"/>
        <v>779.87</v>
      </c>
      <c r="I329" s="16">
        <f t="shared" si="2"/>
        <v>770.982</v>
      </c>
      <c r="J329" s="16">
        <f t="shared" si="3"/>
        <v>11.39558116</v>
      </c>
      <c r="K329" s="16">
        <f t="shared" si="4"/>
        <v>782.3775812</v>
      </c>
      <c r="L329" s="16">
        <f t="shared" si="5"/>
        <v>759.5864188</v>
      </c>
      <c r="N329" s="17" t="str">
        <f t="shared" si="6"/>
        <v>F</v>
      </c>
      <c r="O329" s="17" t="str">
        <f t="shared" si="7"/>
        <v>T</v>
      </c>
      <c r="P329" s="8">
        <f t="shared" si="8"/>
        <v>0</v>
      </c>
      <c r="R329" s="17" t="str">
        <f t="shared" si="9"/>
        <v>F</v>
      </c>
      <c r="S329" s="3" t="str">
        <f t="shared" si="10"/>
        <v>F</v>
      </c>
      <c r="T329" s="8">
        <f t="shared" si="11"/>
        <v>0</v>
      </c>
      <c r="V329" s="4">
        <f t="shared" si="12"/>
        <v>0</v>
      </c>
      <c r="W329" s="8">
        <f t="shared" si="13"/>
        <v>15.7</v>
      </c>
      <c r="X329" s="8">
        <f t="shared" si="14"/>
        <v>0</v>
      </c>
      <c r="Y329" s="8">
        <f t="shared" si="15"/>
        <v>-96.45</v>
      </c>
    </row>
    <row r="330">
      <c r="A330" s="2">
        <v>323.0</v>
      </c>
      <c r="B330" s="15">
        <f>IFERROR(__xludf.DUMMYFUNCTION("""COMPUTED_VALUE"""),42851.64583333333)</f>
        <v>42851.64583</v>
      </c>
      <c r="C330" s="8">
        <f>IFERROR(__xludf.DUMMYFUNCTION("""COMPUTED_VALUE"""),1586.0)</f>
        <v>1586</v>
      </c>
      <c r="E330" s="15">
        <f>IFERROR(__xludf.DUMMYFUNCTION("""COMPUTED_VALUE"""),42851.64583333333)</f>
        <v>42851.64583</v>
      </c>
      <c r="F330" s="8">
        <f>IFERROR(__xludf.DUMMYFUNCTION("""COMPUTED_VALUE"""),775.33)</f>
        <v>775.33</v>
      </c>
      <c r="H330" s="4">
        <f t="shared" si="1"/>
        <v>810.67</v>
      </c>
      <c r="I330" s="16">
        <f t="shared" si="2"/>
        <v>779.976</v>
      </c>
      <c r="J330" s="16">
        <f t="shared" si="3"/>
        <v>20.3851338</v>
      </c>
      <c r="K330" s="16">
        <f t="shared" si="4"/>
        <v>800.3611338</v>
      </c>
      <c r="L330" s="16">
        <f t="shared" si="5"/>
        <v>759.5908662</v>
      </c>
      <c r="N330" s="17" t="str">
        <f t="shared" si="6"/>
        <v>F</v>
      </c>
      <c r="O330" s="17" t="str">
        <f t="shared" si="7"/>
        <v>T</v>
      </c>
      <c r="P330" s="8">
        <f t="shared" si="8"/>
        <v>0</v>
      </c>
      <c r="R330" s="17" t="str">
        <f t="shared" si="9"/>
        <v>T</v>
      </c>
      <c r="S330" s="3" t="str">
        <f t="shared" si="10"/>
        <v>F</v>
      </c>
      <c r="T330" s="8">
        <f t="shared" si="11"/>
        <v>-1</v>
      </c>
      <c r="V330" s="4">
        <f t="shared" si="12"/>
        <v>-1</v>
      </c>
      <c r="W330" s="8">
        <f t="shared" si="13"/>
        <v>30.8</v>
      </c>
      <c r="X330" s="8">
        <f t="shared" si="14"/>
        <v>0</v>
      </c>
      <c r="Y330" s="8">
        <f t="shared" si="15"/>
        <v>-96.45</v>
      </c>
    </row>
    <row r="331">
      <c r="A331" s="2">
        <v>324.0</v>
      </c>
      <c r="B331" s="15">
        <f>IFERROR(__xludf.DUMMYFUNCTION("""COMPUTED_VALUE"""),42852.64583333333)</f>
        <v>42852.64583</v>
      </c>
      <c r="C331" s="8">
        <f>IFERROR(__xludf.DUMMYFUNCTION("""COMPUTED_VALUE"""),1566.5)</f>
        <v>1566.5</v>
      </c>
      <c r="E331" s="15">
        <f>IFERROR(__xludf.DUMMYFUNCTION("""COMPUTED_VALUE"""),42852.64583333333)</f>
        <v>42852.64583</v>
      </c>
      <c r="F331" s="8">
        <f>IFERROR(__xludf.DUMMYFUNCTION("""COMPUTED_VALUE"""),784.3)</f>
        <v>784.3</v>
      </c>
      <c r="H331" s="4">
        <f t="shared" si="1"/>
        <v>782.2</v>
      </c>
      <c r="I331" s="16">
        <f t="shared" si="2"/>
        <v>779.212</v>
      </c>
      <c r="J331" s="16">
        <f t="shared" si="3"/>
        <v>20.17245944</v>
      </c>
      <c r="K331" s="16">
        <f t="shared" si="4"/>
        <v>799.3844594</v>
      </c>
      <c r="L331" s="16">
        <f t="shared" si="5"/>
        <v>759.0395406</v>
      </c>
      <c r="N331" s="17" t="str">
        <f t="shared" si="6"/>
        <v>F</v>
      </c>
      <c r="O331" s="17" t="str">
        <f t="shared" si="7"/>
        <v>T</v>
      </c>
      <c r="P331" s="8">
        <f t="shared" si="8"/>
        <v>0</v>
      </c>
      <c r="R331" s="17" t="str">
        <f t="shared" si="9"/>
        <v>F</v>
      </c>
      <c r="S331" s="3" t="str">
        <f t="shared" si="10"/>
        <v>F</v>
      </c>
      <c r="T331" s="8">
        <f t="shared" si="11"/>
        <v>-1</v>
      </c>
      <c r="V331" s="4">
        <f t="shared" si="12"/>
        <v>-1</v>
      </c>
      <c r="W331" s="8">
        <f t="shared" si="13"/>
        <v>-28.47</v>
      </c>
      <c r="X331" s="8">
        <f t="shared" si="14"/>
        <v>28.47</v>
      </c>
      <c r="Y331" s="8">
        <f t="shared" si="15"/>
        <v>-67.98</v>
      </c>
    </row>
    <row r="332">
      <c r="A332" s="2">
        <v>325.0</v>
      </c>
      <c r="B332" s="15">
        <f>IFERROR(__xludf.DUMMYFUNCTION("""COMPUTED_VALUE"""),42853.64583333333)</f>
        <v>42853.64583</v>
      </c>
      <c r="C332" s="8">
        <f>IFERROR(__xludf.DUMMYFUNCTION("""COMPUTED_VALUE"""),1537.15)</f>
        <v>1537.15</v>
      </c>
      <c r="E332" s="15">
        <f>IFERROR(__xludf.DUMMYFUNCTION("""COMPUTED_VALUE"""),42853.64583333333)</f>
        <v>42853.64583</v>
      </c>
      <c r="F332" s="8">
        <f>IFERROR(__xludf.DUMMYFUNCTION("""COMPUTED_VALUE"""),773.25)</f>
        <v>773.25</v>
      </c>
      <c r="H332" s="4">
        <f t="shared" si="1"/>
        <v>763.9</v>
      </c>
      <c r="I332" s="16">
        <f t="shared" si="2"/>
        <v>780.162</v>
      </c>
      <c r="J332" s="16">
        <f t="shared" si="3"/>
        <v>19.07336808</v>
      </c>
      <c r="K332" s="16">
        <f t="shared" si="4"/>
        <v>799.2353681</v>
      </c>
      <c r="L332" s="16">
        <f t="shared" si="5"/>
        <v>761.0886319</v>
      </c>
      <c r="N332" s="17" t="str">
        <f t="shared" si="6"/>
        <v>F</v>
      </c>
      <c r="O332" s="17" t="str">
        <f t="shared" si="7"/>
        <v>F</v>
      </c>
      <c r="P332" s="8">
        <f t="shared" si="8"/>
        <v>0</v>
      </c>
      <c r="R332" s="17" t="str">
        <f t="shared" si="9"/>
        <v>F</v>
      </c>
      <c r="S332" s="3" t="str">
        <f t="shared" si="10"/>
        <v>T</v>
      </c>
      <c r="T332" s="8">
        <f t="shared" si="11"/>
        <v>0</v>
      </c>
      <c r="V332" s="4">
        <f t="shared" si="12"/>
        <v>0</v>
      </c>
      <c r="W332" s="8">
        <f t="shared" si="13"/>
        <v>-18.3</v>
      </c>
      <c r="X332" s="8">
        <f t="shared" si="14"/>
        <v>18.3</v>
      </c>
      <c r="Y332" s="8">
        <f t="shared" si="15"/>
        <v>-49.68</v>
      </c>
    </row>
    <row r="333">
      <c r="A333" s="2">
        <v>326.0</v>
      </c>
      <c r="B333" s="15">
        <f>IFERROR(__xludf.DUMMYFUNCTION("""COMPUTED_VALUE"""),42857.64583333333)</f>
        <v>42857.64583</v>
      </c>
      <c r="C333" s="8">
        <f>IFERROR(__xludf.DUMMYFUNCTION("""COMPUTED_VALUE"""),1584.75)</f>
        <v>1584.75</v>
      </c>
      <c r="E333" s="15">
        <f>IFERROR(__xludf.DUMMYFUNCTION("""COMPUTED_VALUE"""),42857.64583333333)</f>
        <v>42857.64583</v>
      </c>
      <c r="F333" s="8">
        <f>IFERROR(__xludf.DUMMYFUNCTION("""COMPUTED_VALUE"""),770.3)</f>
        <v>770.3</v>
      </c>
      <c r="H333" s="4">
        <f t="shared" si="1"/>
        <v>814.45</v>
      </c>
      <c r="I333" s="16">
        <f t="shared" si="2"/>
        <v>790.218</v>
      </c>
      <c r="J333" s="16">
        <f t="shared" si="3"/>
        <v>21.6187458</v>
      </c>
      <c r="K333" s="16">
        <f t="shared" si="4"/>
        <v>811.8367458</v>
      </c>
      <c r="L333" s="16">
        <f t="shared" si="5"/>
        <v>768.5992542</v>
      </c>
      <c r="N333" s="17" t="str">
        <f t="shared" si="6"/>
        <v>F</v>
      </c>
      <c r="O333" s="17" t="str">
        <f t="shared" si="7"/>
        <v>T</v>
      </c>
      <c r="P333" s="8">
        <f t="shared" si="8"/>
        <v>0</v>
      </c>
      <c r="R333" s="17" t="str">
        <f t="shared" si="9"/>
        <v>T</v>
      </c>
      <c r="S333" s="3" t="str">
        <f t="shared" si="10"/>
        <v>F</v>
      </c>
      <c r="T333" s="8">
        <f t="shared" si="11"/>
        <v>-1</v>
      </c>
      <c r="V333" s="4">
        <f t="shared" si="12"/>
        <v>-1</v>
      </c>
      <c r="W333" s="8">
        <f t="shared" si="13"/>
        <v>50.55</v>
      </c>
      <c r="X333" s="8">
        <f t="shared" si="14"/>
        <v>0</v>
      </c>
      <c r="Y333" s="8">
        <f t="shared" si="15"/>
        <v>-49.68</v>
      </c>
    </row>
    <row r="334">
      <c r="A334" s="2">
        <v>327.0</v>
      </c>
      <c r="B334" s="15">
        <f>IFERROR(__xludf.DUMMYFUNCTION("""COMPUTED_VALUE"""),42858.64583333333)</f>
        <v>42858.64583</v>
      </c>
      <c r="C334" s="8">
        <f>IFERROR(__xludf.DUMMYFUNCTION("""COMPUTED_VALUE"""),1571.3)</f>
        <v>1571.3</v>
      </c>
      <c r="E334" s="15">
        <f>IFERROR(__xludf.DUMMYFUNCTION("""COMPUTED_VALUE"""),42858.64583333333)</f>
        <v>42858.64583</v>
      </c>
      <c r="F334" s="8">
        <f>IFERROR(__xludf.DUMMYFUNCTION("""COMPUTED_VALUE"""),772.15)</f>
        <v>772.15</v>
      </c>
      <c r="H334" s="4">
        <f t="shared" si="1"/>
        <v>799.15</v>
      </c>
      <c r="I334" s="16">
        <f t="shared" si="2"/>
        <v>794.074</v>
      </c>
      <c r="J334" s="16">
        <f t="shared" si="3"/>
        <v>21.02282403</v>
      </c>
      <c r="K334" s="16">
        <f t="shared" si="4"/>
        <v>815.096824</v>
      </c>
      <c r="L334" s="16">
        <f t="shared" si="5"/>
        <v>773.051176</v>
      </c>
      <c r="N334" s="17" t="str">
        <f t="shared" si="6"/>
        <v>F</v>
      </c>
      <c r="O334" s="17" t="str">
        <f t="shared" si="7"/>
        <v>T</v>
      </c>
      <c r="P334" s="8">
        <f t="shared" si="8"/>
        <v>0</v>
      </c>
      <c r="R334" s="17" t="str">
        <f t="shared" si="9"/>
        <v>F</v>
      </c>
      <c r="S334" s="3" t="str">
        <f t="shared" si="10"/>
        <v>F</v>
      </c>
      <c r="T334" s="8">
        <f t="shared" si="11"/>
        <v>-1</v>
      </c>
      <c r="V334" s="4">
        <f t="shared" si="12"/>
        <v>-1</v>
      </c>
      <c r="W334" s="8">
        <f t="shared" si="13"/>
        <v>-15.3</v>
      </c>
      <c r="X334" s="8">
        <f t="shared" si="14"/>
        <v>15.3</v>
      </c>
      <c r="Y334" s="8">
        <f t="shared" si="15"/>
        <v>-34.38</v>
      </c>
    </row>
    <row r="335">
      <c r="A335" s="2">
        <v>328.0</v>
      </c>
      <c r="B335" s="15">
        <f>IFERROR(__xludf.DUMMYFUNCTION("""COMPUTED_VALUE"""),42859.64583333333)</f>
        <v>42859.64583</v>
      </c>
      <c r="C335" s="8">
        <f>IFERROR(__xludf.DUMMYFUNCTION("""COMPUTED_VALUE"""),1564.35)</f>
        <v>1564.35</v>
      </c>
      <c r="E335" s="15">
        <f>IFERROR(__xludf.DUMMYFUNCTION("""COMPUTED_VALUE"""),42859.64583333333)</f>
        <v>42859.64583</v>
      </c>
      <c r="F335" s="8">
        <f>IFERROR(__xludf.DUMMYFUNCTION("""COMPUTED_VALUE"""),767.4)</f>
        <v>767.4</v>
      </c>
      <c r="H335" s="4">
        <f t="shared" si="1"/>
        <v>796.95</v>
      </c>
      <c r="I335" s="16">
        <f t="shared" si="2"/>
        <v>791.33</v>
      </c>
      <c r="J335" s="16">
        <f t="shared" si="3"/>
        <v>19.12480719</v>
      </c>
      <c r="K335" s="16">
        <f t="shared" si="4"/>
        <v>810.4548072</v>
      </c>
      <c r="L335" s="16">
        <f t="shared" si="5"/>
        <v>772.2051928</v>
      </c>
      <c r="N335" s="17" t="str">
        <f t="shared" si="6"/>
        <v>F</v>
      </c>
      <c r="O335" s="17" t="str">
        <f t="shared" si="7"/>
        <v>T</v>
      </c>
      <c r="P335" s="8">
        <f t="shared" si="8"/>
        <v>0</v>
      </c>
      <c r="R335" s="17" t="str">
        <f t="shared" si="9"/>
        <v>F</v>
      </c>
      <c r="S335" s="3" t="str">
        <f t="shared" si="10"/>
        <v>F</v>
      </c>
      <c r="T335" s="8">
        <f t="shared" si="11"/>
        <v>-1</v>
      </c>
      <c r="V335" s="4">
        <f t="shared" si="12"/>
        <v>-1</v>
      </c>
      <c r="W335" s="8">
        <f t="shared" si="13"/>
        <v>-2.2</v>
      </c>
      <c r="X335" s="8">
        <f t="shared" si="14"/>
        <v>2.2</v>
      </c>
      <c r="Y335" s="8">
        <f t="shared" si="15"/>
        <v>-32.18</v>
      </c>
    </row>
    <row r="336">
      <c r="A336" s="2">
        <v>329.0</v>
      </c>
      <c r="B336" s="15">
        <f>IFERROR(__xludf.DUMMYFUNCTION("""COMPUTED_VALUE"""),42860.64583333333)</f>
        <v>42860.64583</v>
      </c>
      <c r="C336" s="8">
        <f>IFERROR(__xludf.DUMMYFUNCTION("""COMPUTED_VALUE"""),1546.85)</f>
        <v>1546.85</v>
      </c>
      <c r="E336" s="15">
        <f>IFERROR(__xludf.DUMMYFUNCTION("""COMPUTED_VALUE"""),42860.64583333333)</f>
        <v>42860.64583</v>
      </c>
      <c r="F336" s="8">
        <f>IFERROR(__xludf.DUMMYFUNCTION("""COMPUTED_VALUE"""),766.1)</f>
        <v>766.1</v>
      </c>
      <c r="H336" s="4">
        <f t="shared" si="1"/>
        <v>780.75</v>
      </c>
      <c r="I336" s="16">
        <f t="shared" si="2"/>
        <v>791.04</v>
      </c>
      <c r="J336" s="16">
        <f t="shared" si="3"/>
        <v>19.30797763</v>
      </c>
      <c r="K336" s="16">
        <f t="shared" si="4"/>
        <v>810.3479776</v>
      </c>
      <c r="L336" s="16">
        <f t="shared" si="5"/>
        <v>771.7320224</v>
      </c>
      <c r="N336" s="17" t="str">
        <f t="shared" si="6"/>
        <v>F</v>
      </c>
      <c r="O336" s="17" t="str">
        <f t="shared" si="7"/>
        <v>F</v>
      </c>
      <c r="P336" s="8">
        <f t="shared" si="8"/>
        <v>0</v>
      </c>
      <c r="R336" s="17" t="str">
        <f t="shared" si="9"/>
        <v>F</v>
      </c>
      <c r="S336" s="3" t="str">
        <f t="shared" si="10"/>
        <v>T</v>
      </c>
      <c r="T336" s="8">
        <f t="shared" si="11"/>
        <v>0</v>
      </c>
      <c r="V336" s="4">
        <f t="shared" si="12"/>
        <v>0</v>
      </c>
      <c r="W336" s="8">
        <f t="shared" si="13"/>
        <v>-16.2</v>
      </c>
      <c r="X336" s="8">
        <f t="shared" si="14"/>
        <v>16.2</v>
      </c>
      <c r="Y336" s="8">
        <f t="shared" si="15"/>
        <v>-15.98</v>
      </c>
    </row>
    <row r="337">
      <c r="A337" s="2">
        <v>330.0</v>
      </c>
      <c r="B337" s="15">
        <f>IFERROR(__xludf.DUMMYFUNCTION("""COMPUTED_VALUE"""),42863.64583333333)</f>
        <v>42863.64583</v>
      </c>
      <c r="C337" s="8">
        <f>IFERROR(__xludf.DUMMYFUNCTION("""COMPUTED_VALUE"""),1529.5)</f>
        <v>1529.5</v>
      </c>
      <c r="E337" s="15">
        <f>IFERROR(__xludf.DUMMYFUNCTION("""COMPUTED_VALUE"""),42863.64583333333)</f>
        <v>42863.64583</v>
      </c>
      <c r="F337" s="8">
        <f>IFERROR(__xludf.DUMMYFUNCTION("""COMPUTED_VALUE"""),767.4)</f>
        <v>767.4</v>
      </c>
      <c r="H337" s="4">
        <f t="shared" si="1"/>
        <v>762.1</v>
      </c>
      <c r="I337" s="16">
        <f t="shared" si="2"/>
        <v>790.68</v>
      </c>
      <c r="J337" s="16">
        <f t="shared" si="3"/>
        <v>19.94672906</v>
      </c>
      <c r="K337" s="16">
        <f t="shared" si="4"/>
        <v>810.6267291</v>
      </c>
      <c r="L337" s="16">
        <f t="shared" si="5"/>
        <v>770.7332709</v>
      </c>
      <c r="N337" s="17" t="str">
        <f t="shared" si="6"/>
        <v>T</v>
      </c>
      <c r="O337" s="17" t="str">
        <f t="shared" si="7"/>
        <v>F</v>
      </c>
      <c r="P337" s="8">
        <f t="shared" si="8"/>
        <v>1</v>
      </c>
      <c r="R337" s="17" t="str">
        <f t="shared" si="9"/>
        <v>F</v>
      </c>
      <c r="S337" s="3" t="str">
        <f t="shared" si="10"/>
        <v>T</v>
      </c>
      <c r="T337" s="8">
        <f t="shared" si="11"/>
        <v>0</v>
      </c>
      <c r="V337" s="4">
        <f t="shared" si="12"/>
        <v>1</v>
      </c>
      <c r="W337" s="8">
        <f t="shared" si="13"/>
        <v>-18.65</v>
      </c>
      <c r="X337" s="8">
        <f t="shared" si="14"/>
        <v>0</v>
      </c>
      <c r="Y337" s="8">
        <f t="shared" si="15"/>
        <v>-15.98</v>
      </c>
    </row>
    <row r="338">
      <c r="A338" s="2">
        <v>331.0</v>
      </c>
      <c r="B338" s="15">
        <f>IFERROR(__xludf.DUMMYFUNCTION("""COMPUTED_VALUE"""),42864.64583333333)</f>
        <v>42864.64583</v>
      </c>
      <c r="C338" s="8">
        <f>IFERROR(__xludf.DUMMYFUNCTION("""COMPUTED_VALUE"""),1523.5)</f>
        <v>1523.5</v>
      </c>
      <c r="E338" s="15">
        <f>IFERROR(__xludf.DUMMYFUNCTION("""COMPUTED_VALUE"""),42864.64583333333)</f>
        <v>42864.64583</v>
      </c>
      <c r="F338" s="8">
        <f>IFERROR(__xludf.DUMMYFUNCTION("""COMPUTED_VALUE"""),767.88)</f>
        <v>767.88</v>
      </c>
      <c r="H338" s="4">
        <f t="shared" si="1"/>
        <v>755.62</v>
      </c>
      <c r="I338" s="16">
        <f t="shared" si="2"/>
        <v>778.914</v>
      </c>
      <c r="J338" s="16">
        <f t="shared" si="3"/>
        <v>19.77046358</v>
      </c>
      <c r="K338" s="16">
        <f t="shared" si="4"/>
        <v>798.6844636</v>
      </c>
      <c r="L338" s="16">
        <f t="shared" si="5"/>
        <v>759.1435364</v>
      </c>
      <c r="N338" s="17" t="str">
        <f t="shared" si="6"/>
        <v>T</v>
      </c>
      <c r="O338" s="17" t="str">
        <f t="shared" si="7"/>
        <v>F</v>
      </c>
      <c r="P338" s="8">
        <f t="shared" si="8"/>
        <v>1</v>
      </c>
      <c r="R338" s="17" t="str">
        <f t="shared" si="9"/>
        <v>F</v>
      </c>
      <c r="S338" s="3" t="str">
        <f t="shared" si="10"/>
        <v>T</v>
      </c>
      <c r="T338" s="8">
        <f t="shared" si="11"/>
        <v>0</v>
      </c>
      <c r="V338" s="4">
        <f t="shared" si="12"/>
        <v>1</v>
      </c>
      <c r="W338" s="8">
        <f t="shared" si="13"/>
        <v>-6.48</v>
      </c>
      <c r="X338" s="8">
        <f t="shared" si="14"/>
        <v>-6.48</v>
      </c>
      <c r="Y338" s="8">
        <f t="shared" si="15"/>
        <v>-22.46</v>
      </c>
    </row>
    <row r="339">
      <c r="A339" s="2">
        <v>332.0</v>
      </c>
      <c r="B339" s="15">
        <f>IFERROR(__xludf.DUMMYFUNCTION("""COMPUTED_VALUE"""),42865.64583333333)</f>
        <v>42865.64583</v>
      </c>
      <c r="C339" s="8">
        <f>IFERROR(__xludf.DUMMYFUNCTION("""COMPUTED_VALUE"""),1572.0)</f>
        <v>1572</v>
      </c>
      <c r="E339" s="15">
        <f>IFERROR(__xludf.DUMMYFUNCTION("""COMPUTED_VALUE"""),42865.64583333333)</f>
        <v>42865.64583</v>
      </c>
      <c r="F339" s="8">
        <f>IFERROR(__xludf.DUMMYFUNCTION("""COMPUTED_VALUE"""),775.9)</f>
        <v>775.9</v>
      </c>
      <c r="H339" s="4">
        <f t="shared" si="1"/>
        <v>796.1</v>
      </c>
      <c r="I339" s="16">
        <f t="shared" si="2"/>
        <v>778.304</v>
      </c>
      <c r="J339" s="16">
        <f t="shared" si="3"/>
        <v>19.02292906</v>
      </c>
      <c r="K339" s="16">
        <f t="shared" si="4"/>
        <v>797.3269291</v>
      </c>
      <c r="L339" s="16">
        <f t="shared" si="5"/>
        <v>759.2810709</v>
      </c>
      <c r="N339" s="17" t="str">
        <f t="shared" si="6"/>
        <v>F</v>
      </c>
      <c r="O339" s="17" t="str">
        <f t="shared" si="7"/>
        <v>T</v>
      </c>
      <c r="P339" s="8">
        <f t="shared" si="8"/>
        <v>0</v>
      </c>
      <c r="R339" s="17" t="str">
        <f t="shared" si="9"/>
        <v>F</v>
      </c>
      <c r="S339" s="3" t="str">
        <f t="shared" si="10"/>
        <v>F</v>
      </c>
      <c r="T339" s="8">
        <f t="shared" si="11"/>
        <v>0</v>
      </c>
      <c r="V339" s="4">
        <f t="shared" si="12"/>
        <v>0</v>
      </c>
      <c r="W339" s="8">
        <f t="shared" si="13"/>
        <v>40.48</v>
      </c>
      <c r="X339" s="8">
        <f t="shared" si="14"/>
        <v>40.48</v>
      </c>
      <c r="Y339" s="8">
        <f t="shared" si="15"/>
        <v>18.02</v>
      </c>
    </row>
    <row r="340">
      <c r="A340" s="2">
        <v>333.0</v>
      </c>
      <c r="B340" s="15">
        <f>IFERROR(__xludf.DUMMYFUNCTION("""COMPUTED_VALUE"""),42866.64583333333)</f>
        <v>42866.64583</v>
      </c>
      <c r="C340" s="8">
        <f>IFERROR(__xludf.DUMMYFUNCTION("""COMPUTED_VALUE"""),1565.3)</f>
        <v>1565.3</v>
      </c>
      <c r="E340" s="15">
        <f>IFERROR(__xludf.DUMMYFUNCTION("""COMPUTED_VALUE"""),42866.64583333333)</f>
        <v>42866.64583</v>
      </c>
      <c r="F340" s="8">
        <f>IFERROR(__xludf.DUMMYFUNCTION("""COMPUTED_VALUE"""),773.2)</f>
        <v>773.2</v>
      </c>
      <c r="H340" s="4">
        <f t="shared" si="1"/>
        <v>792.1</v>
      </c>
      <c r="I340" s="16">
        <f t="shared" si="2"/>
        <v>777.334</v>
      </c>
      <c r="J340" s="16">
        <f t="shared" si="3"/>
        <v>17.92651054</v>
      </c>
      <c r="K340" s="16">
        <f t="shared" si="4"/>
        <v>795.2605105</v>
      </c>
      <c r="L340" s="16">
        <f t="shared" si="5"/>
        <v>759.4074895</v>
      </c>
      <c r="N340" s="17" t="str">
        <f t="shared" si="6"/>
        <v>F</v>
      </c>
      <c r="O340" s="17" t="str">
        <f t="shared" si="7"/>
        <v>T</v>
      </c>
      <c r="P340" s="8">
        <f t="shared" si="8"/>
        <v>0</v>
      </c>
      <c r="R340" s="17" t="str">
        <f t="shared" si="9"/>
        <v>F</v>
      </c>
      <c r="S340" s="3" t="str">
        <f t="shared" si="10"/>
        <v>F</v>
      </c>
      <c r="T340" s="8">
        <f t="shared" si="11"/>
        <v>0</v>
      </c>
      <c r="V340" s="4">
        <f t="shared" si="12"/>
        <v>0</v>
      </c>
      <c r="W340" s="8">
        <f t="shared" si="13"/>
        <v>-4</v>
      </c>
      <c r="X340" s="8">
        <f t="shared" si="14"/>
        <v>0</v>
      </c>
      <c r="Y340" s="8">
        <f t="shared" si="15"/>
        <v>18.02</v>
      </c>
    </row>
    <row r="341">
      <c r="A341" s="2">
        <v>334.0</v>
      </c>
      <c r="B341" s="15">
        <f>IFERROR(__xludf.DUMMYFUNCTION("""COMPUTED_VALUE"""),42867.64583333333)</f>
        <v>42867.64583</v>
      </c>
      <c r="C341" s="8">
        <f>IFERROR(__xludf.DUMMYFUNCTION("""COMPUTED_VALUE"""),1549.8)</f>
        <v>1549.8</v>
      </c>
      <c r="E341" s="15">
        <f>IFERROR(__xludf.DUMMYFUNCTION("""COMPUTED_VALUE"""),42867.64583333333)</f>
        <v>42867.64583</v>
      </c>
      <c r="F341" s="8">
        <f>IFERROR(__xludf.DUMMYFUNCTION("""COMPUTED_VALUE"""),775.83)</f>
        <v>775.83</v>
      </c>
      <c r="H341" s="4">
        <f t="shared" si="1"/>
        <v>773.97</v>
      </c>
      <c r="I341" s="16">
        <f t="shared" si="2"/>
        <v>775.978</v>
      </c>
      <c r="J341" s="16">
        <f t="shared" si="3"/>
        <v>17.85982139</v>
      </c>
      <c r="K341" s="16">
        <f t="shared" si="4"/>
        <v>793.8378214</v>
      </c>
      <c r="L341" s="16">
        <f t="shared" si="5"/>
        <v>758.1181786</v>
      </c>
      <c r="N341" s="17" t="str">
        <f t="shared" si="6"/>
        <v>F</v>
      </c>
      <c r="O341" s="17" t="str">
        <f t="shared" si="7"/>
        <v>F</v>
      </c>
      <c r="P341" s="8">
        <f t="shared" si="8"/>
        <v>0</v>
      </c>
      <c r="R341" s="17" t="str">
        <f t="shared" si="9"/>
        <v>F</v>
      </c>
      <c r="S341" s="3" t="str">
        <f t="shared" si="10"/>
        <v>T</v>
      </c>
      <c r="T341" s="8">
        <f t="shared" si="11"/>
        <v>0</v>
      </c>
      <c r="V341" s="4">
        <f t="shared" si="12"/>
        <v>0</v>
      </c>
      <c r="W341" s="8">
        <f t="shared" si="13"/>
        <v>-18.13</v>
      </c>
      <c r="X341" s="8">
        <f t="shared" si="14"/>
        <v>0</v>
      </c>
      <c r="Y341" s="8">
        <f t="shared" si="15"/>
        <v>18.02</v>
      </c>
    </row>
    <row r="342">
      <c r="A342" s="2">
        <v>335.0</v>
      </c>
      <c r="B342" s="15">
        <f>IFERROR(__xludf.DUMMYFUNCTION("""COMPUTED_VALUE"""),42870.64583333333)</f>
        <v>42870.64583</v>
      </c>
      <c r="C342" s="8">
        <f>IFERROR(__xludf.DUMMYFUNCTION("""COMPUTED_VALUE"""),1559.5)</f>
        <v>1559.5</v>
      </c>
      <c r="E342" s="15">
        <f>IFERROR(__xludf.DUMMYFUNCTION("""COMPUTED_VALUE"""),42870.64583333333)</f>
        <v>42870.64583</v>
      </c>
      <c r="F342" s="8">
        <f>IFERROR(__xludf.DUMMYFUNCTION("""COMPUTED_VALUE"""),776.7)</f>
        <v>776.7</v>
      </c>
      <c r="H342" s="4">
        <f t="shared" si="1"/>
        <v>782.8</v>
      </c>
      <c r="I342" s="16">
        <f t="shared" si="2"/>
        <v>780.118</v>
      </c>
      <c r="J342" s="16">
        <f t="shared" si="3"/>
        <v>16.15654418</v>
      </c>
      <c r="K342" s="16">
        <f t="shared" si="4"/>
        <v>796.2745442</v>
      </c>
      <c r="L342" s="16">
        <f t="shared" si="5"/>
        <v>763.9614558</v>
      </c>
      <c r="N342" s="17" t="str">
        <f t="shared" si="6"/>
        <v>F</v>
      </c>
      <c r="O342" s="17" t="str">
        <f t="shared" si="7"/>
        <v>T</v>
      </c>
      <c r="P342" s="8">
        <f t="shared" si="8"/>
        <v>0</v>
      </c>
      <c r="R342" s="17" t="str">
        <f t="shared" si="9"/>
        <v>F</v>
      </c>
      <c r="S342" s="3" t="str">
        <f t="shared" si="10"/>
        <v>F</v>
      </c>
      <c r="T342" s="8">
        <f t="shared" si="11"/>
        <v>0</v>
      </c>
      <c r="V342" s="4">
        <f t="shared" si="12"/>
        <v>0</v>
      </c>
      <c r="W342" s="8">
        <f t="shared" si="13"/>
        <v>8.83</v>
      </c>
      <c r="X342" s="8">
        <f t="shared" si="14"/>
        <v>0</v>
      </c>
      <c r="Y342" s="8">
        <f t="shared" si="15"/>
        <v>18.02</v>
      </c>
    </row>
    <row r="343">
      <c r="A343" s="2">
        <v>336.0</v>
      </c>
      <c r="B343" s="15">
        <f>IFERROR(__xludf.DUMMYFUNCTION("""COMPUTED_VALUE"""),42871.64583333333)</f>
        <v>42871.64583</v>
      </c>
      <c r="C343" s="8">
        <f>IFERROR(__xludf.DUMMYFUNCTION("""COMPUTED_VALUE"""),1566.55)</f>
        <v>1566.55</v>
      </c>
      <c r="E343" s="15">
        <f>IFERROR(__xludf.DUMMYFUNCTION("""COMPUTED_VALUE"""),42871.64583333333)</f>
        <v>42871.64583</v>
      </c>
      <c r="F343" s="8">
        <f>IFERROR(__xludf.DUMMYFUNCTION("""COMPUTED_VALUE"""),779.83)</f>
        <v>779.83</v>
      </c>
      <c r="H343" s="4">
        <f t="shared" si="1"/>
        <v>786.72</v>
      </c>
      <c r="I343" s="16">
        <f t="shared" si="2"/>
        <v>786.338</v>
      </c>
      <c r="J343" s="16">
        <f t="shared" si="3"/>
        <v>8.575081341</v>
      </c>
      <c r="K343" s="16">
        <f t="shared" si="4"/>
        <v>794.9130813</v>
      </c>
      <c r="L343" s="16">
        <f t="shared" si="5"/>
        <v>777.7629187</v>
      </c>
      <c r="N343" s="17" t="str">
        <f t="shared" si="6"/>
        <v>F</v>
      </c>
      <c r="O343" s="17" t="str">
        <f t="shared" si="7"/>
        <v>T</v>
      </c>
      <c r="P343" s="8">
        <f t="shared" si="8"/>
        <v>0</v>
      </c>
      <c r="R343" s="17" t="str">
        <f t="shared" si="9"/>
        <v>F</v>
      </c>
      <c r="S343" s="3" t="str">
        <f t="shared" si="10"/>
        <v>F</v>
      </c>
      <c r="T343" s="8">
        <f t="shared" si="11"/>
        <v>0</v>
      </c>
      <c r="V343" s="4">
        <f t="shared" si="12"/>
        <v>0</v>
      </c>
      <c r="W343" s="8">
        <f t="shared" si="13"/>
        <v>3.92</v>
      </c>
      <c r="X343" s="8">
        <f t="shared" si="14"/>
        <v>0</v>
      </c>
      <c r="Y343" s="8">
        <f t="shared" si="15"/>
        <v>18.02</v>
      </c>
    </row>
    <row r="344">
      <c r="A344" s="2">
        <v>337.0</v>
      </c>
      <c r="B344" s="15">
        <f>IFERROR(__xludf.DUMMYFUNCTION("""COMPUTED_VALUE"""),42872.64583333333)</f>
        <v>42872.64583</v>
      </c>
      <c r="C344" s="8">
        <f>IFERROR(__xludf.DUMMYFUNCTION("""COMPUTED_VALUE"""),1552.5)</f>
        <v>1552.5</v>
      </c>
      <c r="E344" s="15">
        <f>IFERROR(__xludf.DUMMYFUNCTION("""COMPUTED_VALUE"""),42872.64583333333)</f>
        <v>42872.64583</v>
      </c>
      <c r="F344" s="8">
        <f>IFERROR(__xludf.DUMMYFUNCTION("""COMPUTED_VALUE"""),778.58)</f>
        <v>778.58</v>
      </c>
      <c r="H344" s="4">
        <f t="shared" si="1"/>
        <v>773.92</v>
      </c>
      <c r="I344" s="16">
        <f t="shared" si="2"/>
        <v>781.902</v>
      </c>
      <c r="J344" s="16">
        <f t="shared" si="3"/>
        <v>7.978842021</v>
      </c>
      <c r="K344" s="16">
        <f t="shared" si="4"/>
        <v>789.880842</v>
      </c>
      <c r="L344" s="16">
        <f t="shared" si="5"/>
        <v>773.923158</v>
      </c>
      <c r="N344" s="17" t="str">
        <f t="shared" si="6"/>
        <v>T</v>
      </c>
      <c r="O344" s="17" t="str">
        <f t="shared" si="7"/>
        <v>F</v>
      </c>
      <c r="P344" s="8">
        <f t="shared" si="8"/>
        <v>1</v>
      </c>
      <c r="R344" s="17" t="str">
        <f t="shared" si="9"/>
        <v>F</v>
      </c>
      <c r="S344" s="3" t="str">
        <f t="shared" si="10"/>
        <v>T</v>
      </c>
      <c r="T344" s="8">
        <f t="shared" si="11"/>
        <v>0</v>
      </c>
      <c r="V344" s="4">
        <f t="shared" si="12"/>
        <v>1</v>
      </c>
      <c r="W344" s="8">
        <f t="shared" si="13"/>
        <v>-12.8</v>
      </c>
      <c r="X344" s="8">
        <f t="shared" si="14"/>
        <v>0</v>
      </c>
      <c r="Y344" s="8">
        <f t="shared" si="15"/>
        <v>18.02</v>
      </c>
    </row>
    <row r="345">
      <c r="A345" s="2">
        <v>338.0</v>
      </c>
      <c r="B345" s="15">
        <f>IFERROR(__xludf.DUMMYFUNCTION("""COMPUTED_VALUE"""),42873.64583333333)</f>
        <v>42873.64583</v>
      </c>
      <c r="C345" s="8">
        <f>IFERROR(__xludf.DUMMYFUNCTION("""COMPUTED_VALUE"""),1537.05)</f>
        <v>1537.05</v>
      </c>
      <c r="E345" s="15">
        <f>IFERROR(__xludf.DUMMYFUNCTION("""COMPUTED_VALUE"""),42873.64583333333)</f>
        <v>42873.64583</v>
      </c>
      <c r="F345" s="8">
        <f>IFERROR(__xludf.DUMMYFUNCTION("""COMPUTED_VALUE"""),778.55)</f>
        <v>778.55</v>
      </c>
      <c r="H345" s="4">
        <f t="shared" si="1"/>
        <v>758.5</v>
      </c>
      <c r="I345" s="16">
        <f t="shared" si="2"/>
        <v>775.182</v>
      </c>
      <c r="J345" s="16">
        <f t="shared" si="3"/>
        <v>10.86864849</v>
      </c>
      <c r="K345" s="16">
        <f t="shared" si="4"/>
        <v>786.0506485</v>
      </c>
      <c r="L345" s="16">
        <f t="shared" si="5"/>
        <v>764.3133515</v>
      </c>
      <c r="N345" s="17" t="str">
        <f t="shared" si="6"/>
        <v>T</v>
      </c>
      <c r="O345" s="17" t="str">
        <f t="shared" si="7"/>
        <v>F</v>
      </c>
      <c r="P345" s="8">
        <f t="shared" si="8"/>
        <v>1</v>
      </c>
      <c r="R345" s="17" t="str">
        <f t="shared" si="9"/>
        <v>F</v>
      </c>
      <c r="S345" s="3" t="str">
        <f t="shared" si="10"/>
        <v>T</v>
      </c>
      <c r="T345" s="8">
        <f t="shared" si="11"/>
        <v>0</v>
      </c>
      <c r="V345" s="4">
        <f t="shared" si="12"/>
        <v>1</v>
      </c>
      <c r="W345" s="8">
        <f t="shared" si="13"/>
        <v>-15.42</v>
      </c>
      <c r="X345" s="8">
        <f t="shared" si="14"/>
        <v>-15.42</v>
      </c>
      <c r="Y345" s="8">
        <f t="shared" si="15"/>
        <v>2.6</v>
      </c>
    </row>
    <row r="346">
      <c r="A346" s="2">
        <v>339.0</v>
      </c>
      <c r="B346" s="15">
        <f>IFERROR(__xludf.DUMMYFUNCTION("""COMPUTED_VALUE"""),42874.64583333333)</f>
        <v>42874.64583</v>
      </c>
      <c r="C346" s="8">
        <f>IFERROR(__xludf.DUMMYFUNCTION("""COMPUTED_VALUE"""),1520.6)</f>
        <v>1520.6</v>
      </c>
      <c r="E346" s="15">
        <f>IFERROR(__xludf.DUMMYFUNCTION("""COMPUTED_VALUE"""),42874.64583333333)</f>
        <v>42874.64583</v>
      </c>
      <c r="F346" s="8">
        <f>IFERROR(__xludf.DUMMYFUNCTION("""COMPUTED_VALUE"""),780.63)</f>
        <v>780.63</v>
      </c>
      <c r="H346" s="4">
        <f t="shared" si="1"/>
        <v>739.97</v>
      </c>
      <c r="I346" s="16">
        <f t="shared" si="2"/>
        <v>768.382</v>
      </c>
      <c r="J346" s="16">
        <f t="shared" si="3"/>
        <v>19.23360393</v>
      </c>
      <c r="K346" s="16">
        <f t="shared" si="4"/>
        <v>787.6156039</v>
      </c>
      <c r="L346" s="16">
        <f t="shared" si="5"/>
        <v>749.1483961</v>
      </c>
      <c r="N346" s="17" t="str">
        <f t="shared" si="6"/>
        <v>T</v>
      </c>
      <c r="O346" s="17" t="str">
        <f t="shared" si="7"/>
        <v>F</v>
      </c>
      <c r="P346" s="8">
        <f t="shared" si="8"/>
        <v>1</v>
      </c>
      <c r="R346" s="17" t="str">
        <f t="shared" si="9"/>
        <v>F</v>
      </c>
      <c r="S346" s="3" t="str">
        <f t="shared" si="10"/>
        <v>T</v>
      </c>
      <c r="T346" s="8">
        <f t="shared" si="11"/>
        <v>0</v>
      </c>
      <c r="V346" s="4">
        <f t="shared" si="12"/>
        <v>1</v>
      </c>
      <c r="W346" s="8">
        <f t="shared" si="13"/>
        <v>-18.53</v>
      </c>
      <c r="X346" s="8">
        <f t="shared" si="14"/>
        <v>-18.53</v>
      </c>
      <c r="Y346" s="8">
        <f t="shared" si="15"/>
        <v>-15.93</v>
      </c>
    </row>
    <row r="347">
      <c r="A347" s="2">
        <v>340.0</v>
      </c>
      <c r="B347" s="15">
        <f>IFERROR(__xludf.DUMMYFUNCTION("""COMPUTED_VALUE"""),42877.64583333333)</f>
        <v>42877.64583</v>
      </c>
      <c r="C347" s="8">
        <f>IFERROR(__xludf.DUMMYFUNCTION("""COMPUTED_VALUE"""),1519.85)</f>
        <v>1519.85</v>
      </c>
      <c r="E347" s="15">
        <f>IFERROR(__xludf.DUMMYFUNCTION("""COMPUTED_VALUE"""),42877.64583333333)</f>
        <v>42877.64583</v>
      </c>
      <c r="F347" s="8">
        <f>IFERROR(__xludf.DUMMYFUNCTION("""COMPUTED_VALUE"""),788.0)</f>
        <v>788</v>
      </c>
      <c r="H347" s="4">
        <f t="shared" si="1"/>
        <v>731.85</v>
      </c>
      <c r="I347" s="16">
        <f t="shared" si="2"/>
        <v>758.192</v>
      </c>
      <c r="J347" s="16">
        <f t="shared" si="3"/>
        <v>22.84323685</v>
      </c>
      <c r="K347" s="16">
        <f t="shared" si="4"/>
        <v>781.0352369</v>
      </c>
      <c r="L347" s="16">
        <f t="shared" si="5"/>
        <v>735.3487631</v>
      </c>
      <c r="N347" s="17" t="str">
        <f t="shared" si="6"/>
        <v>T</v>
      </c>
      <c r="O347" s="17" t="str">
        <f t="shared" si="7"/>
        <v>F</v>
      </c>
      <c r="P347" s="8">
        <f t="shared" si="8"/>
        <v>1</v>
      </c>
      <c r="R347" s="17" t="str">
        <f t="shared" si="9"/>
        <v>F</v>
      </c>
      <c r="S347" s="3" t="str">
        <f t="shared" si="10"/>
        <v>T</v>
      </c>
      <c r="T347" s="8">
        <f t="shared" si="11"/>
        <v>0</v>
      </c>
      <c r="V347" s="4">
        <f t="shared" si="12"/>
        <v>1</v>
      </c>
      <c r="W347" s="8">
        <f t="shared" si="13"/>
        <v>-8.12</v>
      </c>
      <c r="X347" s="8">
        <f t="shared" si="14"/>
        <v>-8.12</v>
      </c>
      <c r="Y347" s="8">
        <f t="shared" si="15"/>
        <v>-24.05</v>
      </c>
    </row>
    <row r="348">
      <c r="A348" s="2">
        <v>341.0</v>
      </c>
      <c r="B348" s="15">
        <f>IFERROR(__xludf.DUMMYFUNCTION("""COMPUTED_VALUE"""),42878.64583333333)</f>
        <v>42878.64583</v>
      </c>
      <c r="C348" s="8">
        <f>IFERROR(__xludf.DUMMYFUNCTION("""COMPUTED_VALUE"""),1511.5)</f>
        <v>1511.5</v>
      </c>
      <c r="E348" s="15">
        <f>IFERROR(__xludf.DUMMYFUNCTION("""COMPUTED_VALUE"""),42878.64583333333)</f>
        <v>42878.64583</v>
      </c>
      <c r="F348" s="8">
        <f>IFERROR(__xludf.DUMMYFUNCTION("""COMPUTED_VALUE"""),784.55)</f>
        <v>784.55</v>
      </c>
      <c r="H348" s="4">
        <f t="shared" si="1"/>
        <v>726.95</v>
      </c>
      <c r="I348" s="16">
        <f t="shared" si="2"/>
        <v>746.238</v>
      </c>
      <c r="J348" s="16">
        <f t="shared" si="3"/>
        <v>19.58940453</v>
      </c>
      <c r="K348" s="16">
        <f t="shared" si="4"/>
        <v>765.8274045</v>
      </c>
      <c r="L348" s="16">
        <f t="shared" si="5"/>
        <v>726.6485955</v>
      </c>
      <c r="N348" s="17" t="str">
        <f t="shared" si="6"/>
        <v>F</v>
      </c>
      <c r="O348" s="17" t="str">
        <f t="shared" si="7"/>
        <v>F</v>
      </c>
      <c r="P348" s="8">
        <f t="shared" si="8"/>
        <v>1</v>
      </c>
      <c r="R348" s="17" t="str">
        <f t="shared" si="9"/>
        <v>F</v>
      </c>
      <c r="S348" s="3" t="str">
        <f t="shared" si="10"/>
        <v>T</v>
      </c>
      <c r="T348" s="8">
        <f t="shared" si="11"/>
        <v>0</v>
      </c>
      <c r="V348" s="4">
        <f t="shared" si="12"/>
        <v>1</v>
      </c>
      <c r="W348" s="8">
        <f t="shared" si="13"/>
        <v>-4.9</v>
      </c>
      <c r="X348" s="8">
        <f t="shared" si="14"/>
        <v>-4.9</v>
      </c>
      <c r="Y348" s="8">
        <f t="shared" si="15"/>
        <v>-28.95</v>
      </c>
    </row>
    <row r="349">
      <c r="A349" s="2">
        <v>342.0</v>
      </c>
      <c r="B349" s="15">
        <f>IFERROR(__xludf.DUMMYFUNCTION("""COMPUTED_VALUE"""),42879.64583333333)</f>
        <v>42879.64583</v>
      </c>
      <c r="C349" s="8">
        <f>IFERROR(__xludf.DUMMYFUNCTION("""COMPUTED_VALUE"""),1524.85)</f>
        <v>1524.85</v>
      </c>
      <c r="E349" s="15">
        <f>IFERROR(__xludf.DUMMYFUNCTION("""COMPUTED_VALUE"""),42879.64583333333)</f>
        <v>42879.64583</v>
      </c>
      <c r="F349" s="8">
        <f>IFERROR(__xludf.DUMMYFUNCTION("""COMPUTED_VALUE"""),783.38)</f>
        <v>783.38</v>
      </c>
      <c r="H349" s="4">
        <f t="shared" si="1"/>
        <v>741.47</v>
      </c>
      <c r="I349" s="16">
        <f t="shared" si="2"/>
        <v>739.748</v>
      </c>
      <c r="J349" s="16">
        <f t="shared" si="3"/>
        <v>12.05009627</v>
      </c>
      <c r="K349" s="16">
        <f t="shared" si="4"/>
        <v>751.7980963</v>
      </c>
      <c r="L349" s="16">
        <f t="shared" si="5"/>
        <v>727.6979037</v>
      </c>
      <c r="N349" s="17" t="str">
        <f t="shared" si="6"/>
        <v>F</v>
      </c>
      <c r="O349" s="17" t="str">
        <f t="shared" si="7"/>
        <v>T</v>
      </c>
      <c r="P349" s="8">
        <f t="shared" si="8"/>
        <v>0</v>
      </c>
      <c r="R349" s="17" t="str">
        <f t="shared" si="9"/>
        <v>F</v>
      </c>
      <c r="S349" s="3" t="str">
        <f t="shared" si="10"/>
        <v>F</v>
      </c>
      <c r="T349" s="8">
        <f t="shared" si="11"/>
        <v>0</v>
      </c>
      <c r="V349" s="4">
        <f t="shared" si="12"/>
        <v>0</v>
      </c>
      <c r="W349" s="8">
        <f t="shared" si="13"/>
        <v>14.52</v>
      </c>
      <c r="X349" s="8">
        <f t="shared" si="14"/>
        <v>14.52</v>
      </c>
      <c r="Y349" s="8">
        <f t="shared" si="15"/>
        <v>-14.43</v>
      </c>
    </row>
    <row r="350">
      <c r="A350" s="2">
        <v>343.0</v>
      </c>
      <c r="B350" s="15">
        <f>IFERROR(__xludf.DUMMYFUNCTION("""COMPUTED_VALUE"""),42880.64583333333)</f>
        <v>42880.64583</v>
      </c>
      <c r="C350" s="8">
        <f>IFERROR(__xludf.DUMMYFUNCTION("""COMPUTED_VALUE"""),1539.75)</f>
        <v>1539.75</v>
      </c>
      <c r="E350" s="15">
        <f>IFERROR(__xludf.DUMMYFUNCTION("""COMPUTED_VALUE"""),42880.64583333333)</f>
        <v>42880.64583</v>
      </c>
      <c r="F350" s="8">
        <f>IFERROR(__xludf.DUMMYFUNCTION("""COMPUTED_VALUE"""),808.58)</f>
        <v>808.58</v>
      </c>
      <c r="H350" s="4">
        <f t="shared" si="1"/>
        <v>731.17</v>
      </c>
      <c r="I350" s="16">
        <f t="shared" si="2"/>
        <v>734.282</v>
      </c>
      <c r="J350" s="16">
        <f t="shared" si="3"/>
        <v>6.192295213</v>
      </c>
      <c r="K350" s="16">
        <f t="shared" si="4"/>
        <v>740.4742952</v>
      </c>
      <c r="L350" s="16">
        <f t="shared" si="5"/>
        <v>728.0897048</v>
      </c>
      <c r="N350" s="17" t="str">
        <f t="shared" si="6"/>
        <v>F</v>
      </c>
      <c r="O350" s="17" t="str">
        <f t="shared" si="7"/>
        <v>F</v>
      </c>
      <c r="P350" s="8">
        <f t="shared" si="8"/>
        <v>0</v>
      </c>
      <c r="R350" s="17" t="str">
        <f t="shared" si="9"/>
        <v>F</v>
      </c>
      <c r="S350" s="3" t="str">
        <f t="shared" si="10"/>
        <v>T</v>
      </c>
      <c r="T350" s="8">
        <f t="shared" si="11"/>
        <v>0</v>
      </c>
      <c r="V350" s="4">
        <f t="shared" si="12"/>
        <v>0</v>
      </c>
      <c r="W350" s="8">
        <f t="shared" si="13"/>
        <v>-10.3</v>
      </c>
      <c r="X350" s="8">
        <f t="shared" si="14"/>
        <v>0</v>
      </c>
      <c r="Y350" s="8">
        <f t="shared" si="15"/>
        <v>-14.43</v>
      </c>
    </row>
    <row r="351">
      <c r="A351" s="2">
        <v>344.0</v>
      </c>
      <c r="B351" s="15">
        <f>IFERROR(__xludf.DUMMYFUNCTION("""COMPUTED_VALUE"""),42881.64583333333)</f>
        <v>42881.64583</v>
      </c>
      <c r="C351" s="8">
        <f>IFERROR(__xludf.DUMMYFUNCTION("""COMPUTED_VALUE"""),1547.9)</f>
        <v>1547.9</v>
      </c>
      <c r="E351" s="15">
        <f>IFERROR(__xludf.DUMMYFUNCTION("""COMPUTED_VALUE"""),42881.64583333333)</f>
        <v>42881.64583</v>
      </c>
      <c r="F351" s="8">
        <f>IFERROR(__xludf.DUMMYFUNCTION("""COMPUTED_VALUE"""),813.0)</f>
        <v>813</v>
      </c>
      <c r="H351" s="4">
        <f t="shared" si="1"/>
        <v>734.9</v>
      </c>
      <c r="I351" s="16">
        <f t="shared" si="2"/>
        <v>733.268</v>
      </c>
      <c r="J351" s="16">
        <f t="shared" si="3"/>
        <v>5.391328222</v>
      </c>
      <c r="K351" s="16">
        <f t="shared" si="4"/>
        <v>738.6593282</v>
      </c>
      <c r="L351" s="16">
        <f t="shared" si="5"/>
        <v>727.8766718</v>
      </c>
      <c r="N351" s="17" t="str">
        <f t="shared" si="6"/>
        <v>F</v>
      </c>
      <c r="O351" s="17" t="str">
        <f t="shared" si="7"/>
        <v>T</v>
      </c>
      <c r="P351" s="8">
        <f t="shared" si="8"/>
        <v>0</v>
      </c>
      <c r="R351" s="17" t="str">
        <f t="shared" si="9"/>
        <v>F</v>
      </c>
      <c r="S351" s="3" t="str">
        <f t="shared" si="10"/>
        <v>F</v>
      </c>
      <c r="T351" s="8">
        <f t="shared" si="11"/>
        <v>0</v>
      </c>
      <c r="V351" s="4">
        <f t="shared" si="12"/>
        <v>0</v>
      </c>
      <c r="W351" s="8">
        <f t="shared" si="13"/>
        <v>3.73</v>
      </c>
      <c r="X351" s="8">
        <f t="shared" si="14"/>
        <v>0</v>
      </c>
      <c r="Y351" s="8">
        <f t="shared" si="15"/>
        <v>-14.43</v>
      </c>
    </row>
    <row r="352">
      <c r="A352" s="2">
        <v>345.0</v>
      </c>
      <c r="B352" s="15">
        <f>IFERROR(__xludf.DUMMYFUNCTION("""COMPUTED_VALUE"""),42884.64583333333)</f>
        <v>42884.64583</v>
      </c>
      <c r="C352" s="8">
        <f>IFERROR(__xludf.DUMMYFUNCTION("""COMPUTED_VALUE"""),1598.85)</f>
        <v>1598.85</v>
      </c>
      <c r="E352" s="15">
        <f>IFERROR(__xludf.DUMMYFUNCTION("""COMPUTED_VALUE"""),42884.64583333333)</f>
        <v>42884.64583</v>
      </c>
      <c r="F352" s="8">
        <f>IFERROR(__xludf.DUMMYFUNCTION("""COMPUTED_VALUE"""),815.95)</f>
        <v>815.95</v>
      </c>
      <c r="H352" s="4">
        <f t="shared" si="1"/>
        <v>782.9</v>
      </c>
      <c r="I352" s="16">
        <f t="shared" si="2"/>
        <v>743.478</v>
      </c>
      <c r="J352" s="16">
        <f t="shared" si="3"/>
        <v>22.67360734</v>
      </c>
      <c r="K352" s="16">
        <f t="shared" si="4"/>
        <v>766.1516073</v>
      </c>
      <c r="L352" s="16">
        <f t="shared" si="5"/>
        <v>720.8043927</v>
      </c>
      <c r="N352" s="17" t="str">
        <f t="shared" si="6"/>
        <v>F</v>
      </c>
      <c r="O352" s="17" t="str">
        <f t="shared" si="7"/>
        <v>T</v>
      </c>
      <c r="P352" s="8">
        <f t="shared" si="8"/>
        <v>0</v>
      </c>
      <c r="R352" s="17" t="str">
        <f t="shared" si="9"/>
        <v>T</v>
      </c>
      <c r="S352" s="3" t="str">
        <f t="shared" si="10"/>
        <v>F</v>
      </c>
      <c r="T352" s="8">
        <f t="shared" si="11"/>
        <v>-1</v>
      </c>
      <c r="V352" s="4">
        <f t="shared" si="12"/>
        <v>-1</v>
      </c>
      <c r="W352" s="8">
        <f t="shared" si="13"/>
        <v>48</v>
      </c>
      <c r="X352" s="8">
        <f t="shared" si="14"/>
        <v>0</v>
      </c>
      <c r="Y352" s="8">
        <f t="shared" si="15"/>
        <v>-14.43</v>
      </c>
    </row>
    <row r="353">
      <c r="A353" s="2">
        <v>346.0</v>
      </c>
      <c r="B353" s="15">
        <f>IFERROR(__xludf.DUMMYFUNCTION("""COMPUTED_VALUE"""),42885.64583333333)</f>
        <v>42885.64583</v>
      </c>
      <c r="C353" s="8">
        <f>IFERROR(__xludf.DUMMYFUNCTION("""COMPUTED_VALUE"""),1579.5)</f>
        <v>1579.5</v>
      </c>
      <c r="E353" s="15">
        <f>IFERROR(__xludf.DUMMYFUNCTION("""COMPUTED_VALUE"""),42885.64583333333)</f>
        <v>42885.64583</v>
      </c>
      <c r="F353" s="8">
        <f>IFERROR(__xludf.DUMMYFUNCTION("""COMPUTED_VALUE"""),814.53)</f>
        <v>814.53</v>
      </c>
      <c r="H353" s="4">
        <f t="shared" si="1"/>
        <v>764.97</v>
      </c>
      <c r="I353" s="16">
        <f t="shared" si="2"/>
        <v>751.082</v>
      </c>
      <c r="J353" s="16">
        <f t="shared" si="3"/>
        <v>22.11332788</v>
      </c>
      <c r="K353" s="16">
        <f t="shared" si="4"/>
        <v>773.1953279</v>
      </c>
      <c r="L353" s="16">
        <f t="shared" si="5"/>
        <v>728.9686721</v>
      </c>
      <c r="N353" s="17" t="str">
        <f t="shared" si="6"/>
        <v>F</v>
      </c>
      <c r="O353" s="17" t="str">
        <f t="shared" si="7"/>
        <v>T</v>
      </c>
      <c r="P353" s="8">
        <f t="shared" si="8"/>
        <v>0</v>
      </c>
      <c r="R353" s="17" t="str">
        <f t="shared" si="9"/>
        <v>F</v>
      </c>
      <c r="S353" s="3" t="str">
        <f t="shared" si="10"/>
        <v>F</v>
      </c>
      <c r="T353" s="8">
        <f t="shared" si="11"/>
        <v>-1</v>
      </c>
      <c r="V353" s="4">
        <f t="shared" si="12"/>
        <v>-1</v>
      </c>
      <c r="W353" s="8">
        <f t="shared" si="13"/>
        <v>-17.93</v>
      </c>
      <c r="X353" s="8">
        <f t="shared" si="14"/>
        <v>17.93</v>
      </c>
      <c r="Y353" s="8">
        <f t="shared" si="15"/>
        <v>3.5</v>
      </c>
    </row>
    <row r="354">
      <c r="A354" s="2">
        <v>347.0</v>
      </c>
      <c r="B354" s="15">
        <f>IFERROR(__xludf.DUMMYFUNCTION("""COMPUTED_VALUE"""),42886.64583333333)</f>
        <v>42886.64583</v>
      </c>
      <c r="C354" s="8">
        <f>IFERROR(__xludf.DUMMYFUNCTION("""COMPUTED_VALUE"""),1569.85)</f>
        <v>1569.85</v>
      </c>
      <c r="E354" s="15">
        <f>IFERROR(__xludf.DUMMYFUNCTION("""COMPUTED_VALUE"""),42886.64583333333)</f>
        <v>42886.64583</v>
      </c>
      <c r="F354" s="8">
        <f>IFERROR(__xludf.DUMMYFUNCTION("""COMPUTED_VALUE"""),818.1)</f>
        <v>818.1</v>
      </c>
      <c r="H354" s="4">
        <f t="shared" si="1"/>
        <v>751.75</v>
      </c>
      <c r="I354" s="16">
        <f t="shared" si="2"/>
        <v>753.138</v>
      </c>
      <c r="J354" s="16">
        <f t="shared" si="3"/>
        <v>21.46460505</v>
      </c>
      <c r="K354" s="16">
        <f t="shared" si="4"/>
        <v>774.6026051</v>
      </c>
      <c r="L354" s="16">
        <f t="shared" si="5"/>
        <v>731.6733949</v>
      </c>
      <c r="N354" s="17" t="str">
        <f t="shared" si="6"/>
        <v>F</v>
      </c>
      <c r="O354" s="17" t="str">
        <f t="shared" si="7"/>
        <v>F</v>
      </c>
      <c r="P354" s="8">
        <f t="shared" si="8"/>
        <v>0</v>
      </c>
      <c r="R354" s="17" t="str">
        <f t="shared" si="9"/>
        <v>F</v>
      </c>
      <c r="S354" s="3" t="str">
        <f t="shared" si="10"/>
        <v>T</v>
      </c>
      <c r="T354" s="8">
        <f t="shared" si="11"/>
        <v>0</v>
      </c>
      <c r="V354" s="4">
        <f t="shared" si="12"/>
        <v>0</v>
      </c>
      <c r="W354" s="8">
        <f t="shared" si="13"/>
        <v>-13.22</v>
      </c>
      <c r="X354" s="8">
        <f t="shared" si="14"/>
        <v>13.22</v>
      </c>
      <c r="Y354" s="8">
        <f t="shared" si="15"/>
        <v>16.72</v>
      </c>
    </row>
    <row r="355">
      <c r="A355" s="2">
        <v>348.0</v>
      </c>
      <c r="B355" s="15">
        <f>IFERROR(__xludf.DUMMYFUNCTION("""COMPUTED_VALUE"""),42887.64583333333)</f>
        <v>42887.64583</v>
      </c>
      <c r="C355" s="8">
        <f>IFERROR(__xludf.DUMMYFUNCTION("""COMPUTED_VALUE"""),1583.75)</f>
        <v>1583.75</v>
      </c>
      <c r="E355" s="15">
        <f>IFERROR(__xludf.DUMMYFUNCTION("""COMPUTED_VALUE"""),42887.64583333333)</f>
        <v>42887.64583</v>
      </c>
      <c r="F355" s="8">
        <f>IFERROR(__xludf.DUMMYFUNCTION("""COMPUTED_VALUE"""),814.3)</f>
        <v>814.3</v>
      </c>
      <c r="H355" s="4">
        <f t="shared" si="1"/>
        <v>769.45</v>
      </c>
      <c r="I355" s="16">
        <f t="shared" si="2"/>
        <v>760.794</v>
      </c>
      <c r="J355" s="16">
        <f t="shared" si="3"/>
        <v>18.25742123</v>
      </c>
      <c r="K355" s="16">
        <f t="shared" si="4"/>
        <v>779.0514212</v>
      </c>
      <c r="L355" s="16">
        <f t="shared" si="5"/>
        <v>742.5365788</v>
      </c>
      <c r="N355" s="17" t="str">
        <f t="shared" si="6"/>
        <v>F</v>
      </c>
      <c r="O355" s="17" t="str">
        <f t="shared" si="7"/>
        <v>T</v>
      </c>
      <c r="P355" s="8">
        <f t="shared" si="8"/>
        <v>0</v>
      </c>
      <c r="R355" s="17" t="str">
        <f t="shared" si="9"/>
        <v>F</v>
      </c>
      <c r="S355" s="3" t="str">
        <f t="shared" si="10"/>
        <v>F</v>
      </c>
      <c r="T355" s="8">
        <f t="shared" si="11"/>
        <v>0</v>
      </c>
      <c r="V355" s="4">
        <f t="shared" si="12"/>
        <v>0</v>
      </c>
      <c r="W355" s="8">
        <f t="shared" si="13"/>
        <v>17.7</v>
      </c>
      <c r="X355" s="8">
        <f t="shared" si="14"/>
        <v>0</v>
      </c>
      <c r="Y355" s="8">
        <f t="shared" si="15"/>
        <v>16.72</v>
      </c>
    </row>
    <row r="356">
      <c r="A356" s="2">
        <v>349.0</v>
      </c>
      <c r="B356" s="15">
        <f>IFERROR(__xludf.DUMMYFUNCTION("""COMPUTED_VALUE"""),42888.64583333333)</f>
        <v>42888.64583</v>
      </c>
      <c r="C356" s="8">
        <f>IFERROR(__xludf.DUMMYFUNCTION("""COMPUTED_VALUE"""),1604.65)</f>
        <v>1604.65</v>
      </c>
      <c r="E356" s="15">
        <f>IFERROR(__xludf.DUMMYFUNCTION("""COMPUTED_VALUE"""),42888.64583333333)</f>
        <v>42888.64583</v>
      </c>
      <c r="F356" s="8">
        <f>IFERROR(__xludf.DUMMYFUNCTION("""COMPUTED_VALUE"""),817.13)</f>
        <v>817.13</v>
      </c>
      <c r="H356" s="4">
        <f t="shared" si="1"/>
        <v>787.52</v>
      </c>
      <c r="I356" s="16">
        <f t="shared" si="2"/>
        <v>771.318</v>
      </c>
      <c r="J356" s="16">
        <f t="shared" si="3"/>
        <v>14.34695682</v>
      </c>
      <c r="K356" s="16">
        <f t="shared" si="4"/>
        <v>785.6649568</v>
      </c>
      <c r="L356" s="16">
        <f t="shared" si="5"/>
        <v>756.9710432</v>
      </c>
      <c r="N356" s="17" t="str">
        <f t="shared" si="6"/>
        <v>F</v>
      </c>
      <c r="O356" s="17" t="str">
        <f t="shared" si="7"/>
        <v>T</v>
      </c>
      <c r="P356" s="8">
        <f t="shared" si="8"/>
        <v>0</v>
      </c>
      <c r="R356" s="17" t="str">
        <f t="shared" si="9"/>
        <v>T</v>
      </c>
      <c r="S356" s="3" t="str">
        <f t="shared" si="10"/>
        <v>F</v>
      </c>
      <c r="T356" s="8">
        <f t="shared" si="11"/>
        <v>-1</v>
      </c>
      <c r="V356" s="4">
        <f t="shared" si="12"/>
        <v>-1</v>
      </c>
      <c r="W356" s="8">
        <f t="shared" si="13"/>
        <v>18.07</v>
      </c>
      <c r="X356" s="8">
        <f t="shared" si="14"/>
        <v>0</v>
      </c>
      <c r="Y356" s="8">
        <f t="shared" si="15"/>
        <v>16.72</v>
      </c>
    </row>
    <row r="357">
      <c r="A357" s="2">
        <v>350.0</v>
      </c>
      <c r="B357" s="15">
        <f>IFERROR(__xludf.DUMMYFUNCTION("""COMPUTED_VALUE"""),42891.64583333333)</f>
        <v>42891.64583</v>
      </c>
      <c r="C357" s="8">
        <f>IFERROR(__xludf.DUMMYFUNCTION("""COMPUTED_VALUE"""),1606.15)</f>
        <v>1606.15</v>
      </c>
      <c r="E357" s="15">
        <f>IFERROR(__xludf.DUMMYFUNCTION("""COMPUTED_VALUE"""),42891.64583333333)</f>
        <v>42891.64583</v>
      </c>
      <c r="F357" s="8">
        <f>IFERROR(__xludf.DUMMYFUNCTION("""COMPUTED_VALUE"""),817.78)</f>
        <v>817.78</v>
      </c>
      <c r="H357" s="4">
        <f t="shared" si="1"/>
        <v>788.37</v>
      </c>
      <c r="I357" s="16">
        <f t="shared" si="2"/>
        <v>772.412</v>
      </c>
      <c r="J357" s="16">
        <f t="shared" si="3"/>
        <v>15.60436221</v>
      </c>
      <c r="K357" s="16">
        <f t="shared" si="4"/>
        <v>788.0163622</v>
      </c>
      <c r="L357" s="16">
        <f t="shared" si="5"/>
        <v>756.8076378</v>
      </c>
      <c r="N357" s="17" t="str">
        <f t="shared" si="6"/>
        <v>F</v>
      </c>
      <c r="O357" s="17" t="str">
        <f t="shared" si="7"/>
        <v>T</v>
      </c>
      <c r="P357" s="8">
        <f t="shared" si="8"/>
        <v>0</v>
      </c>
      <c r="R357" s="17" t="str">
        <f t="shared" si="9"/>
        <v>T</v>
      </c>
      <c r="S357" s="3" t="str">
        <f t="shared" si="10"/>
        <v>F</v>
      </c>
      <c r="T357" s="8">
        <f t="shared" si="11"/>
        <v>-1</v>
      </c>
      <c r="V357" s="4">
        <f t="shared" si="12"/>
        <v>-1</v>
      </c>
      <c r="W357" s="8">
        <f t="shared" si="13"/>
        <v>0.85</v>
      </c>
      <c r="X357" s="8">
        <f t="shared" si="14"/>
        <v>-0.85</v>
      </c>
      <c r="Y357" s="8">
        <f t="shared" si="15"/>
        <v>15.87</v>
      </c>
    </row>
    <row r="358">
      <c r="A358" s="2">
        <v>351.0</v>
      </c>
      <c r="B358" s="15">
        <f>IFERROR(__xludf.DUMMYFUNCTION("""COMPUTED_VALUE"""),42892.64583333333)</f>
        <v>42892.64583</v>
      </c>
      <c r="C358" s="8">
        <f>IFERROR(__xludf.DUMMYFUNCTION("""COMPUTED_VALUE"""),1605.75)</f>
        <v>1605.75</v>
      </c>
      <c r="E358" s="15">
        <f>IFERROR(__xludf.DUMMYFUNCTION("""COMPUTED_VALUE"""),42892.64583333333)</f>
        <v>42892.64583</v>
      </c>
      <c r="F358" s="8">
        <f>IFERROR(__xludf.DUMMYFUNCTION("""COMPUTED_VALUE"""),819.48)</f>
        <v>819.48</v>
      </c>
      <c r="H358" s="4">
        <f t="shared" si="1"/>
        <v>786.27</v>
      </c>
      <c r="I358" s="16">
        <f t="shared" si="2"/>
        <v>776.672</v>
      </c>
      <c r="J358" s="16">
        <f t="shared" si="3"/>
        <v>15.96799361</v>
      </c>
      <c r="K358" s="16">
        <f t="shared" si="4"/>
        <v>792.6399936</v>
      </c>
      <c r="L358" s="16">
        <f t="shared" si="5"/>
        <v>760.7040064</v>
      </c>
      <c r="N358" s="17" t="str">
        <f t="shared" si="6"/>
        <v>F</v>
      </c>
      <c r="O358" s="17" t="str">
        <f t="shared" si="7"/>
        <v>T</v>
      </c>
      <c r="P358" s="8">
        <f t="shared" si="8"/>
        <v>0</v>
      </c>
      <c r="R358" s="17" t="str">
        <f t="shared" si="9"/>
        <v>F</v>
      </c>
      <c r="S358" s="3" t="str">
        <f t="shared" si="10"/>
        <v>F</v>
      </c>
      <c r="T358" s="8">
        <f t="shared" si="11"/>
        <v>-1</v>
      </c>
      <c r="V358" s="4">
        <f t="shared" si="12"/>
        <v>-1</v>
      </c>
      <c r="W358" s="8">
        <f t="shared" si="13"/>
        <v>-2.1</v>
      </c>
      <c r="X358" s="8">
        <f t="shared" si="14"/>
        <v>2.1</v>
      </c>
      <c r="Y358" s="8">
        <f t="shared" si="15"/>
        <v>17.97</v>
      </c>
    </row>
    <row r="359">
      <c r="A359" s="2">
        <v>352.0</v>
      </c>
      <c r="B359" s="15">
        <f>IFERROR(__xludf.DUMMYFUNCTION("""COMPUTED_VALUE"""),42893.64583333333)</f>
        <v>42893.64583</v>
      </c>
      <c r="C359" s="8">
        <f>IFERROR(__xludf.DUMMYFUNCTION("""COMPUTED_VALUE"""),1599.35)</f>
        <v>1599.35</v>
      </c>
      <c r="E359" s="15">
        <f>IFERROR(__xludf.DUMMYFUNCTION("""COMPUTED_VALUE"""),42893.64583333333)</f>
        <v>42893.64583</v>
      </c>
      <c r="F359" s="8">
        <f>IFERROR(__xludf.DUMMYFUNCTION("""COMPUTED_VALUE"""),820.4)</f>
        <v>820.4</v>
      </c>
      <c r="H359" s="4">
        <f t="shared" si="1"/>
        <v>778.95</v>
      </c>
      <c r="I359" s="16">
        <f t="shared" si="2"/>
        <v>782.112</v>
      </c>
      <c r="J359" s="16">
        <f t="shared" si="3"/>
        <v>8.000351242</v>
      </c>
      <c r="K359" s="16">
        <f t="shared" si="4"/>
        <v>790.1123512</v>
      </c>
      <c r="L359" s="16">
        <f t="shared" si="5"/>
        <v>774.1116488</v>
      </c>
      <c r="N359" s="17" t="str">
        <f t="shared" si="6"/>
        <v>F</v>
      </c>
      <c r="O359" s="17" t="str">
        <f t="shared" si="7"/>
        <v>F</v>
      </c>
      <c r="P359" s="8">
        <f t="shared" si="8"/>
        <v>0</v>
      </c>
      <c r="R359" s="17" t="str">
        <f t="shared" si="9"/>
        <v>F</v>
      </c>
      <c r="S359" s="3" t="str">
        <f t="shared" si="10"/>
        <v>T</v>
      </c>
      <c r="T359" s="8">
        <f t="shared" si="11"/>
        <v>0</v>
      </c>
      <c r="V359" s="4">
        <f t="shared" si="12"/>
        <v>0</v>
      </c>
      <c r="W359" s="8">
        <f t="shared" si="13"/>
        <v>-7.32</v>
      </c>
      <c r="X359" s="8">
        <f t="shared" si="14"/>
        <v>7.32</v>
      </c>
      <c r="Y359" s="8">
        <f t="shared" si="15"/>
        <v>25.29</v>
      </c>
    </row>
    <row r="360">
      <c r="A360" s="2">
        <v>353.0</v>
      </c>
      <c r="B360" s="15">
        <f>IFERROR(__xludf.DUMMYFUNCTION("""COMPUTED_VALUE"""),42894.64583333333)</f>
        <v>42894.64583</v>
      </c>
      <c r="C360" s="8">
        <f>IFERROR(__xludf.DUMMYFUNCTION("""COMPUTED_VALUE"""),1633.55)</f>
        <v>1633.55</v>
      </c>
      <c r="E360" s="15">
        <f>IFERROR(__xludf.DUMMYFUNCTION("""COMPUTED_VALUE"""),42894.64583333333)</f>
        <v>42894.64583</v>
      </c>
      <c r="F360" s="8">
        <f>IFERROR(__xludf.DUMMYFUNCTION("""COMPUTED_VALUE"""),822.38)</f>
        <v>822.38</v>
      </c>
      <c r="H360" s="4">
        <f t="shared" si="1"/>
        <v>811.17</v>
      </c>
      <c r="I360" s="16">
        <f t="shared" si="2"/>
        <v>790.456</v>
      </c>
      <c r="J360" s="16">
        <f t="shared" si="3"/>
        <v>12.16503103</v>
      </c>
      <c r="K360" s="16">
        <f t="shared" si="4"/>
        <v>802.621031</v>
      </c>
      <c r="L360" s="16">
        <f t="shared" si="5"/>
        <v>778.290969</v>
      </c>
      <c r="N360" s="17" t="str">
        <f t="shared" si="6"/>
        <v>F</v>
      </c>
      <c r="O360" s="17" t="str">
        <f t="shared" si="7"/>
        <v>T</v>
      </c>
      <c r="P360" s="8">
        <f t="shared" si="8"/>
        <v>0</v>
      </c>
      <c r="R360" s="17" t="str">
        <f t="shared" si="9"/>
        <v>T</v>
      </c>
      <c r="S360" s="3" t="str">
        <f t="shared" si="10"/>
        <v>F</v>
      </c>
      <c r="T360" s="8">
        <f t="shared" si="11"/>
        <v>-1</v>
      </c>
      <c r="V360" s="4">
        <f t="shared" si="12"/>
        <v>-1</v>
      </c>
      <c r="W360" s="8">
        <f t="shared" si="13"/>
        <v>32.22</v>
      </c>
      <c r="X360" s="8">
        <f t="shared" si="14"/>
        <v>0</v>
      </c>
      <c r="Y360" s="8">
        <f t="shared" si="15"/>
        <v>25.29</v>
      </c>
    </row>
    <row r="361">
      <c r="A361" s="2">
        <v>354.0</v>
      </c>
      <c r="B361" s="15">
        <f>IFERROR(__xludf.DUMMYFUNCTION("""COMPUTED_VALUE"""),42895.64583333333)</f>
        <v>42895.64583</v>
      </c>
      <c r="C361" s="8">
        <f>IFERROR(__xludf.DUMMYFUNCTION("""COMPUTED_VALUE"""),1647.2)</f>
        <v>1647.2</v>
      </c>
      <c r="E361" s="15">
        <f>IFERROR(__xludf.DUMMYFUNCTION("""COMPUTED_VALUE"""),42895.64583333333)</f>
        <v>42895.64583</v>
      </c>
      <c r="F361" s="8">
        <f>IFERROR(__xludf.DUMMYFUNCTION("""COMPUTED_VALUE"""),833.4)</f>
        <v>833.4</v>
      </c>
      <c r="H361" s="4">
        <f t="shared" si="1"/>
        <v>813.8</v>
      </c>
      <c r="I361" s="16">
        <f t="shared" si="2"/>
        <v>795.712</v>
      </c>
      <c r="J361" s="16">
        <f t="shared" si="3"/>
        <v>15.73329654</v>
      </c>
      <c r="K361" s="16">
        <f t="shared" si="4"/>
        <v>811.4452965</v>
      </c>
      <c r="L361" s="16">
        <f t="shared" si="5"/>
        <v>779.9787035</v>
      </c>
      <c r="N361" s="17" t="str">
        <f t="shared" si="6"/>
        <v>F</v>
      </c>
      <c r="O361" s="17" t="str">
        <f t="shared" si="7"/>
        <v>T</v>
      </c>
      <c r="P361" s="8">
        <f t="shared" si="8"/>
        <v>0</v>
      </c>
      <c r="R361" s="17" t="str">
        <f t="shared" si="9"/>
        <v>T</v>
      </c>
      <c r="S361" s="3" t="str">
        <f t="shared" si="10"/>
        <v>F</v>
      </c>
      <c r="T361" s="8">
        <f t="shared" si="11"/>
        <v>-1</v>
      </c>
      <c r="V361" s="4">
        <f t="shared" si="12"/>
        <v>-1</v>
      </c>
      <c r="W361" s="8">
        <f t="shared" si="13"/>
        <v>2.63</v>
      </c>
      <c r="X361" s="8">
        <f t="shared" si="14"/>
        <v>-2.63</v>
      </c>
      <c r="Y361" s="8">
        <f t="shared" si="15"/>
        <v>22.66</v>
      </c>
    </row>
    <row r="362">
      <c r="A362" s="2">
        <v>355.0</v>
      </c>
      <c r="B362" s="15">
        <f>IFERROR(__xludf.DUMMYFUNCTION("""COMPUTED_VALUE"""),42898.64583333333)</f>
        <v>42898.64583</v>
      </c>
      <c r="C362" s="8">
        <f>IFERROR(__xludf.DUMMYFUNCTION("""COMPUTED_VALUE"""),1647.5)</f>
        <v>1647.5</v>
      </c>
      <c r="E362" s="15">
        <f>IFERROR(__xludf.DUMMYFUNCTION("""COMPUTED_VALUE"""),42898.64583333333)</f>
        <v>42898.64583</v>
      </c>
      <c r="F362" s="8">
        <f>IFERROR(__xludf.DUMMYFUNCTION("""COMPUTED_VALUE"""),834.38)</f>
        <v>834.38</v>
      </c>
      <c r="H362" s="4">
        <f t="shared" si="1"/>
        <v>813.12</v>
      </c>
      <c r="I362" s="16">
        <f t="shared" si="2"/>
        <v>800.662</v>
      </c>
      <c r="J362" s="16">
        <f t="shared" si="3"/>
        <v>16.70903558</v>
      </c>
      <c r="K362" s="16">
        <f t="shared" si="4"/>
        <v>817.3710356</v>
      </c>
      <c r="L362" s="16">
        <f t="shared" si="5"/>
        <v>783.9529644</v>
      </c>
      <c r="N362" s="17" t="str">
        <f t="shared" si="6"/>
        <v>F</v>
      </c>
      <c r="O362" s="17" t="str">
        <f t="shared" si="7"/>
        <v>T</v>
      </c>
      <c r="P362" s="8">
        <f t="shared" si="8"/>
        <v>0</v>
      </c>
      <c r="R362" s="17" t="str">
        <f t="shared" si="9"/>
        <v>F</v>
      </c>
      <c r="S362" s="3" t="str">
        <f t="shared" si="10"/>
        <v>F</v>
      </c>
      <c r="T362" s="8">
        <f t="shared" si="11"/>
        <v>-1</v>
      </c>
      <c r="V362" s="4">
        <f t="shared" si="12"/>
        <v>-1</v>
      </c>
      <c r="W362" s="8">
        <f t="shared" si="13"/>
        <v>-0.68</v>
      </c>
      <c r="X362" s="8">
        <f t="shared" si="14"/>
        <v>0.68</v>
      </c>
      <c r="Y362" s="8">
        <f t="shared" si="15"/>
        <v>23.34</v>
      </c>
    </row>
    <row r="363">
      <c r="A363" s="2">
        <v>356.0</v>
      </c>
      <c r="B363" s="15">
        <f>IFERROR(__xludf.DUMMYFUNCTION("""COMPUTED_VALUE"""),42899.64583333333)</f>
        <v>42899.64583</v>
      </c>
      <c r="C363" s="8">
        <f>IFERROR(__xludf.DUMMYFUNCTION("""COMPUTED_VALUE"""),1667.65)</f>
        <v>1667.65</v>
      </c>
      <c r="E363" s="15">
        <f>IFERROR(__xludf.DUMMYFUNCTION("""COMPUTED_VALUE"""),42899.64583333333)</f>
        <v>42899.64583</v>
      </c>
      <c r="F363" s="8">
        <f>IFERROR(__xludf.DUMMYFUNCTION("""COMPUTED_VALUE"""),838.35)</f>
        <v>838.35</v>
      </c>
      <c r="H363" s="4">
        <f t="shared" si="1"/>
        <v>829.3</v>
      </c>
      <c r="I363" s="16">
        <f t="shared" si="2"/>
        <v>809.268</v>
      </c>
      <c r="J363" s="16">
        <f t="shared" si="3"/>
        <v>18.43540534</v>
      </c>
      <c r="K363" s="16">
        <f t="shared" si="4"/>
        <v>827.7034053</v>
      </c>
      <c r="L363" s="16">
        <f t="shared" si="5"/>
        <v>790.8325947</v>
      </c>
      <c r="N363" s="17" t="str">
        <f t="shared" si="6"/>
        <v>F</v>
      </c>
      <c r="O363" s="17" t="str">
        <f t="shared" si="7"/>
        <v>T</v>
      </c>
      <c r="P363" s="8">
        <f t="shared" si="8"/>
        <v>0</v>
      </c>
      <c r="R363" s="17" t="str">
        <f t="shared" si="9"/>
        <v>T</v>
      </c>
      <c r="S363" s="3" t="str">
        <f t="shared" si="10"/>
        <v>F</v>
      </c>
      <c r="T363" s="8">
        <f t="shared" si="11"/>
        <v>-1</v>
      </c>
      <c r="V363" s="4">
        <f t="shared" si="12"/>
        <v>-1</v>
      </c>
      <c r="W363" s="8">
        <f t="shared" si="13"/>
        <v>16.18</v>
      </c>
      <c r="X363" s="8">
        <f t="shared" si="14"/>
        <v>-16.18</v>
      </c>
      <c r="Y363" s="8">
        <f t="shared" si="15"/>
        <v>7.16</v>
      </c>
    </row>
    <row r="364">
      <c r="A364" s="2">
        <v>357.0</v>
      </c>
      <c r="B364" s="15">
        <f>IFERROR(__xludf.DUMMYFUNCTION("""COMPUTED_VALUE"""),42900.64583333333)</f>
        <v>42900.64583</v>
      </c>
      <c r="C364" s="8">
        <f>IFERROR(__xludf.DUMMYFUNCTION("""COMPUTED_VALUE"""),1651.1)</f>
        <v>1651.1</v>
      </c>
      <c r="E364" s="15">
        <f>IFERROR(__xludf.DUMMYFUNCTION("""COMPUTED_VALUE"""),42900.64583333333)</f>
        <v>42900.64583</v>
      </c>
      <c r="F364" s="8">
        <f>IFERROR(__xludf.DUMMYFUNCTION("""COMPUTED_VALUE"""),835.6)</f>
        <v>835.6</v>
      </c>
      <c r="H364" s="4">
        <f t="shared" si="1"/>
        <v>815.5</v>
      </c>
      <c r="I364" s="16">
        <f t="shared" si="2"/>
        <v>816.578</v>
      </c>
      <c r="J364" s="16">
        <f t="shared" si="3"/>
        <v>7.278957343</v>
      </c>
      <c r="K364" s="16">
        <f t="shared" si="4"/>
        <v>823.8569573</v>
      </c>
      <c r="L364" s="16">
        <f t="shared" si="5"/>
        <v>809.2990427</v>
      </c>
      <c r="N364" s="17" t="str">
        <f t="shared" si="6"/>
        <v>F</v>
      </c>
      <c r="O364" s="17" t="str">
        <f t="shared" si="7"/>
        <v>F</v>
      </c>
      <c r="P364" s="8">
        <f t="shared" si="8"/>
        <v>0</v>
      </c>
      <c r="R364" s="17" t="str">
        <f t="shared" si="9"/>
        <v>F</v>
      </c>
      <c r="S364" s="3" t="str">
        <f t="shared" si="10"/>
        <v>T</v>
      </c>
      <c r="T364" s="8">
        <f t="shared" si="11"/>
        <v>0</v>
      </c>
      <c r="V364" s="4">
        <f t="shared" si="12"/>
        <v>0</v>
      </c>
      <c r="W364" s="8">
        <f t="shared" si="13"/>
        <v>-13.8</v>
      </c>
      <c r="X364" s="8">
        <f t="shared" si="14"/>
        <v>13.8</v>
      </c>
      <c r="Y364" s="8">
        <f t="shared" si="15"/>
        <v>20.96</v>
      </c>
    </row>
    <row r="365">
      <c r="A365" s="2">
        <v>358.0</v>
      </c>
      <c r="B365" s="15">
        <f>IFERROR(__xludf.DUMMYFUNCTION("""COMPUTED_VALUE"""),42901.64583333333)</f>
        <v>42901.64583</v>
      </c>
      <c r="C365" s="8">
        <f>IFERROR(__xludf.DUMMYFUNCTION("""COMPUTED_VALUE"""),1636.85)</f>
        <v>1636.85</v>
      </c>
      <c r="E365" s="15">
        <f>IFERROR(__xludf.DUMMYFUNCTION("""COMPUTED_VALUE"""),42901.64583333333)</f>
        <v>42901.64583</v>
      </c>
      <c r="F365" s="8">
        <f>IFERROR(__xludf.DUMMYFUNCTION("""COMPUTED_VALUE"""),832.18)</f>
        <v>832.18</v>
      </c>
      <c r="H365" s="4">
        <f t="shared" si="1"/>
        <v>804.67</v>
      </c>
      <c r="I365" s="16">
        <f t="shared" si="2"/>
        <v>815.278</v>
      </c>
      <c r="J365" s="16">
        <f t="shared" si="3"/>
        <v>8.888713068</v>
      </c>
      <c r="K365" s="16">
        <f t="shared" si="4"/>
        <v>824.1667131</v>
      </c>
      <c r="L365" s="16">
        <f t="shared" si="5"/>
        <v>806.3892869</v>
      </c>
      <c r="N365" s="17" t="str">
        <f t="shared" si="6"/>
        <v>T</v>
      </c>
      <c r="O365" s="17" t="str">
        <f t="shared" si="7"/>
        <v>F</v>
      </c>
      <c r="P365" s="8">
        <f t="shared" si="8"/>
        <v>1</v>
      </c>
      <c r="R365" s="17" t="str">
        <f t="shared" si="9"/>
        <v>F</v>
      </c>
      <c r="S365" s="3" t="str">
        <f t="shared" si="10"/>
        <v>T</v>
      </c>
      <c r="T365" s="8">
        <f t="shared" si="11"/>
        <v>0</v>
      </c>
      <c r="V365" s="4">
        <f t="shared" si="12"/>
        <v>1</v>
      </c>
      <c r="W365" s="8">
        <f t="shared" si="13"/>
        <v>-10.83</v>
      </c>
      <c r="X365" s="8">
        <f t="shared" si="14"/>
        <v>0</v>
      </c>
      <c r="Y365" s="8">
        <f t="shared" si="15"/>
        <v>20.96</v>
      </c>
    </row>
    <row r="366">
      <c r="A366" s="2">
        <v>359.0</v>
      </c>
      <c r="B366" s="15">
        <f>IFERROR(__xludf.DUMMYFUNCTION("""COMPUTED_VALUE"""),42902.64583333333)</f>
        <v>42902.64583</v>
      </c>
      <c r="C366" s="8">
        <f>IFERROR(__xludf.DUMMYFUNCTION("""COMPUTED_VALUE"""),1640.85)</f>
        <v>1640.85</v>
      </c>
      <c r="E366" s="15">
        <f>IFERROR(__xludf.DUMMYFUNCTION("""COMPUTED_VALUE"""),42902.64583333333)</f>
        <v>42902.64583</v>
      </c>
      <c r="F366" s="8">
        <f>IFERROR(__xludf.DUMMYFUNCTION("""COMPUTED_VALUE"""),834.63)</f>
        <v>834.63</v>
      </c>
      <c r="H366" s="4">
        <f t="shared" si="1"/>
        <v>806.22</v>
      </c>
      <c r="I366" s="16">
        <f t="shared" si="2"/>
        <v>813.762</v>
      </c>
      <c r="J366" s="16">
        <f t="shared" si="3"/>
        <v>9.803168875</v>
      </c>
      <c r="K366" s="16">
        <f t="shared" si="4"/>
        <v>823.5651689</v>
      </c>
      <c r="L366" s="16">
        <f t="shared" si="5"/>
        <v>803.9588311</v>
      </c>
      <c r="N366" s="17" t="str">
        <f t="shared" si="6"/>
        <v>F</v>
      </c>
      <c r="O366" s="17" t="str">
        <f t="shared" si="7"/>
        <v>F</v>
      </c>
      <c r="P366" s="8">
        <f t="shared" si="8"/>
        <v>1</v>
      </c>
      <c r="R366" s="17" t="str">
        <f t="shared" si="9"/>
        <v>F</v>
      </c>
      <c r="S366" s="3" t="str">
        <f t="shared" si="10"/>
        <v>T</v>
      </c>
      <c r="T366" s="8">
        <f t="shared" si="11"/>
        <v>0</v>
      </c>
      <c r="V366" s="4">
        <f t="shared" si="12"/>
        <v>1</v>
      </c>
      <c r="W366" s="8">
        <f t="shared" si="13"/>
        <v>1.55</v>
      </c>
      <c r="X366" s="8">
        <f t="shared" si="14"/>
        <v>1.55</v>
      </c>
      <c r="Y366" s="8">
        <f t="shared" si="15"/>
        <v>22.51</v>
      </c>
    </row>
    <row r="367">
      <c r="A367" s="2">
        <v>360.0</v>
      </c>
      <c r="B367" s="15">
        <f>IFERROR(__xludf.DUMMYFUNCTION("""COMPUTED_VALUE"""),42905.64583333333)</f>
        <v>42905.64583</v>
      </c>
      <c r="C367" s="8">
        <f>IFERROR(__xludf.DUMMYFUNCTION("""COMPUTED_VALUE"""),1654.2)</f>
        <v>1654.2</v>
      </c>
      <c r="E367" s="15">
        <f>IFERROR(__xludf.DUMMYFUNCTION("""COMPUTED_VALUE"""),42905.64583333333)</f>
        <v>42905.64583</v>
      </c>
      <c r="F367" s="8">
        <f>IFERROR(__xludf.DUMMYFUNCTION("""COMPUTED_VALUE"""),846.45)</f>
        <v>846.45</v>
      </c>
      <c r="H367" s="4">
        <f t="shared" si="1"/>
        <v>807.75</v>
      </c>
      <c r="I367" s="16">
        <f t="shared" si="2"/>
        <v>812.688</v>
      </c>
      <c r="J367" s="16">
        <f t="shared" si="3"/>
        <v>10.17807791</v>
      </c>
      <c r="K367" s="16">
        <f t="shared" si="4"/>
        <v>822.8660779</v>
      </c>
      <c r="L367" s="16">
        <f t="shared" si="5"/>
        <v>802.5099221</v>
      </c>
      <c r="N367" s="17" t="str">
        <f t="shared" si="6"/>
        <v>F</v>
      </c>
      <c r="O367" s="17" t="str">
        <f t="shared" si="7"/>
        <v>F</v>
      </c>
      <c r="P367" s="8">
        <f t="shared" si="8"/>
        <v>1</v>
      </c>
      <c r="R367" s="17" t="str">
        <f t="shared" si="9"/>
        <v>F</v>
      </c>
      <c r="S367" s="3" t="str">
        <f t="shared" si="10"/>
        <v>T</v>
      </c>
      <c r="T367" s="8">
        <f t="shared" si="11"/>
        <v>0</v>
      </c>
      <c r="V367" s="4">
        <f t="shared" si="12"/>
        <v>1</v>
      </c>
      <c r="W367" s="8">
        <f t="shared" si="13"/>
        <v>1.53</v>
      </c>
      <c r="X367" s="8">
        <f t="shared" si="14"/>
        <v>1.53</v>
      </c>
      <c r="Y367" s="8">
        <f t="shared" si="15"/>
        <v>24.04</v>
      </c>
    </row>
    <row r="368">
      <c r="A368" s="2">
        <v>361.0</v>
      </c>
      <c r="B368" s="15">
        <f>IFERROR(__xludf.DUMMYFUNCTION("""COMPUTED_VALUE"""),42906.64583333333)</f>
        <v>42906.64583</v>
      </c>
      <c r="C368" s="8">
        <f>IFERROR(__xludf.DUMMYFUNCTION("""COMPUTED_VALUE"""),1631.5)</f>
        <v>1631.5</v>
      </c>
      <c r="E368" s="15">
        <f>IFERROR(__xludf.DUMMYFUNCTION("""COMPUTED_VALUE"""),42906.64583333333)</f>
        <v>42906.64583</v>
      </c>
      <c r="F368" s="8">
        <f>IFERROR(__xludf.DUMMYFUNCTION("""COMPUTED_VALUE"""),843.28)</f>
        <v>843.28</v>
      </c>
      <c r="H368" s="4">
        <f t="shared" si="1"/>
        <v>788.22</v>
      </c>
      <c r="I368" s="16">
        <f t="shared" si="2"/>
        <v>804.472</v>
      </c>
      <c r="J368" s="16">
        <f t="shared" si="3"/>
        <v>9.994802149</v>
      </c>
      <c r="K368" s="16">
        <f t="shared" si="4"/>
        <v>814.4668021</v>
      </c>
      <c r="L368" s="16">
        <f t="shared" si="5"/>
        <v>794.4771979</v>
      </c>
      <c r="N368" s="17" t="str">
        <f t="shared" si="6"/>
        <v>T</v>
      </c>
      <c r="O368" s="17" t="str">
        <f t="shared" si="7"/>
        <v>F</v>
      </c>
      <c r="P368" s="8">
        <f t="shared" si="8"/>
        <v>1</v>
      </c>
      <c r="R368" s="17" t="str">
        <f t="shared" si="9"/>
        <v>F</v>
      </c>
      <c r="S368" s="3" t="str">
        <f t="shared" si="10"/>
        <v>T</v>
      </c>
      <c r="T368" s="8">
        <f t="shared" si="11"/>
        <v>0</v>
      </c>
      <c r="V368" s="4">
        <f t="shared" si="12"/>
        <v>1</v>
      </c>
      <c r="W368" s="8">
        <f t="shared" si="13"/>
        <v>-19.53</v>
      </c>
      <c r="X368" s="8">
        <f t="shared" si="14"/>
        <v>-19.53</v>
      </c>
      <c r="Y368" s="8">
        <f t="shared" si="15"/>
        <v>4.51</v>
      </c>
    </row>
    <row r="369">
      <c r="A369" s="2">
        <v>362.0</v>
      </c>
      <c r="B369" s="15">
        <f>IFERROR(__xludf.DUMMYFUNCTION("""COMPUTED_VALUE"""),42907.64583333333)</f>
        <v>42907.64583</v>
      </c>
      <c r="C369" s="8">
        <f>IFERROR(__xludf.DUMMYFUNCTION("""COMPUTED_VALUE"""),1628.25)</f>
        <v>1628.25</v>
      </c>
      <c r="E369" s="15">
        <f>IFERROR(__xludf.DUMMYFUNCTION("""COMPUTED_VALUE"""),42907.64583333333)</f>
        <v>42907.64583</v>
      </c>
      <c r="F369" s="8">
        <f>IFERROR(__xludf.DUMMYFUNCTION("""COMPUTED_VALUE"""),849.35)</f>
        <v>849.35</v>
      </c>
      <c r="H369" s="4">
        <f t="shared" si="1"/>
        <v>778.9</v>
      </c>
      <c r="I369" s="16">
        <f t="shared" si="2"/>
        <v>797.152</v>
      </c>
      <c r="J369" s="16">
        <f t="shared" si="3"/>
        <v>12.88393069</v>
      </c>
      <c r="K369" s="16">
        <f t="shared" si="4"/>
        <v>810.0359307</v>
      </c>
      <c r="L369" s="16">
        <f t="shared" si="5"/>
        <v>784.2680693</v>
      </c>
      <c r="N369" s="17" t="str">
        <f t="shared" si="6"/>
        <v>T</v>
      </c>
      <c r="O369" s="17" t="str">
        <f t="shared" si="7"/>
        <v>F</v>
      </c>
      <c r="P369" s="8">
        <f t="shared" si="8"/>
        <v>1</v>
      </c>
      <c r="R369" s="17" t="str">
        <f t="shared" si="9"/>
        <v>F</v>
      </c>
      <c r="S369" s="3" t="str">
        <f t="shared" si="10"/>
        <v>T</v>
      </c>
      <c r="T369" s="8">
        <f t="shared" si="11"/>
        <v>0</v>
      </c>
      <c r="V369" s="4">
        <f t="shared" si="12"/>
        <v>1</v>
      </c>
      <c r="W369" s="8">
        <f t="shared" si="13"/>
        <v>-9.32</v>
      </c>
      <c r="X369" s="8">
        <f t="shared" si="14"/>
        <v>-9.32</v>
      </c>
      <c r="Y369" s="8">
        <f t="shared" si="15"/>
        <v>-4.81</v>
      </c>
    </row>
    <row r="370">
      <c r="A370" s="2">
        <v>363.0</v>
      </c>
      <c r="B370" s="15">
        <f>IFERROR(__xludf.DUMMYFUNCTION("""COMPUTED_VALUE"""),42908.64583333333)</f>
        <v>42908.64583</v>
      </c>
      <c r="C370" s="8">
        <f>IFERROR(__xludf.DUMMYFUNCTION("""COMPUTED_VALUE"""),1653.8)</f>
        <v>1653.8</v>
      </c>
      <c r="E370" s="15">
        <f>IFERROR(__xludf.DUMMYFUNCTION("""COMPUTED_VALUE"""),42908.64583333333)</f>
        <v>42908.64583</v>
      </c>
      <c r="F370" s="8">
        <f>IFERROR(__xludf.DUMMYFUNCTION("""COMPUTED_VALUE"""),849.0)</f>
        <v>849</v>
      </c>
      <c r="H370" s="4">
        <f t="shared" si="1"/>
        <v>804.8</v>
      </c>
      <c r="I370" s="16">
        <f t="shared" si="2"/>
        <v>797.178</v>
      </c>
      <c r="J370" s="16">
        <f t="shared" si="3"/>
        <v>12.90301205</v>
      </c>
      <c r="K370" s="16">
        <f t="shared" si="4"/>
        <v>810.0810121</v>
      </c>
      <c r="L370" s="16">
        <f t="shared" si="5"/>
        <v>784.2749879</v>
      </c>
      <c r="N370" s="17" t="str">
        <f t="shared" si="6"/>
        <v>F</v>
      </c>
      <c r="O370" s="17" t="str">
        <f t="shared" si="7"/>
        <v>T</v>
      </c>
      <c r="P370" s="8">
        <f t="shared" si="8"/>
        <v>0</v>
      </c>
      <c r="R370" s="17" t="str">
        <f t="shared" si="9"/>
        <v>F</v>
      </c>
      <c r="S370" s="3" t="str">
        <f t="shared" si="10"/>
        <v>F</v>
      </c>
      <c r="T370" s="8">
        <f t="shared" si="11"/>
        <v>0</v>
      </c>
      <c r="V370" s="4">
        <f t="shared" si="12"/>
        <v>0</v>
      </c>
      <c r="W370" s="8">
        <f t="shared" si="13"/>
        <v>25.9</v>
      </c>
      <c r="X370" s="8">
        <f t="shared" si="14"/>
        <v>25.9</v>
      </c>
      <c r="Y370" s="8">
        <f t="shared" si="15"/>
        <v>21.09</v>
      </c>
    </row>
    <row r="371">
      <c r="A371" s="2">
        <v>364.0</v>
      </c>
      <c r="B371" s="15">
        <f>IFERROR(__xludf.DUMMYFUNCTION("""COMPUTED_VALUE"""),42909.64583333333)</f>
        <v>42909.64583</v>
      </c>
      <c r="C371" s="8">
        <f>IFERROR(__xludf.DUMMYFUNCTION("""COMPUTED_VALUE"""),1651.35)</f>
        <v>1651.35</v>
      </c>
      <c r="E371" s="15">
        <f>IFERROR(__xludf.DUMMYFUNCTION("""COMPUTED_VALUE"""),42909.64583333333)</f>
        <v>42909.64583</v>
      </c>
      <c r="F371" s="8">
        <f>IFERROR(__xludf.DUMMYFUNCTION("""COMPUTED_VALUE"""),839.33)</f>
        <v>839.33</v>
      </c>
      <c r="H371" s="4">
        <f t="shared" si="1"/>
        <v>812.02</v>
      </c>
      <c r="I371" s="16">
        <f t="shared" si="2"/>
        <v>798.338</v>
      </c>
      <c r="J371" s="16">
        <f t="shared" si="3"/>
        <v>14.12223495</v>
      </c>
      <c r="K371" s="16">
        <f t="shared" si="4"/>
        <v>812.460235</v>
      </c>
      <c r="L371" s="16">
        <f t="shared" si="5"/>
        <v>784.215765</v>
      </c>
      <c r="N371" s="17" t="str">
        <f t="shared" si="6"/>
        <v>F</v>
      </c>
      <c r="O371" s="17" t="str">
        <f t="shared" si="7"/>
        <v>T</v>
      </c>
      <c r="P371" s="8">
        <f t="shared" si="8"/>
        <v>0</v>
      </c>
      <c r="R371" s="17" t="str">
        <f t="shared" si="9"/>
        <v>F</v>
      </c>
      <c r="S371" s="3" t="str">
        <f t="shared" si="10"/>
        <v>F</v>
      </c>
      <c r="T371" s="8">
        <f t="shared" si="11"/>
        <v>0</v>
      </c>
      <c r="V371" s="4">
        <f t="shared" si="12"/>
        <v>0</v>
      </c>
      <c r="W371" s="8">
        <f t="shared" si="13"/>
        <v>7.22</v>
      </c>
      <c r="X371" s="8">
        <f t="shared" si="14"/>
        <v>0</v>
      </c>
      <c r="Y371" s="8">
        <f t="shared" si="15"/>
        <v>21.09</v>
      </c>
    </row>
    <row r="372">
      <c r="A372" s="2">
        <v>365.0</v>
      </c>
      <c r="B372" s="15">
        <f>IFERROR(__xludf.DUMMYFUNCTION("""COMPUTED_VALUE"""),42913.64583333333)</f>
        <v>42913.64583</v>
      </c>
      <c r="C372" s="8">
        <f>IFERROR(__xludf.DUMMYFUNCTION("""COMPUTED_VALUE"""),1651.05)</f>
        <v>1651.05</v>
      </c>
      <c r="E372" s="15">
        <f>IFERROR(__xludf.DUMMYFUNCTION("""COMPUTED_VALUE"""),42913.64583333333)</f>
        <v>42913.64583</v>
      </c>
      <c r="F372" s="8">
        <f>IFERROR(__xludf.DUMMYFUNCTION("""COMPUTED_VALUE"""),833.83)</f>
        <v>833.83</v>
      </c>
      <c r="H372" s="4">
        <f t="shared" si="1"/>
        <v>817.22</v>
      </c>
      <c r="I372" s="16">
        <f t="shared" si="2"/>
        <v>800.232</v>
      </c>
      <c r="J372" s="16">
        <f t="shared" si="3"/>
        <v>16.18454571</v>
      </c>
      <c r="K372" s="16">
        <f t="shared" si="4"/>
        <v>816.4165457</v>
      </c>
      <c r="L372" s="16">
        <f t="shared" si="5"/>
        <v>784.0474543</v>
      </c>
      <c r="N372" s="17" t="str">
        <f t="shared" si="6"/>
        <v>F</v>
      </c>
      <c r="O372" s="17" t="str">
        <f t="shared" si="7"/>
        <v>T</v>
      </c>
      <c r="P372" s="8">
        <f t="shared" si="8"/>
        <v>0</v>
      </c>
      <c r="R372" s="17" t="str">
        <f t="shared" si="9"/>
        <v>T</v>
      </c>
      <c r="S372" s="3" t="str">
        <f t="shared" si="10"/>
        <v>F</v>
      </c>
      <c r="T372" s="8">
        <f t="shared" si="11"/>
        <v>-1</v>
      </c>
      <c r="V372" s="4">
        <f t="shared" si="12"/>
        <v>-1</v>
      </c>
      <c r="W372" s="8">
        <f t="shared" si="13"/>
        <v>5.2</v>
      </c>
      <c r="X372" s="8">
        <f t="shared" si="14"/>
        <v>0</v>
      </c>
      <c r="Y372" s="8">
        <f t="shared" si="15"/>
        <v>21.09</v>
      </c>
    </row>
    <row r="373">
      <c r="A373" s="2">
        <v>366.0</v>
      </c>
      <c r="B373" s="15">
        <f>IFERROR(__xludf.DUMMYFUNCTION("""COMPUTED_VALUE"""),42914.64583333333)</f>
        <v>42914.64583</v>
      </c>
      <c r="C373" s="8">
        <f>IFERROR(__xludf.DUMMYFUNCTION("""COMPUTED_VALUE"""),1629.0)</f>
        <v>1629</v>
      </c>
      <c r="E373" s="15">
        <f>IFERROR(__xludf.DUMMYFUNCTION("""COMPUTED_VALUE"""),42914.64583333333)</f>
        <v>42914.64583</v>
      </c>
      <c r="F373" s="8">
        <f>IFERROR(__xludf.DUMMYFUNCTION("""COMPUTED_VALUE"""),833.23)</f>
        <v>833.23</v>
      </c>
      <c r="H373" s="4">
        <f t="shared" si="1"/>
        <v>795.77</v>
      </c>
      <c r="I373" s="16">
        <f t="shared" si="2"/>
        <v>801.742</v>
      </c>
      <c r="J373" s="16">
        <f t="shared" si="3"/>
        <v>15.09949403</v>
      </c>
      <c r="K373" s="16">
        <f t="shared" si="4"/>
        <v>816.841494</v>
      </c>
      <c r="L373" s="16">
        <f t="shared" si="5"/>
        <v>786.642506</v>
      </c>
      <c r="N373" s="17" t="str">
        <f t="shared" si="6"/>
        <v>F</v>
      </c>
      <c r="O373" s="17" t="str">
        <f t="shared" si="7"/>
        <v>F</v>
      </c>
      <c r="P373" s="8">
        <f t="shared" si="8"/>
        <v>0</v>
      </c>
      <c r="R373" s="17" t="str">
        <f t="shared" si="9"/>
        <v>F</v>
      </c>
      <c r="S373" s="3" t="str">
        <f t="shared" si="10"/>
        <v>T</v>
      </c>
      <c r="T373" s="8">
        <f t="shared" si="11"/>
        <v>0</v>
      </c>
      <c r="V373" s="4">
        <f t="shared" si="12"/>
        <v>0</v>
      </c>
      <c r="W373" s="8">
        <f t="shared" si="13"/>
        <v>-21.45</v>
      </c>
      <c r="X373" s="8">
        <f t="shared" si="14"/>
        <v>21.45</v>
      </c>
      <c r="Y373" s="8">
        <f t="shared" si="15"/>
        <v>42.54</v>
      </c>
    </row>
    <row r="374">
      <c r="A374" s="2">
        <v>367.0</v>
      </c>
      <c r="B374" s="15">
        <f>IFERROR(__xludf.DUMMYFUNCTION("""COMPUTED_VALUE"""),42915.64583333333)</f>
        <v>42915.64583</v>
      </c>
      <c r="C374" s="8">
        <f>IFERROR(__xludf.DUMMYFUNCTION("""COMPUTED_VALUE"""),1632.2)</f>
        <v>1632.2</v>
      </c>
      <c r="E374" s="15">
        <f>IFERROR(__xludf.DUMMYFUNCTION("""COMPUTED_VALUE"""),42915.64583333333)</f>
        <v>42915.64583</v>
      </c>
      <c r="F374" s="8">
        <f>IFERROR(__xludf.DUMMYFUNCTION("""COMPUTED_VALUE"""),831.53)</f>
        <v>831.53</v>
      </c>
      <c r="H374" s="4">
        <f t="shared" si="1"/>
        <v>800.67</v>
      </c>
      <c r="I374" s="16">
        <f t="shared" si="2"/>
        <v>806.096</v>
      </c>
      <c r="J374" s="16">
        <f t="shared" si="3"/>
        <v>8.610814712</v>
      </c>
      <c r="K374" s="16">
        <f t="shared" si="4"/>
        <v>814.7068147</v>
      </c>
      <c r="L374" s="16">
        <f t="shared" si="5"/>
        <v>797.4851853</v>
      </c>
      <c r="N374" s="17" t="str">
        <f t="shared" si="6"/>
        <v>F</v>
      </c>
      <c r="O374" s="17" t="str">
        <f t="shared" si="7"/>
        <v>F</v>
      </c>
      <c r="P374" s="8">
        <f t="shared" si="8"/>
        <v>0</v>
      </c>
      <c r="R374" s="17" t="str">
        <f t="shared" si="9"/>
        <v>F</v>
      </c>
      <c r="S374" s="3" t="str">
        <f t="shared" si="10"/>
        <v>T</v>
      </c>
      <c r="T374" s="8">
        <f t="shared" si="11"/>
        <v>0</v>
      </c>
      <c r="V374" s="4">
        <f t="shared" si="12"/>
        <v>0</v>
      </c>
      <c r="W374" s="8">
        <f t="shared" si="13"/>
        <v>4.9</v>
      </c>
      <c r="X374" s="8">
        <f t="shared" si="14"/>
        <v>0</v>
      </c>
      <c r="Y374" s="8">
        <f t="shared" si="15"/>
        <v>42.54</v>
      </c>
    </row>
    <row r="375">
      <c r="A375" s="2">
        <v>368.0</v>
      </c>
      <c r="B375" s="15">
        <f>IFERROR(__xludf.DUMMYFUNCTION("""COMPUTED_VALUE"""),42916.64583333333)</f>
        <v>42916.64583</v>
      </c>
      <c r="C375" s="8">
        <f>IFERROR(__xludf.DUMMYFUNCTION("""COMPUTED_VALUE"""),1614.95)</f>
        <v>1614.95</v>
      </c>
      <c r="E375" s="15">
        <f>IFERROR(__xludf.DUMMYFUNCTION("""COMPUTED_VALUE"""),42916.64583333333)</f>
        <v>42916.64583</v>
      </c>
      <c r="F375" s="8">
        <f>IFERROR(__xludf.DUMMYFUNCTION("""COMPUTED_VALUE"""),826.03)</f>
        <v>826.03</v>
      </c>
      <c r="H375" s="4">
        <f t="shared" si="1"/>
        <v>788.92</v>
      </c>
      <c r="I375" s="16">
        <f t="shared" si="2"/>
        <v>802.92</v>
      </c>
      <c r="J375" s="16">
        <f t="shared" si="3"/>
        <v>11.6134082</v>
      </c>
      <c r="K375" s="16">
        <f t="shared" si="4"/>
        <v>814.5334082</v>
      </c>
      <c r="L375" s="16">
        <f t="shared" si="5"/>
        <v>791.3065918</v>
      </c>
      <c r="N375" s="17" t="str">
        <f t="shared" si="6"/>
        <v>T</v>
      </c>
      <c r="O375" s="17" t="str">
        <f t="shared" si="7"/>
        <v>F</v>
      </c>
      <c r="P375" s="8">
        <f t="shared" si="8"/>
        <v>1</v>
      </c>
      <c r="R375" s="17" t="str">
        <f t="shared" si="9"/>
        <v>F</v>
      </c>
      <c r="S375" s="3" t="str">
        <f t="shared" si="10"/>
        <v>T</v>
      </c>
      <c r="T375" s="8">
        <f t="shared" si="11"/>
        <v>0</v>
      </c>
      <c r="V375" s="4">
        <f t="shared" si="12"/>
        <v>1</v>
      </c>
      <c r="W375" s="8">
        <f t="shared" si="13"/>
        <v>-11.75</v>
      </c>
      <c r="X375" s="8">
        <f t="shared" si="14"/>
        <v>0</v>
      </c>
      <c r="Y375" s="8">
        <f t="shared" si="15"/>
        <v>42.54</v>
      </c>
    </row>
    <row r="376">
      <c r="A376" s="2">
        <v>369.0</v>
      </c>
      <c r="B376" s="15">
        <f>IFERROR(__xludf.DUMMYFUNCTION("""COMPUTED_VALUE"""),42919.64583333333)</f>
        <v>42919.64583</v>
      </c>
      <c r="C376" s="8">
        <f>IFERROR(__xludf.DUMMYFUNCTION("""COMPUTED_VALUE"""),1621.65)</f>
        <v>1621.65</v>
      </c>
      <c r="E376" s="15">
        <f>IFERROR(__xludf.DUMMYFUNCTION("""COMPUTED_VALUE"""),42919.64583333333)</f>
        <v>42919.64583</v>
      </c>
      <c r="F376" s="8">
        <f>IFERROR(__xludf.DUMMYFUNCTION("""COMPUTED_VALUE"""),829.3)</f>
        <v>829.3</v>
      </c>
      <c r="H376" s="4">
        <f t="shared" si="1"/>
        <v>792.35</v>
      </c>
      <c r="I376" s="16">
        <f t="shared" si="2"/>
        <v>798.986</v>
      </c>
      <c r="J376" s="16">
        <f t="shared" si="3"/>
        <v>11.07946434</v>
      </c>
      <c r="K376" s="16">
        <f t="shared" si="4"/>
        <v>810.0654643</v>
      </c>
      <c r="L376" s="16">
        <f t="shared" si="5"/>
        <v>787.9065357</v>
      </c>
      <c r="N376" s="17" t="str">
        <f t="shared" si="6"/>
        <v>F</v>
      </c>
      <c r="O376" s="17" t="str">
        <f t="shared" si="7"/>
        <v>F</v>
      </c>
      <c r="P376" s="8">
        <f t="shared" si="8"/>
        <v>1</v>
      </c>
      <c r="R376" s="17" t="str">
        <f t="shared" si="9"/>
        <v>F</v>
      </c>
      <c r="S376" s="3" t="str">
        <f t="shared" si="10"/>
        <v>T</v>
      </c>
      <c r="T376" s="8">
        <f t="shared" si="11"/>
        <v>0</v>
      </c>
      <c r="V376" s="4">
        <f t="shared" si="12"/>
        <v>1</v>
      </c>
      <c r="W376" s="8">
        <f t="shared" si="13"/>
        <v>3.43</v>
      </c>
      <c r="X376" s="8">
        <f t="shared" si="14"/>
        <v>3.43</v>
      </c>
      <c r="Y376" s="8">
        <f t="shared" si="15"/>
        <v>45.97</v>
      </c>
    </row>
    <row r="377">
      <c r="A377" s="2">
        <v>370.0</v>
      </c>
      <c r="B377" s="15">
        <f>IFERROR(__xludf.DUMMYFUNCTION("""COMPUTED_VALUE"""),42920.64583333333)</f>
        <v>42920.64583</v>
      </c>
      <c r="C377" s="8">
        <f>IFERROR(__xludf.DUMMYFUNCTION("""COMPUTED_VALUE"""),1640.65)</f>
        <v>1640.65</v>
      </c>
      <c r="E377" s="15">
        <f>IFERROR(__xludf.DUMMYFUNCTION("""COMPUTED_VALUE"""),42920.64583333333)</f>
        <v>42920.64583</v>
      </c>
      <c r="F377" s="8">
        <f>IFERROR(__xludf.DUMMYFUNCTION("""COMPUTED_VALUE"""),826.68)</f>
        <v>826.68</v>
      </c>
      <c r="H377" s="4">
        <f t="shared" si="1"/>
        <v>813.97</v>
      </c>
      <c r="I377" s="16">
        <f t="shared" si="2"/>
        <v>798.336</v>
      </c>
      <c r="J377" s="16">
        <f t="shared" si="3"/>
        <v>9.758933343</v>
      </c>
      <c r="K377" s="16">
        <f t="shared" si="4"/>
        <v>808.0949333</v>
      </c>
      <c r="L377" s="16">
        <f t="shared" si="5"/>
        <v>788.5770667</v>
      </c>
      <c r="N377" s="17" t="str">
        <f t="shared" si="6"/>
        <v>F</v>
      </c>
      <c r="O377" s="17" t="str">
        <f t="shared" si="7"/>
        <v>T</v>
      </c>
      <c r="P377" s="8">
        <f t="shared" si="8"/>
        <v>0</v>
      </c>
      <c r="R377" s="17" t="str">
        <f t="shared" si="9"/>
        <v>T</v>
      </c>
      <c r="S377" s="3" t="str">
        <f t="shared" si="10"/>
        <v>F</v>
      </c>
      <c r="T377" s="8">
        <f t="shared" si="11"/>
        <v>-1</v>
      </c>
      <c r="V377" s="4">
        <f t="shared" si="12"/>
        <v>-1</v>
      </c>
      <c r="W377" s="8">
        <f t="shared" si="13"/>
        <v>21.62</v>
      </c>
      <c r="X377" s="8">
        <f t="shared" si="14"/>
        <v>21.62</v>
      </c>
      <c r="Y377" s="8">
        <f t="shared" si="15"/>
        <v>67.59</v>
      </c>
    </row>
    <row r="378">
      <c r="A378" s="2">
        <v>371.0</v>
      </c>
      <c r="B378" s="15">
        <f>IFERROR(__xludf.DUMMYFUNCTION("""COMPUTED_VALUE"""),42921.64583333333)</f>
        <v>42921.64583</v>
      </c>
      <c r="C378" s="8">
        <f>IFERROR(__xludf.DUMMYFUNCTION("""COMPUTED_VALUE"""),1629.1)</f>
        <v>1629.1</v>
      </c>
      <c r="E378" s="15">
        <f>IFERROR(__xludf.DUMMYFUNCTION("""COMPUTED_VALUE"""),42921.64583333333)</f>
        <v>42921.64583</v>
      </c>
      <c r="F378" s="8">
        <f>IFERROR(__xludf.DUMMYFUNCTION("""COMPUTED_VALUE"""),824.38)</f>
        <v>824.38</v>
      </c>
      <c r="H378" s="4">
        <f t="shared" si="1"/>
        <v>804.72</v>
      </c>
      <c r="I378" s="16">
        <f t="shared" si="2"/>
        <v>800.126</v>
      </c>
      <c r="J378" s="16">
        <f t="shared" si="3"/>
        <v>9.988715133</v>
      </c>
      <c r="K378" s="16">
        <f t="shared" si="4"/>
        <v>810.1147151</v>
      </c>
      <c r="L378" s="16">
        <f t="shared" si="5"/>
        <v>790.1372849</v>
      </c>
      <c r="N378" s="17" t="str">
        <f t="shared" si="6"/>
        <v>F</v>
      </c>
      <c r="O378" s="17" t="str">
        <f t="shared" si="7"/>
        <v>T</v>
      </c>
      <c r="P378" s="8">
        <f t="shared" si="8"/>
        <v>0</v>
      </c>
      <c r="R378" s="17" t="str">
        <f t="shared" si="9"/>
        <v>F</v>
      </c>
      <c r="S378" s="3" t="str">
        <f t="shared" si="10"/>
        <v>F</v>
      </c>
      <c r="T378" s="8">
        <f t="shared" si="11"/>
        <v>-1</v>
      </c>
      <c r="V378" s="4">
        <f t="shared" si="12"/>
        <v>-1</v>
      </c>
      <c r="W378" s="8">
        <f t="shared" si="13"/>
        <v>-9.25</v>
      </c>
      <c r="X378" s="8">
        <f t="shared" si="14"/>
        <v>9.25</v>
      </c>
      <c r="Y378" s="8">
        <f t="shared" si="15"/>
        <v>76.84</v>
      </c>
    </row>
    <row r="379">
      <c r="A379" s="2">
        <v>372.0</v>
      </c>
      <c r="B379" s="15">
        <f>IFERROR(__xludf.DUMMYFUNCTION("""COMPUTED_VALUE"""),42922.64583333333)</f>
        <v>42922.64583</v>
      </c>
      <c r="C379" s="8">
        <f>IFERROR(__xludf.DUMMYFUNCTION("""COMPUTED_VALUE"""),1647.9)</f>
        <v>1647.9</v>
      </c>
      <c r="E379" s="15">
        <f>IFERROR(__xludf.DUMMYFUNCTION("""COMPUTED_VALUE"""),42922.64583333333)</f>
        <v>42922.64583</v>
      </c>
      <c r="F379" s="8">
        <f>IFERROR(__xludf.DUMMYFUNCTION("""COMPUTED_VALUE"""),829.08)</f>
        <v>829.08</v>
      </c>
      <c r="H379" s="4">
        <f t="shared" si="1"/>
        <v>818.82</v>
      </c>
      <c r="I379" s="16">
        <f t="shared" si="2"/>
        <v>803.756</v>
      </c>
      <c r="J379" s="16">
        <f t="shared" si="3"/>
        <v>13.06123003</v>
      </c>
      <c r="K379" s="16">
        <f t="shared" si="4"/>
        <v>816.81723</v>
      </c>
      <c r="L379" s="16">
        <f t="shared" si="5"/>
        <v>790.69477</v>
      </c>
      <c r="N379" s="17" t="str">
        <f t="shared" si="6"/>
        <v>F</v>
      </c>
      <c r="O379" s="17" t="str">
        <f t="shared" si="7"/>
        <v>T</v>
      </c>
      <c r="P379" s="8">
        <f t="shared" si="8"/>
        <v>0</v>
      </c>
      <c r="R379" s="17" t="str">
        <f t="shared" si="9"/>
        <v>T</v>
      </c>
      <c r="S379" s="3" t="str">
        <f t="shared" si="10"/>
        <v>F</v>
      </c>
      <c r="T379" s="8">
        <f t="shared" si="11"/>
        <v>-1</v>
      </c>
      <c r="V379" s="4">
        <f t="shared" si="12"/>
        <v>-1</v>
      </c>
      <c r="W379" s="8">
        <f t="shared" si="13"/>
        <v>14.1</v>
      </c>
      <c r="X379" s="8">
        <f t="shared" si="14"/>
        <v>-14.1</v>
      </c>
      <c r="Y379" s="8">
        <f t="shared" si="15"/>
        <v>62.74</v>
      </c>
    </row>
    <row r="380">
      <c r="A380" s="2">
        <v>373.0</v>
      </c>
      <c r="B380" s="15">
        <f>IFERROR(__xludf.DUMMYFUNCTION("""COMPUTED_VALUE"""),42923.64583333333)</f>
        <v>42923.64583</v>
      </c>
      <c r="C380" s="8">
        <f>IFERROR(__xludf.DUMMYFUNCTION("""COMPUTED_VALUE"""),1629.15)</f>
        <v>1629.15</v>
      </c>
      <c r="E380" s="15">
        <f>IFERROR(__xludf.DUMMYFUNCTION("""COMPUTED_VALUE"""),42923.64583333333)</f>
        <v>42923.64583</v>
      </c>
      <c r="F380" s="8">
        <f>IFERROR(__xludf.DUMMYFUNCTION("""COMPUTED_VALUE"""),833.6)</f>
        <v>833.6</v>
      </c>
      <c r="H380" s="4">
        <f t="shared" si="1"/>
        <v>795.55</v>
      </c>
      <c r="I380" s="16">
        <f t="shared" si="2"/>
        <v>805.082</v>
      </c>
      <c r="J380" s="16">
        <f t="shared" si="3"/>
        <v>11.41077429</v>
      </c>
      <c r="K380" s="16">
        <f t="shared" si="4"/>
        <v>816.4927743</v>
      </c>
      <c r="L380" s="16">
        <f t="shared" si="5"/>
        <v>793.6712257</v>
      </c>
      <c r="N380" s="17" t="str">
        <f t="shared" si="6"/>
        <v>F</v>
      </c>
      <c r="O380" s="17" t="str">
        <f t="shared" si="7"/>
        <v>F</v>
      </c>
      <c r="P380" s="8">
        <f t="shared" si="8"/>
        <v>0</v>
      </c>
      <c r="R380" s="17" t="str">
        <f t="shared" si="9"/>
        <v>F</v>
      </c>
      <c r="S380" s="3" t="str">
        <f t="shared" si="10"/>
        <v>T</v>
      </c>
      <c r="T380" s="8">
        <f t="shared" si="11"/>
        <v>0</v>
      </c>
      <c r="V380" s="4">
        <f t="shared" si="12"/>
        <v>0</v>
      </c>
      <c r="W380" s="8">
        <f t="shared" si="13"/>
        <v>-23.27</v>
      </c>
      <c r="X380" s="8">
        <f t="shared" si="14"/>
        <v>23.27</v>
      </c>
      <c r="Y380" s="8">
        <f t="shared" si="15"/>
        <v>86.01</v>
      </c>
    </row>
    <row r="381">
      <c r="A381" s="2">
        <v>374.0</v>
      </c>
      <c r="B381" s="15">
        <f>IFERROR(__xludf.DUMMYFUNCTION("""COMPUTED_VALUE"""),42926.64583333333)</f>
        <v>42926.64583</v>
      </c>
      <c r="C381" s="8">
        <f>IFERROR(__xludf.DUMMYFUNCTION("""COMPUTED_VALUE"""),1638.85)</f>
        <v>1638.85</v>
      </c>
      <c r="E381" s="15">
        <f>IFERROR(__xludf.DUMMYFUNCTION("""COMPUTED_VALUE"""),42926.64583333333)</f>
        <v>42926.64583</v>
      </c>
      <c r="F381" s="8">
        <f>IFERROR(__xludf.DUMMYFUNCTION("""COMPUTED_VALUE"""),838.18)</f>
        <v>838.18</v>
      </c>
      <c r="H381" s="4">
        <f t="shared" si="1"/>
        <v>800.67</v>
      </c>
      <c r="I381" s="16">
        <f t="shared" si="2"/>
        <v>806.746</v>
      </c>
      <c r="J381" s="16">
        <f t="shared" si="3"/>
        <v>9.543852996</v>
      </c>
      <c r="K381" s="16">
        <f t="shared" si="4"/>
        <v>816.289853</v>
      </c>
      <c r="L381" s="16">
        <f t="shared" si="5"/>
        <v>797.202147</v>
      </c>
      <c r="N381" s="17" t="str">
        <f t="shared" si="6"/>
        <v>F</v>
      </c>
      <c r="O381" s="17" t="str">
        <f t="shared" si="7"/>
        <v>F</v>
      </c>
      <c r="P381" s="8">
        <f t="shared" si="8"/>
        <v>0</v>
      </c>
      <c r="R381" s="17" t="str">
        <f t="shared" si="9"/>
        <v>F</v>
      </c>
      <c r="S381" s="3" t="str">
        <f t="shared" si="10"/>
        <v>T</v>
      </c>
      <c r="T381" s="8">
        <f t="shared" si="11"/>
        <v>0</v>
      </c>
      <c r="V381" s="4">
        <f t="shared" si="12"/>
        <v>0</v>
      </c>
      <c r="W381" s="8">
        <f t="shared" si="13"/>
        <v>5.12</v>
      </c>
      <c r="X381" s="8">
        <f t="shared" si="14"/>
        <v>0</v>
      </c>
      <c r="Y381" s="8">
        <f t="shared" si="15"/>
        <v>86.01</v>
      </c>
    </row>
    <row r="382">
      <c r="A382" s="2">
        <v>375.0</v>
      </c>
      <c r="B382" s="15">
        <f>IFERROR(__xludf.DUMMYFUNCTION("""COMPUTED_VALUE"""),42927.64583333333)</f>
        <v>42927.64583</v>
      </c>
      <c r="C382" s="8">
        <f>IFERROR(__xludf.DUMMYFUNCTION("""COMPUTED_VALUE"""),1642.75)</f>
        <v>1642.75</v>
      </c>
      <c r="E382" s="15">
        <f>IFERROR(__xludf.DUMMYFUNCTION("""COMPUTED_VALUE"""),42927.64583333333)</f>
        <v>42927.64583</v>
      </c>
      <c r="F382" s="8">
        <f>IFERROR(__xludf.DUMMYFUNCTION("""COMPUTED_VALUE"""),840.2)</f>
        <v>840.2</v>
      </c>
      <c r="H382" s="4">
        <f t="shared" si="1"/>
        <v>802.55</v>
      </c>
      <c r="I382" s="16">
        <f t="shared" si="2"/>
        <v>804.462</v>
      </c>
      <c r="J382" s="16">
        <f t="shared" si="3"/>
        <v>8.713172212</v>
      </c>
      <c r="K382" s="16">
        <f t="shared" si="4"/>
        <v>813.1751722</v>
      </c>
      <c r="L382" s="16">
        <f t="shared" si="5"/>
        <v>795.7488278</v>
      </c>
      <c r="N382" s="17" t="str">
        <f t="shared" si="6"/>
        <v>F</v>
      </c>
      <c r="O382" s="17" t="str">
        <f t="shared" si="7"/>
        <v>F</v>
      </c>
      <c r="P382" s="8">
        <f t="shared" si="8"/>
        <v>0</v>
      </c>
      <c r="R382" s="17" t="str">
        <f t="shared" si="9"/>
        <v>F</v>
      </c>
      <c r="S382" s="3" t="str">
        <f t="shared" si="10"/>
        <v>T</v>
      </c>
      <c r="T382" s="8">
        <f t="shared" si="11"/>
        <v>0</v>
      </c>
      <c r="V382" s="4">
        <f t="shared" si="12"/>
        <v>0</v>
      </c>
      <c r="W382" s="8">
        <f t="shared" si="13"/>
        <v>1.88</v>
      </c>
      <c r="X382" s="8">
        <f t="shared" si="14"/>
        <v>0</v>
      </c>
      <c r="Y382" s="8">
        <f t="shared" si="15"/>
        <v>86.01</v>
      </c>
    </row>
    <row r="383">
      <c r="A383" s="2">
        <v>376.0</v>
      </c>
      <c r="B383" s="15">
        <f>IFERROR(__xludf.DUMMYFUNCTION("""COMPUTED_VALUE"""),42928.64583333333)</f>
        <v>42928.64583</v>
      </c>
      <c r="C383" s="8">
        <f>IFERROR(__xludf.DUMMYFUNCTION("""COMPUTED_VALUE"""),1639.95)</f>
        <v>1639.95</v>
      </c>
      <c r="E383" s="15">
        <f>IFERROR(__xludf.DUMMYFUNCTION("""COMPUTED_VALUE"""),42928.64583333333)</f>
        <v>42928.64583</v>
      </c>
      <c r="F383" s="8">
        <f>IFERROR(__xludf.DUMMYFUNCTION("""COMPUTED_VALUE"""),840.63)</f>
        <v>840.63</v>
      </c>
      <c r="H383" s="4">
        <f t="shared" si="1"/>
        <v>799.32</v>
      </c>
      <c r="I383" s="16">
        <f t="shared" si="2"/>
        <v>803.382</v>
      </c>
      <c r="J383" s="16">
        <f t="shared" si="3"/>
        <v>9.003042264</v>
      </c>
      <c r="K383" s="16">
        <f t="shared" si="4"/>
        <v>812.3850423</v>
      </c>
      <c r="L383" s="16">
        <f t="shared" si="5"/>
        <v>794.3789577</v>
      </c>
      <c r="N383" s="17" t="str">
        <f t="shared" si="6"/>
        <v>F</v>
      </c>
      <c r="O383" s="17" t="str">
        <f t="shared" si="7"/>
        <v>F</v>
      </c>
      <c r="P383" s="8">
        <f t="shared" si="8"/>
        <v>0</v>
      </c>
      <c r="R383" s="17" t="str">
        <f t="shared" si="9"/>
        <v>F</v>
      </c>
      <c r="S383" s="3" t="str">
        <f t="shared" si="10"/>
        <v>T</v>
      </c>
      <c r="T383" s="8">
        <f t="shared" si="11"/>
        <v>0</v>
      </c>
      <c r="V383" s="4">
        <f t="shared" si="12"/>
        <v>0</v>
      </c>
      <c r="W383" s="8">
        <f t="shared" si="13"/>
        <v>-3.23</v>
      </c>
      <c r="X383" s="8">
        <f t="shared" si="14"/>
        <v>0</v>
      </c>
      <c r="Y383" s="8">
        <f t="shared" si="15"/>
        <v>86.01</v>
      </c>
    </row>
    <row r="384">
      <c r="A384" s="2">
        <v>377.0</v>
      </c>
      <c r="B384" s="15">
        <f>IFERROR(__xludf.DUMMYFUNCTION("""COMPUTED_VALUE"""),42929.64583333333)</f>
        <v>42929.64583</v>
      </c>
      <c r="C384" s="8">
        <f>IFERROR(__xludf.DUMMYFUNCTION("""COMPUTED_VALUE"""),1656.9)</f>
        <v>1656.9</v>
      </c>
      <c r="E384" s="15">
        <f>IFERROR(__xludf.DUMMYFUNCTION("""COMPUTED_VALUE"""),42929.64583333333)</f>
        <v>42929.64583</v>
      </c>
      <c r="F384" s="8">
        <f>IFERROR(__xludf.DUMMYFUNCTION("""COMPUTED_VALUE"""),841.78)</f>
        <v>841.78</v>
      </c>
      <c r="H384" s="4">
        <f t="shared" si="1"/>
        <v>815.12</v>
      </c>
      <c r="I384" s="16">
        <f t="shared" si="2"/>
        <v>802.642</v>
      </c>
      <c r="J384" s="16">
        <f t="shared" si="3"/>
        <v>7.431855085</v>
      </c>
      <c r="K384" s="16">
        <f t="shared" si="4"/>
        <v>810.0738551</v>
      </c>
      <c r="L384" s="16">
        <f t="shared" si="5"/>
        <v>795.2101449</v>
      </c>
      <c r="N384" s="17" t="str">
        <f t="shared" si="6"/>
        <v>F</v>
      </c>
      <c r="O384" s="17" t="str">
        <f t="shared" si="7"/>
        <v>T</v>
      </c>
      <c r="P384" s="8">
        <f t="shared" si="8"/>
        <v>0</v>
      </c>
      <c r="R384" s="17" t="str">
        <f t="shared" si="9"/>
        <v>T</v>
      </c>
      <c r="S384" s="3" t="str">
        <f t="shared" si="10"/>
        <v>F</v>
      </c>
      <c r="T384" s="8">
        <f t="shared" si="11"/>
        <v>-1</v>
      </c>
      <c r="V384" s="4">
        <f t="shared" si="12"/>
        <v>-1</v>
      </c>
      <c r="W384" s="8">
        <f t="shared" si="13"/>
        <v>15.8</v>
      </c>
      <c r="X384" s="8">
        <f t="shared" si="14"/>
        <v>0</v>
      </c>
      <c r="Y384" s="8">
        <f t="shared" si="15"/>
        <v>86.01</v>
      </c>
    </row>
    <row r="385">
      <c r="A385" s="2">
        <v>378.0</v>
      </c>
      <c r="B385" s="15">
        <f>IFERROR(__xludf.DUMMYFUNCTION("""COMPUTED_VALUE"""),42930.64583333333)</f>
        <v>42930.64583</v>
      </c>
      <c r="C385" s="8">
        <f>IFERROR(__xludf.DUMMYFUNCTION("""COMPUTED_VALUE"""),1647.7)</f>
        <v>1647.7</v>
      </c>
      <c r="E385" s="15">
        <f>IFERROR(__xludf.DUMMYFUNCTION("""COMPUTED_VALUE"""),42930.64583333333)</f>
        <v>42930.64583</v>
      </c>
      <c r="F385" s="8">
        <f>IFERROR(__xludf.DUMMYFUNCTION("""COMPUTED_VALUE"""),839.98)</f>
        <v>839.98</v>
      </c>
      <c r="H385" s="4">
        <f t="shared" si="1"/>
        <v>807.72</v>
      </c>
      <c r="I385" s="16">
        <f t="shared" si="2"/>
        <v>805.076</v>
      </c>
      <c r="J385" s="16">
        <f t="shared" si="3"/>
        <v>6.457509582</v>
      </c>
      <c r="K385" s="16">
        <f t="shared" si="4"/>
        <v>811.5335096</v>
      </c>
      <c r="L385" s="16">
        <f t="shared" si="5"/>
        <v>798.6184904</v>
      </c>
      <c r="N385" s="17" t="str">
        <f t="shared" si="6"/>
        <v>F</v>
      </c>
      <c r="O385" s="17" t="str">
        <f t="shared" si="7"/>
        <v>T</v>
      </c>
      <c r="P385" s="8">
        <f t="shared" si="8"/>
        <v>0</v>
      </c>
      <c r="R385" s="17" t="str">
        <f t="shared" si="9"/>
        <v>F</v>
      </c>
      <c r="S385" s="3" t="str">
        <f t="shared" si="10"/>
        <v>F</v>
      </c>
      <c r="T385" s="8">
        <f t="shared" si="11"/>
        <v>-1</v>
      </c>
      <c r="V385" s="4">
        <f t="shared" si="12"/>
        <v>-1</v>
      </c>
      <c r="W385" s="8">
        <f t="shared" si="13"/>
        <v>-7.4</v>
      </c>
      <c r="X385" s="8">
        <f t="shared" si="14"/>
        <v>7.4</v>
      </c>
      <c r="Y385" s="8">
        <f t="shared" si="15"/>
        <v>93.41</v>
      </c>
    </row>
    <row r="386">
      <c r="A386" s="2">
        <v>379.0</v>
      </c>
      <c r="B386" s="15">
        <f>IFERROR(__xludf.DUMMYFUNCTION("""COMPUTED_VALUE"""),42933.64583333333)</f>
        <v>42933.64583</v>
      </c>
      <c r="C386" s="8">
        <f>IFERROR(__xludf.DUMMYFUNCTION("""COMPUTED_VALUE"""),1652.35)</f>
        <v>1652.35</v>
      </c>
      <c r="E386" s="15">
        <f>IFERROR(__xludf.DUMMYFUNCTION("""COMPUTED_VALUE"""),42933.64583333333)</f>
        <v>42933.64583</v>
      </c>
      <c r="F386" s="8">
        <f>IFERROR(__xludf.DUMMYFUNCTION("""COMPUTED_VALUE"""),841.18)</f>
        <v>841.18</v>
      </c>
      <c r="H386" s="4">
        <f t="shared" si="1"/>
        <v>811.17</v>
      </c>
      <c r="I386" s="16">
        <f t="shared" si="2"/>
        <v>807.176</v>
      </c>
      <c r="J386" s="16">
        <f t="shared" si="3"/>
        <v>6.373219751</v>
      </c>
      <c r="K386" s="16">
        <f t="shared" si="4"/>
        <v>813.5492198</v>
      </c>
      <c r="L386" s="16">
        <f t="shared" si="5"/>
        <v>800.8027802</v>
      </c>
      <c r="N386" s="17" t="str">
        <f t="shared" si="6"/>
        <v>F</v>
      </c>
      <c r="O386" s="17" t="str">
        <f t="shared" si="7"/>
        <v>T</v>
      </c>
      <c r="P386" s="8">
        <f t="shared" si="8"/>
        <v>0</v>
      </c>
      <c r="R386" s="17" t="str">
        <f t="shared" si="9"/>
        <v>F</v>
      </c>
      <c r="S386" s="3" t="str">
        <f t="shared" si="10"/>
        <v>F</v>
      </c>
      <c r="T386" s="8">
        <f t="shared" si="11"/>
        <v>-1</v>
      </c>
      <c r="V386" s="4">
        <f t="shared" si="12"/>
        <v>-1</v>
      </c>
      <c r="W386" s="8">
        <f t="shared" si="13"/>
        <v>3.45</v>
      </c>
      <c r="X386" s="8">
        <f t="shared" si="14"/>
        <v>-3.45</v>
      </c>
      <c r="Y386" s="8">
        <f t="shared" si="15"/>
        <v>89.96</v>
      </c>
    </row>
    <row r="387">
      <c r="A387" s="2">
        <v>380.0</v>
      </c>
      <c r="B387" s="15">
        <f>IFERROR(__xludf.DUMMYFUNCTION("""COMPUTED_VALUE"""),42934.64583333333)</f>
        <v>42934.64583</v>
      </c>
      <c r="C387" s="8">
        <f>IFERROR(__xludf.DUMMYFUNCTION("""COMPUTED_VALUE"""),1653.0)</f>
        <v>1653</v>
      </c>
      <c r="E387" s="15">
        <f>IFERROR(__xludf.DUMMYFUNCTION("""COMPUTED_VALUE"""),42934.64583333333)</f>
        <v>42934.64583</v>
      </c>
      <c r="F387" s="8">
        <f>IFERROR(__xludf.DUMMYFUNCTION("""COMPUTED_VALUE"""),841.78)</f>
        <v>841.78</v>
      </c>
      <c r="H387" s="4">
        <f t="shared" si="1"/>
        <v>811.22</v>
      </c>
      <c r="I387" s="16">
        <f t="shared" si="2"/>
        <v>808.91</v>
      </c>
      <c r="J387" s="16">
        <f t="shared" si="3"/>
        <v>5.966405953</v>
      </c>
      <c r="K387" s="16">
        <f t="shared" si="4"/>
        <v>814.876406</v>
      </c>
      <c r="L387" s="16">
        <f t="shared" si="5"/>
        <v>802.943594</v>
      </c>
      <c r="N387" s="17" t="str">
        <f t="shared" si="6"/>
        <v>F</v>
      </c>
      <c r="O387" s="17" t="str">
        <f t="shared" si="7"/>
        <v>T</v>
      </c>
      <c r="P387" s="8">
        <f t="shared" si="8"/>
        <v>0</v>
      </c>
      <c r="R387" s="17" t="str">
        <f t="shared" si="9"/>
        <v>F</v>
      </c>
      <c r="S387" s="3" t="str">
        <f t="shared" si="10"/>
        <v>F</v>
      </c>
      <c r="T387" s="8">
        <f t="shared" si="11"/>
        <v>-1</v>
      </c>
      <c r="V387" s="4">
        <f t="shared" si="12"/>
        <v>-1</v>
      </c>
      <c r="W387" s="8">
        <f t="shared" si="13"/>
        <v>0.05</v>
      </c>
      <c r="X387" s="8">
        <f t="shared" si="14"/>
        <v>-0.05</v>
      </c>
      <c r="Y387" s="8">
        <f t="shared" si="15"/>
        <v>89.91</v>
      </c>
    </row>
    <row r="388">
      <c r="A388" s="2">
        <v>381.0</v>
      </c>
      <c r="B388" s="15">
        <f>IFERROR(__xludf.DUMMYFUNCTION("""COMPUTED_VALUE"""),42935.64583333333)</f>
        <v>42935.64583</v>
      </c>
      <c r="C388" s="8">
        <f>IFERROR(__xludf.DUMMYFUNCTION("""COMPUTED_VALUE"""),1654.85)</f>
        <v>1654.85</v>
      </c>
      <c r="E388" s="15">
        <f>IFERROR(__xludf.DUMMYFUNCTION("""COMPUTED_VALUE"""),42935.64583333333)</f>
        <v>42935.64583</v>
      </c>
      <c r="F388" s="8">
        <f>IFERROR(__xludf.DUMMYFUNCTION("""COMPUTED_VALUE"""),846.15)</f>
        <v>846.15</v>
      </c>
      <c r="H388" s="4">
        <f t="shared" si="1"/>
        <v>808.7</v>
      </c>
      <c r="I388" s="16">
        <f t="shared" si="2"/>
        <v>810.786</v>
      </c>
      <c r="J388" s="16">
        <f t="shared" si="3"/>
        <v>2.866667054</v>
      </c>
      <c r="K388" s="16">
        <f t="shared" si="4"/>
        <v>813.6526671</v>
      </c>
      <c r="L388" s="16">
        <f t="shared" si="5"/>
        <v>807.9193329</v>
      </c>
      <c r="N388" s="17" t="str">
        <f t="shared" si="6"/>
        <v>F</v>
      </c>
      <c r="O388" s="17" t="str">
        <f t="shared" si="7"/>
        <v>F</v>
      </c>
      <c r="P388" s="8">
        <f t="shared" si="8"/>
        <v>0</v>
      </c>
      <c r="R388" s="17" t="str">
        <f t="shared" si="9"/>
        <v>F</v>
      </c>
      <c r="S388" s="3" t="str">
        <f t="shared" si="10"/>
        <v>T</v>
      </c>
      <c r="T388" s="8">
        <f t="shared" si="11"/>
        <v>0</v>
      </c>
      <c r="V388" s="4">
        <f t="shared" si="12"/>
        <v>0</v>
      </c>
      <c r="W388" s="8">
        <f t="shared" si="13"/>
        <v>-2.52</v>
      </c>
      <c r="X388" s="8">
        <f t="shared" si="14"/>
        <v>2.52</v>
      </c>
      <c r="Y388" s="8">
        <f t="shared" si="15"/>
        <v>92.43</v>
      </c>
    </row>
    <row r="389">
      <c r="A389" s="2">
        <v>382.0</v>
      </c>
      <c r="B389" s="15">
        <f>IFERROR(__xludf.DUMMYFUNCTION("""COMPUTED_VALUE"""),42936.64583333333)</f>
        <v>42936.64583</v>
      </c>
      <c r="C389" s="8">
        <f>IFERROR(__xludf.DUMMYFUNCTION("""COMPUTED_VALUE"""),1651.0)</f>
        <v>1651</v>
      </c>
      <c r="E389" s="15">
        <f>IFERROR(__xludf.DUMMYFUNCTION("""COMPUTED_VALUE"""),42936.64583333333)</f>
        <v>42936.64583</v>
      </c>
      <c r="F389" s="8">
        <f>IFERROR(__xludf.DUMMYFUNCTION("""COMPUTED_VALUE"""),855.45)</f>
        <v>855.45</v>
      </c>
      <c r="H389" s="4">
        <f t="shared" si="1"/>
        <v>795.55</v>
      </c>
      <c r="I389" s="16">
        <f t="shared" si="2"/>
        <v>806.872</v>
      </c>
      <c r="J389" s="16">
        <f t="shared" si="3"/>
        <v>6.512032709</v>
      </c>
      <c r="K389" s="16">
        <f t="shared" si="4"/>
        <v>813.3840327</v>
      </c>
      <c r="L389" s="16">
        <f t="shared" si="5"/>
        <v>800.3599673</v>
      </c>
      <c r="N389" s="17" t="str">
        <f t="shared" si="6"/>
        <v>T</v>
      </c>
      <c r="O389" s="17" t="str">
        <f t="shared" si="7"/>
        <v>F</v>
      </c>
      <c r="P389" s="8">
        <f t="shared" si="8"/>
        <v>1</v>
      </c>
      <c r="R389" s="17" t="str">
        <f t="shared" si="9"/>
        <v>F</v>
      </c>
      <c r="S389" s="3" t="str">
        <f t="shared" si="10"/>
        <v>T</v>
      </c>
      <c r="T389" s="8">
        <f t="shared" si="11"/>
        <v>0</v>
      </c>
      <c r="V389" s="4">
        <f t="shared" si="12"/>
        <v>1</v>
      </c>
      <c r="W389" s="8">
        <f t="shared" si="13"/>
        <v>-13.15</v>
      </c>
      <c r="X389" s="8">
        <f t="shared" si="14"/>
        <v>0</v>
      </c>
      <c r="Y389" s="8">
        <f t="shared" si="15"/>
        <v>92.43</v>
      </c>
    </row>
    <row r="390">
      <c r="A390" s="2">
        <v>383.0</v>
      </c>
      <c r="B390" s="15">
        <f>IFERROR(__xludf.DUMMYFUNCTION("""COMPUTED_VALUE"""),42937.64583333333)</f>
        <v>42937.64583</v>
      </c>
      <c r="C390" s="8">
        <f>IFERROR(__xludf.DUMMYFUNCTION("""COMPUTED_VALUE"""),1640.95)</f>
        <v>1640.95</v>
      </c>
      <c r="E390" s="15">
        <f>IFERROR(__xludf.DUMMYFUNCTION("""COMPUTED_VALUE"""),42937.64583333333)</f>
        <v>42937.64583</v>
      </c>
      <c r="F390" s="8">
        <f>IFERROR(__xludf.DUMMYFUNCTION("""COMPUTED_VALUE"""),851.53)</f>
        <v>851.53</v>
      </c>
      <c r="H390" s="4">
        <f t="shared" si="1"/>
        <v>789.42</v>
      </c>
      <c r="I390" s="16">
        <f t="shared" si="2"/>
        <v>803.212</v>
      </c>
      <c r="J390" s="16">
        <f t="shared" si="3"/>
        <v>10.08094093</v>
      </c>
      <c r="K390" s="16">
        <f t="shared" si="4"/>
        <v>813.2929409</v>
      </c>
      <c r="L390" s="16">
        <f t="shared" si="5"/>
        <v>793.1310591</v>
      </c>
      <c r="N390" s="17" t="str">
        <f t="shared" si="6"/>
        <v>T</v>
      </c>
      <c r="O390" s="17" t="str">
        <f t="shared" si="7"/>
        <v>F</v>
      </c>
      <c r="P390" s="8">
        <f t="shared" si="8"/>
        <v>1</v>
      </c>
      <c r="R390" s="17" t="str">
        <f t="shared" si="9"/>
        <v>F</v>
      </c>
      <c r="S390" s="3" t="str">
        <f t="shared" si="10"/>
        <v>T</v>
      </c>
      <c r="T390" s="8">
        <f t="shared" si="11"/>
        <v>0</v>
      </c>
      <c r="V390" s="4">
        <f t="shared" si="12"/>
        <v>1</v>
      </c>
      <c r="W390" s="8">
        <f t="shared" si="13"/>
        <v>-6.13</v>
      </c>
      <c r="X390" s="8">
        <f t="shared" si="14"/>
        <v>-6.13</v>
      </c>
      <c r="Y390" s="8">
        <f t="shared" si="15"/>
        <v>86.3</v>
      </c>
    </row>
    <row r="391">
      <c r="A391" s="2">
        <v>384.0</v>
      </c>
      <c r="B391" s="15">
        <f>IFERROR(__xludf.DUMMYFUNCTION("""COMPUTED_VALUE"""),42940.64583333333)</f>
        <v>42940.64583</v>
      </c>
      <c r="C391" s="8">
        <f>IFERROR(__xludf.DUMMYFUNCTION("""COMPUTED_VALUE"""),1632.25)</f>
        <v>1632.25</v>
      </c>
      <c r="E391" s="15">
        <f>IFERROR(__xludf.DUMMYFUNCTION("""COMPUTED_VALUE"""),42940.64583333333)</f>
        <v>42940.64583</v>
      </c>
      <c r="F391" s="8">
        <f>IFERROR(__xludf.DUMMYFUNCTION("""COMPUTED_VALUE"""),867.55)</f>
        <v>867.55</v>
      </c>
      <c r="H391" s="4">
        <f t="shared" si="1"/>
        <v>764.7</v>
      </c>
      <c r="I391" s="16">
        <f t="shared" si="2"/>
        <v>793.918</v>
      </c>
      <c r="J391" s="16">
        <f t="shared" si="3"/>
        <v>18.67119225</v>
      </c>
      <c r="K391" s="16">
        <f t="shared" si="4"/>
        <v>812.5891922</v>
      </c>
      <c r="L391" s="16">
        <f t="shared" si="5"/>
        <v>775.2468078</v>
      </c>
      <c r="N391" s="17" t="str">
        <f t="shared" si="6"/>
        <v>T</v>
      </c>
      <c r="O391" s="17" t="str">
        <f t="shared" si="7"/>
        <v>F</v>
      </c>
      <c r="P391" s="8">
        <f t="shared" si="8"/>
        <v>1</v>
      </c>
      <c r="R391" s="17" t="str">
        <f t="shared" si="9"/>
        <v>F</v>
      </c>
      <c r="S391" s="3" t="str">
        <f t="shared" si="10"/>
        <v>T</v>
      </c>
      <c r="T391" s="8">
        <f t="shared" si="11"/>
        <v>0</v>
      </c>
      <c r="V391" s="4">
        <f t="shared" si="12"/>
        <v>1</v>
      </c>
      <c r="W391" s="8">
        <f t="shared" si="13"/>
        <v>-24.72</v>
      </c>
      <c r="X391" s="8">
        <f t="shared" si="14"/>
        <v>-24.72</v>
      </c>
      <c r="Y391" s="8">
        <f t="shared" si="15"/>
        <v>61.58</v>
      </c>
    </row>
    <row r="392">
      <c r="A392" s="2">
        <v>385.0</v>
      </c>
      <c r="B392" s="15">
        <f>IFERROR(__xludf.DUMMYFUNCTION("""COMPUTED_VALUE"""),42941.64583333333)</f>
        <v>42941.64583</v>
      </c>
      <c r="C392" s="8">
        <f>IFERROR(__xludf.DUMMYFUNCTION("""COMPUTED_VALUE"""),1632.05)</f>
        <v>1632.05</v>
      </c>
      <c r="E392" s="15">
        <f>IFERROR(__xludf.DUMMYFUNCTION("""COMPUTED_VALUE"""),42941.64583333333)</f>
        <v>42941.64583</v>
      </c>
      <c r="F392" s="8">
        <f>IFERROR(__xludf.DUMMYFUNCTION("""COMPUTED_VALUE"""),869.83)</f>
        <v>869.83</v>
      </c>
      <c r="H392" s="4">
        <f t="shared" si="1"/>
        <v>762.22</v>
      </c>
      <c r="I392" s="16">
        <f t="shared" si="2"/>
        <v>784.118</v>
      </c>
      <c r="J392" s="16">
        <f t="shared" si="3"/>
        <v>20.12248543</v>
      </c>
      <c r="K392" s="16">
        <f t="shared" si="4"/>
        <v>804.2404854</v>
      </c>
      <c r="L392" s="16">
        <f t="shared" si="5"/>
        <v>763.9955146</v>
      </c>
      <c r="N392" s="17" t="str">
        <f t="shared" si="6"/>
        <v>T</v>
      </c>
      <c r="O392" s="17" t="str">
        <f t="shared" si="7"/>
        <v>F</v>
      </c>
      <c r="P392" s="8">
        <f t="shared" si="8"/>
        <v>1</v>
      </c>
      <c r="R392" s="17" t="str">
        <f t="shared" si="9"/>
        <v>F</v>
      </c>
      <c r="S392" s="3" t="str">
        <f t="shared" si="10"/>
        <v>T</v>
      </c>
      <c r="T392" s="8">
        <f t="shared" si="11"/>
        <v>0</v>
      </c>
      <c r="V392" s="4">
        <f t="shared" si="12"/>
        <v>1</v>
      </c>
      <c r="W392" s="8">
        <f t="shared" si="13"/>
        <v>-2.48</v>
      </c>
      <c r="X392" s="8">
        <f t="shared" si="14"/>
        <v>-2.48</v>
      </c>
      <c r="Y392" s="8">
        <f t="shared" si="15"/>
        <v>59.1</v>
      </c>
    </row>
    <row r="393">
      <c r="A393" s="2">
        <v>386.0</v>
      </c>
      <c r="B393" s="15">
        <f>IFERROR(__xludf.DUMMYFUNCTION("""COMPUTED_VALUE"""),42942.64583333333)</f>
        <v>42942.64583</v>
      </c>
      <c r="C393" s="8">
        <f>IFERROR(__xludf.DUMMYFUNCTION("""COMPUTED_VALUE"""),1633.45)</f>
        <v>1633.45</v>
      </c>
      <c r="E393" s="15">
        <f>IFERROR(__xludf.DUMMYFUNCTION("""COMPUTED_VALUE"""),42942.64583333333)</f>
        <v>42942.64583</v>
      </c>
      <c r="F393" s="8">
        <f>IFERROR(__xludf.DUMMYFUNCTION("""COMPUTED_VALUE"""),873.78)</f>
        <v>873.78</v>
      </c>
      <c r="H393" s="4">
        <f t="shared" si="1"/>
        <v>759.67</v>
      </c>
      <c r="I393" s="16">
        <f t="shared" si="2"/>
        <v>774.312</v>
      </c>
      <c r="J393" s="16">
        <f t="shared" si="3"/>
        <v>16.82482897</v>
      </c>
      <c r="K393" s="16">
        <f t="shared" si="4"/>
        <v>791.136829</v>
      </c>
      <c r="L393" s="16">
        <f t="shared" si="5"/>
        <v>757.487171</v>
      </c>
      <c r="N393" s="17" t="str">
        <f t="shared" si="6"/>
        <v>F</v>
      </c>
      <c r="O393" s="17" t="str">
        <f t="shared" si="7"/>
        <v>F</v>
      </c>
      <c r="P393" s="8">
        <f t="shared" si="8"/>
        <v>1</v>
      </c>
      <c r="R393" s="17" t="str">
        <f t="shared" si="9"/>
        <v>F</v>
      </c>
      <c r="S393" s="3" t="str">
        <f t="shared" si="10"/>
        <v>T</v>
      </c>
      <c r="T393" s="8">
        <f t="shared" si="11"/>
        <v>0</v>
      </c>
      <c r="V393" s="4">
        <f t="shared" si="12"/>
        <v>1</v>
      </c>
      <c r="W393" s="8">
        <f t="shared" si="13"/>
        <v>-2.55</v>
      </c>
      <c r="X393" s="8">
        <f t="shared" si="14"/>
        <v>-2.55</v>
      </c>
      <c r="Y393" s="8">
        <f t="shared" si="15"/>
        <v>56.55</v>
      </c>
    </row>
    <row r="394">
      <c r="A394" s="2">
        <v>387.0</v>
      </c>
      <c r="B394" s="15">
        <f>IFERROR(__xludf.DUMMYFUNCTION("""COMPUTED_VALUE"""),42943.64583333333)</f>
        <v>42943.64583</v>
      </c>
      <c r="C394" s="8">
        <f>IFERROR(__xludf.DUMMYFUNCTION("""COMPUTED_VALUE"""),1728.2)</f>
        <v>1728.2</v>
      </c>
      <c r="E394" s="15">
        <f>IFERROR(__xludf.DUMMYFUNCTION("""COMPUTED_VALUE"""),42943.64583333333)</f>
        <v>42943.64583</v>
      </c>
      <c r="F394" s="8">
        <f>IFERROR(__xludf.DUMMYFUNCTION("""COMPUTED_VALUE"""),894.83)</f>
        <v>894.83</v>
      </c>
      <c r="H394" s="4">
        <f t="shared" si="1"/>
        <v>833.37</v>
      </c>
      <c r="I394" s="16">
        <f t="shared" si="2"/>
        <v>781.876</v>
      </c>
      <c r="J394" s="16">
        <f t="shared" si="3"/>
        <v>31.15695637</v>
      </c>
      <c r="K394" s="16">
        <f t="shared" si="4"/>
        <v>813.0329564</v>
      </c>
      <c r="L394" s="16">
        <f t="shared" si="5"/>
        <v>750.7190436</v>
      </c>
      <c r="N394" s="17" t="str">
        <f t="shared" si="6"/>
        <v>F</v>
      </c>
      <c r="O394" s="17" t="str">
        <f t="shared" si="7"/>
        <v>T</v>
      </c>
      <c r="P394" s="8">
        <f t="shared" si="8"/>
        <v>0</v>
      </c>
      <c r="R394" s="17" t="str">
        <f t="shared" si="9"/>
        <v>T</v>
      </c>
      <c r="S394" s="3" t="str">
        <f t="shared" si="10"/>
        <v>F</v>
      </c>
      <c r="T394" s="8">
        <f t="shared" si="11"/>
        <v>-1</v>
      </c>
      <c r="V394" s="4">
        <f t="shared" si="12"/>
        <v>-1</v>
      </c>
      <c r="W394" s="8">
        <f t="shared" si="13"/>
        <v>73.7</v>
      </c>
      <c r="X394" s="8">
        <f t="shared" si="14"/>
        <v>73.7</v>
      </c>
      <c r="Y394" s="8">
        <f t="shared" si="15"/>
        <v>130.25</v>
      </c>
    </row>
    <row r="395">
      <c r="A395" s="2">
        <v>388.0</v>
      </c>
      <c r="B395" s="15">
        <f>IFERROR(__xludf.DUMMYFUNCTION("""COMPUTED_VALUE"""),42944.64583333333)</f>
        <v>42944.64583</v>
      </c>
      <c r="C395" s="8">
        <f>IFERROR(__xludf.DUMMYFUNCTION("""COMPUTED_VALUE"""),1785.35)</f>
        <v>1785.35</v>
      </c>
      <c r="E395" s="15">
        <f>IFERROR(__xludf.DUMMYFUNCTION("""COMPUTED_VALUE"""),42944.64583333333)</f>
        <v>42944.64583</v>
      </c>
      <c r="F395" s="8">
        <f>IFERROR(__xludf.DUMMYFUNCTION("""COMPUTED_VALUE"""),889.25)</f>
        <v>889.25</v>
      </c>
      <c r="H395" s="4">
        <f t="shared" si="1"/>
        <v>896.1</v>
      </c>
      <c r="I395" s="16">
        <f t="shared" si="2"/>
        <v>803.212</v>
      </c>
      <c r="J395" s="16">
        <f t="shared" si="3"/>
        <v>60.40924904</v>
      </c>
      <c r="K395" s="16">
        <f t="shared" si="4"/>
        <v>863.621249</v>
      </c>
      <c r="L395" s="16">
        <f t="shared" si="5"/>
        <v>742.802751</v>
      </c>
      <c r="N395" s="17" t="str">
        <f t="shared" si="6"/>
        <v>F</v>
      </c>
      <c r="O395" s="17" t="str">
        <f t="shared" si="7"/>
        <v>T</v>
      </c>
      <c r="P395" s="8">
        <f t="shared" si="8"/>
        <v>0</v>
      </c>
      <c r="R395" s="17" t="str">
        <f t="shared" si="9"/>
        <v>T</v>
      </c>
      <c r="S395" s="3" t="str">
        <f t="shared" si="10"/>
        <v>F</v>
      </c>
      <c r="T395" s="8">
        <f t="shared" si="11"/>
        <v>-1</v>
      </c>
      <c r="V395" s="4">
        <f t="shared" si="12"/>
        <v>-1</v>
      </c>
      <c r="W395" s="8">
        <f t="shared" si="13"/>
        <v>62.73</v>
      </c>
      <c r="X395" s="8">
        <f t="shared" si="14"/>
        <v>-62.73</v>
      </c>
      <c r="Y395" s="8">
        <f t="shared" si="15"/>
        <v>67.52</v>
      </c>
    </row>
    <row r="396">
      <c r="A396" s="2">
        <v>389.0</v>
      </c>
      <c r="B396" s="15">
        <f>IFERROR(__xludf.DUMMYFUNCTION("""COMPUTED_VALUE"""),42947.64583333333)</f>
        <v>42947.64583</v>
      </c>
      <c r="C396" s="8">
        <f>IFERROR(__xludf.DUMMYFUNCTION("""COMPUTED_VALUE"""),1789.25)</f>
        <v>1789.25</v>
      </c>
      <c r="E396" s="15">
        <f>IFERROR(__xludf.DUMMYFUNCTION("""COMPUTED_VALUE"""),42947.64583333333)</f>
        <v>42947.64583</v>
      </c>
      <c r="F396" s="8">
        <f>IFERROR(__xludf.DUMMYFUNCTION("""COMPUTED_VALUE"""),892.2)</f>
        <v>892.2</v>
      </c>
      <c r="H396" s="4">
        <f t="shared" si="1"/>
        <v>897.05</v>
      </c>
      <c r="I396" s="16">
        <f t="shared" si="2"/>
        <v>829.682</v>
      </c>
      <c r="J396" s="16">
        <f t="shared" si="3"/>
        <v>67.85315225</v>
      </c>
      <c r="K396" s="16">
        <f t="shared" si="4"/>
        <v>897.5351522</v>
      </c>
      <c r="L396" s="16">
        <f t="shared" si="5"/>
        <v>761.8288478</v>
      </c>
      <c r="N396" s="17" t="str">
        <f t="shared" si="6"/>
        <v>F</v>
      </c>
      <c r="O396" s="17" t="str">
        <f t="shared" si="7"/>
        <v>T</v>
      </c>
      <c r="P396" s="8">
        <f t="shared" si="8"/>
        <v>0</v>
      </c>
      <c r="R396" s="17" t="str">
        <f t="shared" si="9"/>
        <v>F</v>
      </c>
      <c r="S396" s="3" t="str">
        <f t="shared" si="10"/>
        <v>F</v>
      </c>
      <c r="T396" s="8">
        <f t="shared" si="11"/>
        <v>-1</v>
      </c>
      <c r="V396" s="4">
        <f t="shared" si="12"/>
        <v>-1</v>
      </c>
      <c r="W396" s="8">
        <f t="shared" si="13"/>
        <v>0.95</v>
      </c>
      <c r="X396" s="8">
        <f t="shared" si="14"/>
        <v>-0.95</v>
      </c>
      <c r="Y396" s="8">
        <f t="shared" si="15"/>
        <v>66.57</v>
      </c>
    </row>
    <row r="397">
      <c r="A397" s="2">
        <v>390.0</v>
      </c>
      <c r="B397" s="15">
        <f>IFERROR(__xludf.DUMMYFUNCTION("""COMPUTED_VALUE"""),42948.64583333333)</f>
        <v>42948.64583</v>
      </c>
      <c r="C397" s="8">
        <f>IFERROR(__xludf.DUMMYFUNCTION("""COMPUTED_VALUE"""),1779.1)</f>
        <v>1779.1</v>
      </c>
      <c r="E397" s="15">
        <f>IFERROR(__xludf.DUMMYFUNCTION("""COMPUTED_VALUE"""),42948.64583333333)</f>
        <v>42948.64583</v>
      </c>
      <c r="F397" s="8">
        <f>IFERROR(__xludf.DUMMYFUNCTION("""COMPUTED_VALUE"""),898.6)</f>
        <v>898.6</v>
      </c>
      <c r="H397" s="4">
        <f t="shared" si="1"/>
        <v>880.5</v>
      </c>
      <c r="I397" s="16">
        <f t="shared" si="2"/>
        <v>853.338</v>
      </c>
      <c r="J397" s="16">
        <f t="shared" si="3"/>
        <v>58.41557387</v>
      </c>
      <c r="K397" s="16">
        <f t="shared" si="4"/>
        <v>911.7535739</v>
      </c>
      <c r="L397" s="16">
        <f t="shared" si="5"/>
        <v>794.9224261</v>
      </c>
      <c r="N397" s="17" t="str">
        <f t="shared" si="6"/>
        <v>F</v>
      </c>
      <c r="O397" s="17" t="str">
        <f t="shared" si="7"/>
        <v>T</v>
      </c>
      <c r="P397" s="8">
        <f t="shared" si="8"/>
        <v>0</v>
      </c>
      <c r="R397" s="17" t="str">
        <f t="shared" si="9"/>
        <v>F</v>
      </c>
      <c r="S397" s="3" t="str">
        <f t="shared" si="10"/>
        <v>F</v>
      </c>
      <c r="T397" s="8">
        <f t="shared" si="11"/>
        <v>-1</v>
      </c>
      <c r="V397" s="4">
        <f t="shared" si="12"/>
        <v>-1</v>
      </c>
      <c r="W397" s="8">
        <f t="shared" si="13"/>
        <v>-16.55</v>
      </c>
      <c r="X397" s="8">
        <f t="shared" si="14"/>
        <v>16.55</v>
      </c>
      <c r="Y397" s="8">
        <f t="shared" si="15"/>
        <v>83.12</v>
      </c>
    </row>
    <row r="398">
      <c r="A398" s="2">
        <v>391.0</v>
      </c>
      <c r="B398" s="15">
        <f>IFERROR(__xludf.DUMMYFUNCTION("""COMPUTED_VALUE"""),42949.64583333333)</f>
        <v>42949.64583</v>
      </c>
      <c r="C398" s="8">
        <f>IFERROR(__xludf.DUMMYFUNCTION("""COMPUTED_VALUE"""),1766.4)</f>
        <v>1766.4</v>
      </c>
      <c r="E398" s="15">
        <f>IFERROR(__xludf.DUMMYFUNCTION("""COMPUTED_VALUE"""),42949.64583333333)</f>
        <v>42949.64583</v>
      </c>
      <c r="F398" s="8">
        <f>IFERROR(__xludf.DUMMYFUNCTION("""COMPUTED_VALUE"""),895.83)</f>
        <v>895.83</v>
      </c>
      <c r="H398" s="4">
        <f t="shared" si="1"/>
        <v>870.57</v>
      </c>
      <c r="I398" s="16">
        <f t="shared" si="2"/>
        <v>875.518</v>
      </c>
      <c r="J398" s="16">
        <f t="shared" si="3"/>
        <v>26.04324615</v>
      </c>
      <c r="K398" s="16">
        <f t="shared" si="4"/>
        <v>901.5612461</v>
      </c>
      <c r="L398" s="16">
        <f t="shared" si="5"/>
        <v>849.4747539</v>
      </c>
      <c r="N398" s="17" t="str">
        <f t="shared" si="6"/>
        <v>F</v>
      </c>
      <c r="O398" s="17" t="str">
        <f t="shared" si="7"/>
        <v>F</v>
      </c>
      <c r="P398" s="8">
        <f t="shared" si="8"/>
        <v>0</v>
      </c>
      <c r="R398" s="17" t="str">
        <f t="shared" si="9"/>
        <v>F</v>
      </c>
      <c r="S398" s="3" t="str">
        <f t="shared" si="10"/>
        <v>T</v>
      </c>
      <c r="T398" s="8">
        <f t="shared" si="11"/>
        <v>0</v>
      </c>
      <c r="V398" s="4">
        <f t="shared" si="12"/>
        <v>0</v>
      </c>
      <c r="W398" s="8">
        <f t="shared" si="13"/>
        <v>-9.93</v>
      </c>
      <c r="X398" s="8">
        <f t="shared" si="14"/>
        <v>9.93</v>
      </c>
      <c r="Y398" s="8">
        <f t="shared" si="15"/>
        <v>93.05</v>
      </c>
    </row>
    <row r="399">
      <c r="A399" s="2">
        <v>392.0</v>
      </c>
      <c r="B399" s="15">
        <f>IFERROR(__xludf.DUMMYFUNCTION("""COMPUTED_VALUE"""),42950.64583333333)</f>
        <v>42950.64583</v>
      </c>
      <c r="C399" s="8">
        <f>IFERROR(__xludf.DUMMYFUNCTION("""COMPUTED_VALUE"""),1736.75)</f>
        <v>1736.75</v>
      </c>
      <c r="E399" s="15">
        <f>IFERROR(__xludf.DUMMYFUNCTION("""COMPUTED_VALUE"""),42950.64583333333)</f>
        <v>42950.64583</v>
      </c>
      <c r="F399" s="8">
        <f>IFERROR(__xludf.DUMMYFUNCTION("""COMPUTED_VALUE"""),889.98)</f>
        <v>889.98</v>
      </c>
      <c r="H399" s="4">
        <f t="shared" si="1"/>
        <v>846.77</v>
      </c>
      <c r="I399" s="16">
        <f t="shared" si="2"/>
        <v>878.198</v>
      </c>
      <c r="J399" s="16">
        <f t="shared" si="3"/>
        <v>20.77910176</v>
      </c>
      <c r="K399" s="16">
        <f t="shared" si="4"/>
        <v>898.9771018</v>
      </c>
      <c r="L399" s="16">
        <f t="shared" si="5"/>
        <v>857.4188982</v>
      </c>
      <c r="N399" s="17" t="str">
        <f t="shared" si="6"/>
        <v>T</v>
      </c>
      <c r="O399" s="17" t="str">
        <f t="shared" si="7"/>
        <v>F</v>
      </c>
      <c r="P399" s="8">
        <f t="shared" si="8"/>
        <v>1</v>
      </c>
      <c r="R399" s="17" t="str">
        <f t="shared" si="9"/>
        <v>F</v>
      </c>
      <c r="S399" s="3" t="str">
        <f t="shared" si="10"/>
        <v>T</v>
      </c>
      <c r="T399" s="8">
        <f t="shared" si="11"/>
        <v>0</v>
      </c>
      <c r="V399" s="4">
        <f t="shared" si="12"/>
        <v>1</v>
      </c>
      <c r="W399" s="8">
        <f t="shared" si="13"/>
        <v>-23.8</v>
      </c>
      <c r="X399" s="8">
        <f t="shared" si="14"/>
        <v>0</v>
      </c>
      <c r="Y399" s="8">
        <f t="shared" si="15"/>
        <v>93.05</v>
      </c>
    </row>
    <row r="400">
      <c r="A400" s="2">
        <v>393.0</v>
      </c>
      <c r="B400" s="15">
        <f>IFERROR(__xludf.DUMMYFUNCTION("""COMPUTED_VALUE"""),42951.64583333333)</f>
        <v>42951.64583</v>
      </c>
      <c r="C400" s="8">
        <f>IFERROR(__xludf.DUMMYFUNCTION("""COMPUTED_VALUE"""),1731.35)</f>
        <v>1731.35</v>
      </c>
      <c r="E400" s="15">
        <f>IFERROR(__xludf.DUMMYFUNCTION("""COMPUTED_VALUE"""),42951.64583333333)</f>
        <v>42951.64583</v>
      </c>
      <c r="F400" s="8">
        <f>IFERROR(__xludf.DUMMYFUNCTION("""COMPUTED_VALUE"""),895.13)</f>
        <v>895.13</v>
      </c>
      <c r="H400" s="4">
        <f t="shared" si="1"/>
        <v>836.22</v>
      </c>
      <c r="I400" s="16">
        <f t="shared" si="2"/>
        <v>866.222</v>
      </c>
      <c r="J400" s="16">
        <f t="shared" si="3"/>
        <v>24.75698023</v>
      </c>
      <c r="K400" s="16">
        <f t="shared" si="4"/>
        <v>890.9789802</v>
      </c>
      <c r="L400" s="16">
        <f t="shared" si="5"/>
        <v>841.4650198</v>
      </c>
      <c r="N400" s="17" t="str">
        <f t="shared" si="6"/>
        <v>T</v>
      </c>
      <c r="O400" s="17" t="str">
        <f t="shared" si="7"/>
        <v>F</v>
      </c>
      <c r="P400" s="8">
        <f t="shared" si="8"/>
        <v>1</v>
      </c>
      <c r="R400" s="17" t="str">
        <f t="shared" si="9"/>
        <v>F</v>
      </c>
      <c r="S400" s="3" t="str">
        <f t="shared" si="10"/>
        <v>T</v>
      </c>
      <c r="T400" s="8">
        <f t="shared" si="11"/>
        <v>0</v>
      </c>
      <c r="V400" s="4">
        <f t="shared" si="12"/>
        <v>1</v>
      </c>
      <c r="W400" s="8">
        <f t="shared" si="13"/>
        <v>-10.55</v>
      </c>
      <c r="X400" s="8">
        <f t="shared" si="14"/>
        <v>-10.55</v>
      </c>
      <c r="Y400" s="8">
        <f t="shared" si="15"/>
        <v>82.5</v>
      </c>
    </row>
    <row r="401">
      <c r="A401" s="2">
        <v>394.0</v>
      </c>
      <c r="B401" s="15">
        <f>IFERROR(__xludf.DUMMYFUNCTION("""COMPUTED_VALUE"""),42954.64583333333)</f>
        <v>42954.64583</v>
      </c>
      <c r="C401" s="8">
        <f>IFERROR(__xludf.DUMMYFUNCTION("""COMPUTED_VALUE"""),1725.4)</f>
        <v>1725.4</v>
      </c>
      <c r="E401" s="15">
        <f>IFERROR(__xludf.DUMMYFUNCTION("""COMPUTED_VALUE"""),42954.64583333333)</f>
        <v>42954.64583</v>
      </c>
      <c r="F401" s="8">
        <f>IFERROR(__xludf.DUMMYFUNCTION("""COMPUTED_VALUE"""),894.28)</f>
        <v>894.28</v>
      </c>
      <c r="H401" s="4">
        <f t="shared" si="1"/>
        <v>831.12</v>
      </c>
      <c r="I401" s="16">
        <f t="shared" si="2"/>
        <v>853.036</v>
      </c>
      <c r="J401" s="16">
        <f t="shared" si="3"/>
        <v>21.58740443</v>
      </c>
      <c r="K401" s="16">
        <f t="shared" si="4"/>
        <v>874.6234044</v>
      </c>
      <c r="L401" s="16">
        <f t="shared" si="5"/>
        <v>831.4485956</v>
      </c>
      <c r="N401" s="17" t="str">
        <f t="shared" si="6"/>
        <v>T</v>
      </c>
      <c r="O401" s="17" t="str">
        <f t="shared" si="7"/>
        <v>F</v>
      </c>
      <c r="P401" s="8">
        <f t="shared" si="8"/>
        <v>1</v>
      </c>
      <c r="R401" s="17" t="str">
        <f t="shared" si="9"/>
        <v>F</v>
      </c>
      <c r="S401" s="3" t="str">
        <f t="shared" si="10"/>
        <v>T</v>
      </c>
      <c r="T401" s="8">
        <f t="shared" si="11"/>
        <v>0</v>
      </c>
      <c r="V401" s="4">
        <f t="shared" si="12"/>
        <v>1</v>
      </c>
      <c r="W401" s="8">
        <f t="shared" si="13"/>
        <v>-5.1</v>
      </c>
      <c r="X401" s="8">
        <f t="shared" si="14"/>
        <v>-5.1</v>
      </c>
      <c r="Y401" s="8">
        <f t="shared" si="15"/>
        <v>77.4</v>
      </c>
    </row>
    <row r="402">
      <c r="A402" s="2">
        <v>395.0</v>
      </c>
      <c r="B402" s="15">
        <f>IFERROR(__xludf.DUMMYFUNCTION("""COMPUTED_VALUE"""),42955.64583333333)</f>
        <v>42955.64583</v>
      </c>
      <c r="C402" s="8">
        <f>IFERROR(__xludf.DUMMYFUNCTION("""COMPUTED_VALUE"""),1719.9)</f>
        <v>1719.9</v>
      </c>
      <c r="E402" s="15">
        <f>IFERROR(__xludf.DUMMYFUNCTION("""COMPUTED_VALUE"""),42955.64583333333)</f>
        <v>42955.64583</v>
      </c>
      <c r="F402" s="8">
        <f>IFERROR(__xludf.DUMMYFUNCTION("""COMPUTED_VALUE"""),888.95)</f>
        <v>888.95</v>
      </c>
      <c r="H402" s="4">
        <f t="shared" si="1"/>
        <v>830.95</v>
      </c>
      <c r="I402" s="16">
        <f t="shared" si="2"/>
        <v>843.126</v>
      </c>
      <c r="J402" s="16">
        <f t="shared" si="3"/>
        <v>16.63237596</v>
      </c>
      <c r="K402" s="16">
        <f t="shared" si="4"/>
        <v>859.758376</v>
      </c>
      <c r="L402" s="16">
        <f t="shared" si="5"/>
        <v>826.493624</v>
      </c>
      <c r="N402" s="17" t="str">
        <f t="shared" si="6"/>
        <v>F</v>
      </c>
      <c r="O402" s="17" t="str">
        <f t="shared" si="7"/>
        <v>F</v>
      </c>
      <c r="P402" s="8">
        <f t="shared" si="8"/>
        <v>1</v>
      </c>
      <c r="R402" s="17" t="str">
        <f t="shared" si="9"/>
        <v>F</v>
      </c>
      <c r="S402" s="3" t="str">
        <f t="shared" si="10"/>
        <v>T</v>
      </c>
      <c r="T402" s="8">
        <f t="shared" si="11"/>
        <v>0</v>
      </c>
      <c r="V402" s="4">
        <f t="shared" si="12"/>
        <v>1</v>
      </c>
      <c r="W402" s="8">
        <f t="shared" si="13"/>
        <v>-0.17</v>
      </c>
      <c r="X402" s="8">
        <f t="shared" si="14"/>
        <v>-0.17</v>
      </c>
      <c r="Y402" s="8">
        <f t="shared" si="15"/>
        <v>77.23</v>
      </c>
    </row>
    <row r="403">
      <c r="A403" s="2">
        <v>396.0</v>
      </c>
      <c r="B403" s="15">
        <f>IFERROR(__xludf.DUMMYFUNCTION("""COMPUTED_VALUE"""),42956.64583333333)</f>
        <v>42956.64583</v>
      </c>
      <c r="C403" s="8">
        <f>IFERROR(__xludf.DUMMYFUNCTION("""COMPUTED_VALUE"""),1731.65)</f>
        <v>1731.65</v>
      </c>
      <c r="E403" s="15">
        <f>IFERROR(__xludf.DUMMYFUNCTION("""COMPUTED_VALUE"""),42956.64583333333)</f>
        <v>42956.64583</v>
      </c>
      <c r="F403" s="8">
        <f>IFERROR(__xludf.DUMMYFUNCTION("""COMPUTED_VALUE"""),882.23)</f>
        <v>882.23</v>
      </c>
      <c r="H403" s="4">
        <f t="shared" si="1"/>
        <v>849.42</v>
      </c>
      <c r="I403" s="16">
        <f t="shared" si="2"/>
        <v>838.896</v>
      </c>
      <c r="J403" s="16">
        <f t="shared" si="3"/>
        <v>8.710920158</v>
      </c>
      <c r="K403" s="16">
        <f t="shared" si="4"/>
        <v>847.6069202</v>
      </c>
      <c r="L403" s="16">
        <f t="shared" si="5"/>
        <v>830.1850798</v>
      </c>
      <c r="N403" s="17" t="str">
        <f t="shared" si="6"/>
        <v>F</v>
      </c>
      <c r="O403" s="17" t="str">
        <f t="shared" si="7"/>
        <v>T</v>
      </c>
      <c r="P403" s="8">
        <f t="shared" si="8"/>
        <v>0</v>
      </c>
      <c r="R403" s="17" t="str">
        <f t="shared" si="9"/>
        <v>T</v>
      </c>
      <c r="S403" s="3" t="str">
        <f t="shared" si="10"/>
        <v>F</v>
      </c>
      <c r="T403" s="8">
        <f t="shared" si="11"/>
        <v>-1</v>
      </c>
      <c r="V403" s="4">
        <f t="shared" si="12"/>
        <v>-1</v>
      </c>
      <c r="W403" s="8">
        <f t="shared" si="13"/>
        <v>18.47</v>
      </c>
      <c r="X403" s="8">
        <f t="shared" si="14"/>
        <v>18.47</v>
      </c>
      <c r="Y403" s="8">
        <f t="shared" si="15"/>
        <v>95.7</v>
      </c>
    </row>
    <row r="404">
      <c r="A404" s="2">
        <v>397.0</v>
      </c>
      <c r="B404" s="15">
        <f>IFERROR(__xludf.DUMMYFUNCTION("""COMPUTED_VALUE"""),42957.64583333333)</f>
        <v>42957.64583</v>
      </c>
      <c r="C404" s="8">
        <f>IFERROR(__xludf.DUMMYFUNCTION("""COMPUTED_VALUE"""),1709.8)</f>
        <v>1709.8</v>
      </c>
      <c r="E404" s="15">
        <f>IFERROR(__xludf.DUMMYFUNCTION("""COMPUTED_VALUE"""),42957.64583333333)</f>
        <v>42957.64583</v>
      </c>
      <c r="F404" s="8">
        <f>IFERROR(__xludf.DUMMYFUNCTION("""COMPUTED_VALUE"""),880.23)</f>
        <v>880.23</v>
      </c>
      <c r="H404" s="4">
        <f t="shared" si="1"/>
        <v>829.57</v>
      </c>
      <c r="I404" s="16">
        <f t="shared" si="2"/>
        <v>835.456</v>
      </c>
      <c r="J404" s="16">
        <f t="shared" si="3"/>
        <v>8.205591386</v>
      </c>
      <c r="K404" s="16">
        <f t="shared" si="4"/>
        <v>843.6615914</v>
      </c>
      <c r="L404" s="16">
        <f t="shared" si="5"/>
        <v>827.2504086</v>
      </c>
      <c r="N404" s="17" t="str">
        <f t="shared" si="6"/>
        <v>F</v>
      </c>
      <c r="O404" s="17" t="str">
        <f t="shared" si="7"/>
        <v>F</v>
      </c>
      <c r="P404" s="8">
        <f t="shared" si="8"/>
        <v>0</v>
      </c>
      <c r="R404" s="17" t="str">
        <f t="shared" si="9"/>
        <v>F</v>
      </c>
      <c r="S404" s="3" t="str">
        <f t="shared" si="10"/>
        <v>T</v>
      </c>
      <c r="T404" s="8">
        <f t="shared" si="11"/>
        <v>0</v>
      </c>
      <c r="V404" s="4">
        <f t="shared" si="12"/>
        <v>0</v>
      </c>
      <c r="W404" s="8">
        <f t="shared" si="13"/>
        <v>-19.85</v>
      </c>
      <c r="X404" s="8">
        <f t="shared" si="14"/>
        <v>19.85</v>
      </c>
      <c r="Y404" s="8">
        <f t="shared" si="15"/>
        <v>115.55</v>
      </c>
    </row>
    <row r="405">
      <c r="A405" s="2">
        <v>398.0</v>
      </c>
      <c r="B405" s="15">
        <f>IFERROR(__xludf.DUMMYFUNCTION("""COMPUTED_VALUE"""),42958.64583333333)</f>
        <v>42958.64583</v>
      </c>
      <c r="C405" s="8">
        <f>IFERROR(__xludf.DUMMYFUNCTION("""COMPUTED_VALUE"""),1695.35)</f>
        <v>1695.35</v>
      </c>
      <c r="E405" s="15">
        <f>IFERROR(__xludf.DUMMYFUNCTION("""COMPUTED_VALUE"""),42958.64583333333)</f>
        <v>42958.64583</v>
      </c>
      <c r="F405" s="8">
        <f>IFERROR(__xludf.DUMMYFUNCTION("""COMPUTED_VALUE"""),874.53)</f>
        <v>874.53</v>
      </c>
      <c r="H405" s="4">
        <f t="shared" si="1"/>
        <v>820.82</v>
      </c>
      <c r="I405" s="16">
        <f t="shared" si="2"/>
        <v>832.376</v>
      </c>
      <c r="J405" s="16">
        <f t="shared" si="3"/>
        <v>10.43460253</v>
      </c>
      <c r="K405" s="16">
        <f t="shared" si="4"/>
        <v>842.8106025</v>
      </c>
      <c r="L405" s="16">
        <f t="shared" si="5"/>
        <v>821.9413975</v>
      </c>
      <c r="N405" s="17" t="str">
        <f t="shared" si="6"/>
        <v>T</v>
      </c>
      <c r="O405" s="17" t="str">
        <f t="shared" si="7"/>
        <v>F</v>
      </c>
      <c r="P405" s="8">
        <f t="shared" si="8"/>
        <v>1</v>
      </c>
      <c r="R405" s="17" t="str">
        <f t="shared" si="9"/>
        <v>F</v>
      </c>
      <c r="S405" s="3" t="str">
        <f t="shared" si="10"/>
        <v>T</v>
      </c>
      <c r="T405" s="8">
        <f t="shared" si="11"/>
        <v>0</v>
      </c>
      <c r="V405" s="4">
        <f t="shared" si="12"/>
        <v>1</v>
      </c>
      <c r="W405" s="8">
        <f t="shared" si="13"/>
        <v>-8.75</v>
      </c>
      <c r="X405" s="8">
        <f t="shared" si="14"/>
        <v>0</v>
      </c>
      <c r="Y405" s="8">
        <f t="shared" si="15"/>
        <v>115.55</v>
      </c>
    </row>
    <row r="406">
      <c r="A406" s="2">
        <v>399.0</v>
      </c>
      <c r="B406" s="15">
        <f>IFERROR(__xludf.DUMMYFUNCTION("""COMPUTED_VALUE"""),42961.64583333333)</f>
        <v>42961.64583</v>
      </c>
      <c r="C406" s="8">
        <f>IFERROR(__xludf.DUMMYFUNCTION("""COMPUTED_VALUE"""),1713.95)</f>
        <v>1713.95</v>
      </c>
      <c r="E406" s="15">
        <f>IFERROR(__xludf.DUMMYFUNCTION("""COMPUTED_VALUE"""),42961.64583333333)</f>
        <v>42961.64583</v>
      </c>
      <c r="F406" s="8">
        <f>IFERROR(__xludf.DUMMYFUNCTION("""COMPUTED_VALUE"""),878.6)</f>
        <v>878.6</v>
      </c>
      <c r="H406" s="4">
        <f t="shared" si="1"/>
        <v>835.35</v>
      </c>
      <c r="I406" s="16">
        <f t="shared" si="2"/>
        <v>833.222</v>
      </c>
      <c r="J406" s="16">
        <f t="shared" si="3"/>
        <v>10.47869601</v>
      </c>
      <c r="K406" s="16">
        <f t="shared" si="4"/>
        <v>843.700696</v>
      </c>
      <c r="L406" s="16">
        <f t="shared" si="5"/>
        <v>822.743304</v>
      </c>
      <c r="N406" s="17" t="str">
        <f t="shared" si="6"/>
        <v>F</v>
      </c>
      <c r="O406" s="17" t="str">
        <f t="shared" si="7"/>
        <v>T</v>
      </c>
      <c r="P406" s="8">
        <f t="shared" si="8"/>
        <v>0</v>
      </c>
      <c r="R406" s="17" t="str">
        <f t="shared" si="9"/>
        <v>F</v>
      </c>
      <c r="S406" s="3" t="str">
        <f t="shared" si="10"/>
        <v>F</v>
      </c>
      <c r="T406" s="8">
        <f t="shared" si="11"/>
        <v>0</v>
      </c>
      <c r="V406" s="4">
        <f t="shared" si="12"/>
        <v>0</v>
      </c>
      <c r="W406" s="8">
        <f t="shared" si="13"/>
        <v>14.53</v>
      </c>
      <c r="X406" s="8">
        <f t="shared" si="14"/>
        <v>14.53</v>
      </c>
      <c r="Y406" s="8">
        <f t="shared" si="15"/>
        <v>130.08</v>
      </c>
    </row>
    <row r="407">
      <c r="A407" s="2">
        <v>400.0</v>
      </c>
      <c r="B407" s="15">
        <f>IFERROR(__xludf.DUMMYFUNCTION("""COMPUTED_VALUE"""),42963.64583333333)</f>
        <v>42963.64583</v>
      </c>
      <c r="C407" s="8">
        <f>IFERROR(__xludf.DUMMYFUNCTION("""COMPUTED_VALUE"""),1741.75)</f>
        <v>1741.75</v>
      </c>
      <c r="E407" s="15">
        <f>IFERROR(__xludf.DUMMYFUNCTION("""COMPUTED_VALUE"""),42963.64583333333)</f>
        <v>42963.64583</v>
      </c>
      <c r="F407" s="8">
        <f>IFERROR(__xludf.DUMMYFUNCTION("""COMPUTED_VALUE"""),890.63)</f>
        <v>890.63</v>
      </c>
      <c r="H407" s="4">
        <f t="shared" si="1"/>
        <v>851.12</v>
      </c>
      <c r="I407" s="16">
        <f t="shared" si="2"/>
        <v>837.256</v>
      </c>
      <c r="J407" s="16">
        <f t="shared" si="3"/>
        <v>12.97134264</v>
      </c>
      <c r="K407" s="16">
        <f t="shared" si="4"/>
        <v>850.2273426</v>
      </c>
      <c r="L407" s="16">
        <f t="shared" si="5"/>
        <v>824.2846574</v>
      </c>
      <c r="N407" s="17" t="str">
        <f t="shared" si="6"/>
        <v>F</v>
      </c>
      <c r="O407" s="17" t="str">
        <f t="shared" si="7"/>
        <v>T</v>
      </c>
      <c r="P407" s="8">
        <f t="shared" si="8"/>
        <v>0</v>
      </c>
      <c r="R407" s="17" t="str">
        <f t="shared" si="9"/>
        <v>T</v>
      </c>
      <c r="S407" s="3" t="str">
        <f t="shared" si="10"/>
        <v>F</v>
      </c>
      <c r="T407" s="8">
        <f t="shared" si="11"/>
        <v>-1</v>
      </c>
      <c r="V407" s="4">
        <f t="shared" si="12"/>
        <v>-1</v>
      </c>
      <c r="W407" s="8">
        <f t="shared" si="13"/>
        <v>15.77</v>
      </c>
      <c r="X407" s="8">
        <f t="shared" si="14"/>
        <v>0</v>
      </c>
      <c r="Y407" s="8">
        <f t="shared" si="15"/>
        <v>130.08</v>
      </c>
    </row>
    <row r="408">
      <c r="A408" s="2">
        <v>401.0</v>
      </c>
      <c r="B408" s="15">
        <f>IFERROR(__xludf.DUMMYFUNCTION("""COMPUTED_VALUE"""),42964.64583333333)</f>
        <v>42964.64583</v>
      </c>
      <c r="C408" s="8">
        <f>IFERROR(__xludf.DUMMYFUNCTION("""COMPUTED_VALUE"""),1759.25)</f>
        <v>1759.25</v>
      </c>
      <c r="E408" s="15">
        <f>IFERROR(__xludf.DUMMYFUNCTION("""COMPUTED_VALUE"""),42964.64583333333)</f>
        <v>42964.64583</v>
      </c>
      <c r="F408" s="8">
        <f>IFERROR(__xludf.DUMMYFUNCTION("""COMPUTED_VALUE"""),882.7)</f>
        <v>882.7</v>
      </c>
      <c r="H408" s="4">
        <f t="shared" si="1"/>
        <v>876.55</v>
      </c>
      <c r="I408" s="16">
        <f t="shared" si="2"/>
        <v>842.682</v>
      </c>
      <c r="J408" s="16">
        <f t="shared" si="3"/>
        <v>21.91957504</v>
      </c>
      <c r="K408" s="16">
        <f t="shared" si="4"/>
        <v>864.601575</v>
      </c>
      <c r="L408" s="16">
        <f t="shared" si="5"/>
        <v>820.762425</v>
      </c>
      <c r="N408" s="17" t="str">
        <f t="shared" si="6"/>
        <v>F</v>
      </c>
      <c r="O408" s="17" t="str">
        <f t="shared" si="7"/>
        <v>T</v>
      </c>
      <c r="P408" s="8">
        <f t="shared" si="8"/>
        <v>0</v>
      </c>
      <c r="R408" s="17" t="str">
        <f t="shared" si="9"/>
        <v>T</v>
      </c>
      <c r="S408" s="3" t="str">
        <f t="shared" si="10"/>
        <v>F</v>
      </c>
      <c r="T408" s="8">
        <f t="shared" si="11"/>
        <v>-1</v>
      </c>
      <c r="V408" s="4">
        <f t="shared" si="12"/>
        <v>-1</v>
      </c>
      <c r="W408" s="8">
        <f t="shared" si="13"/>
        <v>25.43</v>
      </c>
      <c r="X408" s="8">
        <f t="shared" si="14"/>
        <v>-25.43</v>
      </c>
      <c r="Y408" s="8">
        <f t="shared" si="15"/>
        <v>104.65</v>
      </c>
    </row>
    <row r="409">
      <c r="A409" s="2">
        <v>402.0</v>
      </c>
      <c r="B409" s="15">
        <f>IFERROR(__xludf.DUMMYFUNCTION("""COMPUTED_VALUE"""),42965.64583333333)</f>
        <v>42965.64583</v>
      </c>
      <c r="C409" s="8">
        <f>IFERROR(__xludf.DUMMYFUNCTION("""COMPUTED_VALUE"""),1735.05)</f>
        <v>1735.05</v>
      </c>
      <c r="E409" s="15">
        <f>IFERROR(__xludf.DUMMYFUNCTION("""COMPUTED_VALUE"""),42965.64583333333)</f>
        <v>42965.64583</v>
      </c>
      <c r="F409" s="8">
        <f>IFERROR(__xludf.DUMMYFUNCTION("""COMPUTED_VALUE"""),876.08)</f>
        <v>876.08</v>
      </c>
      <c r="H409" s="4">
        <f t="shared" si="1"/>
        <v>858.97</v>
      </c>
      <c r="I409" s="16">
        <f t="shared" si="2"/>
        <v>848.562</v>
      </c>
      <c r="J409" s="16">
        <f t="shared" si="3"/>
        <v>21.46143914</v>
      </c>
      <c r="K409" s="16">
        <f t="shared" si="4"/>
        <v>870.0234391</v>
      </c>
      <c r="L409" s="16">
        <f t="shared" si="5"/>
        <v>827.1005609</v>
      </c>
      <c r="N409" s="17" t="str">
        <f t="shared" si="6"/>
        <v>F</v>
      </c>
      <c r="O409" s="17" t="str">
        <f t="shared" si="7"/>
        <v>T</v>
      </c>
      <c r="P409" s="8">
        <f t="shared" si="8"/>
        <v>0</v>
      </c>
      <c r="R409" s="17" t="str">
        <f t="shared" si="9"/>
        <v>F</v>
      </c>
      <c r="S409" s="3" t="str">
        <f t="shared" si="10"/>
        <v>F</v>
      </c>
      <c r="T409" s="8">
        <f t="shared" si="11"/>
        <v>-1</v>
      </c>
      <c r="V409" s="4">
        <f t="shared" si="12"/>
        <v>-1</v>
      </c>
      <c r="W409" s="8">
        <f t="shared" si="13"/>
        <v>-17.58</v>
      </c>
      <c r="X409" s="8">
        <f t="shared" si="14"/>
        <v>17.58</v>
      </c>
      <c r="Y409" s="8">
        <f t="shared" si="15"/>
        <v>122.23</v>
      </c>
    </row>
    <row r="410">
      <c r="A410" s="2">
        <v>403.0</v>
      </c>
      <c r="B410" s="15">
        <f>IFERROR(__xludf.DUMMYFUNCTION("""COMPUTED_VALUE"""),42968.64583333333)</f>
        <v>42968.64583</v>
      </c>
      <c r="C410" s="8">
        <f>IFERROR(__xludf.DUMMYFUNCTION("""COMPUTED_VALUE"""),1738.15)</f>
        <v>1738.15</v>
      </c>
      <c r="E410" s="15">
        <f>IFERROR(__xludf.DUMMYFUNCTION("""COMPUTED_VALUE"""),42968.64583333333)</f>
        <v>42968.64583</v>
      </c>
      <c r="F410" s="8">
        <f>IFERROR(__xludf.DUMMYFUNCTION("""COMPUTED_VALUE"""),871.6)</f>
        <v>871.6</v>
      </c>
      <c r="H410" s="4">
        <f t="shared" si="1"/>
        <v>866.55</v>
      </c>
      <c r="I410" s="16">
        <f t="shared" si="2"/>
        <v>857.708</v>
      </c>
      <c r="J410" s="16">
        <f t="shared" si="3"/>
        <v>15.63710715</v>
      </c>
      <c r="K410" s="16">
        <f t="shared" si="4"/>
        <v>873.3451071</v>
      </c>
      <c r="L410" s="16">
        <f t="shared" si="5"/>
        <v>842.0708929</v>
      </c>
      <c r="N410" s="17" t="str">
        <f t="shared" si="6"/>
        <v>F</v>
      </c>
      <c r="O410" s="17" t="str">
        <f t="shared" si="7"/>
        <v>T</v>
      </c>
      <c r="P410" s="8">
        <f t="shared" si="8"/>
        <v>0</v>
      </c>
      <c r="R410" s="17" t="str">
        <f t="shared" si="9"/>
        <v>F</v>
      </c>
      <c r="S410" s="3" t="str">
        <f t="shared" si="10"/>
        <v>F</v>
      </c>
      <c r="T410" s="8">
        <f t="shared" si="11"/>
        <v>-1</v>
      </c>
      <c r="V410" s="4">
        <f t="shared" si="12"/>
        <v>-1</v>
      </c>
      <c r="W410" s="8">
        <f t="shared" si="13"/>
        <v>7.58</v>
      </c>
      <c r="X410" s="8">
        <f t="shared" si="14"/>
        <v>-7.58</v>
      </c>
      <c r="Y410" s="8">
        <f t="shared" si="15"/>
        <v>114.65</v>
      </c>
    </row>
    <row r="411">
      <c r="A411" s="2">
        <v>404.0</v>
      </c>
      <c r="B411" s="15">
        <f>IFERROR(__xludf.DUMMYFUNCTION("""COMPUTED_VALUE"""),42969.64583333333)</f>
        <v>42969.64583</v>
      </c>
      <c r="C411" s="8">
        <f>IFERROR(__xludf.DUMMYFUNCTION("""COMPUTED_VALUE"""),1750.4)</f>
        <v>1750.4</v>
      </c>
      <c r="E411" s="15">
        <f>IFERROR(__xludf.DUMMYFUNCTION("""COMPUTED_VALUE"""),42969.64583333333)</f>
        <v>42969.64583</v>
      </c>
      <c r="F411" s="8">
        <f>IFERROR(__xludf.DUMMYFUNCTION("""COMPUTED_VALUE"""),873.5)</f>
        <v>873.5</v>
      </c>
      <c r="H411" s="4">
        <f t="shared" si="1"/>
        <v>876.9</v>
      </c>
      <c r="I411" s="16">
        <f t="shared" si="2"/>
        <v>866.018</v>
      </c>
      <c r="J411" s="16">
        <f t="shared" si="3"/>
        <v>11.19429185</v>
      </c>
      <c r="K411" s="16">
        <f t="shared" si="4"/>
        <v>877.2122918</v>
      </c>
      <c r="L411" s="16">
        <f t="shared" si="5"/>
        <v>854.8237082</v>
      </c>
      <c r="N411" s="17" t="str">
        <f t="shared" si="6"/>
        <v>F</v>
      </c>
      <c r="O411" s="17" t="str">
        <f t="shared" si="7"/>
        <v>T</v>
      </c>
      <c r="P411" s="8">
        <f t="shared" si="8"/>
        <v>0</v>
      </c>
      <c r="R411" s="17" t="str">
        <f t="shared" si="9"/>
        <v>F</v>
      </c>
      <c r="S411" s="3" t="str">
        <f t="shared" si="10"/>
        <v>F</v>
      </c>
      <c r="T411" s="8">
        <f t="shared" si="11"/>
        <v>-1</v>
      </c>
      <c r="V411" s="4">
        <f t="shared" si="12"/>
        <v>-1</v>
      </c>
      <c r="W411" s="8">
        <f t="shared" si="13"/>
        <v>10.35</v>
      </c>
      <c r="X411" s="8">
        <f t="shared" si="14"/>
        <v>-10.35</v>
      </c>
      <c r="Y411" s="8">
        <f t="shared" si="15"/>
        <v>104.3</v>
      </c>
    </row>
    <row r="412">
      <c r="A412" s="2">
        <v>405.0</v>
      </c>
      <c r="B412" s="15">
        <f>IFERROR(__xludf.DUMMYFUNCTION("""COMPUTED_VALUE"""),42970.64583333333)</f>
        <v>42970.64583</v>
      </c>
      <c r="C412" s="8">
        <f>IFERROR(__xludf.DUMMYFUNCTION("""COMPUTED_VALUE"""),1765.25)</f>
        <v>1765.25</v>
      </c>
      <c r="E412" s="15">
        <f>IFERROR(__xludf.DUMMYFUNCTION("""COMPUTED_VALUE"""),42970.64583333333)</f>
        <v>42970.64583</v>
      </c>
      <c r="F412" s="8">
        <f>IFERROR(__xludf.DUMMYFUNCTION("""COMPUTED_VALUE"""),886.23)</f>
        <v>886.23</v>
      </c>
      <c r="H412" s="4">
        <f t="shared" si="1"/>
        <v>879.02</v>
      </c>
      <c r="I412" s="16">
        <f t="shared" si="2"/>
        <v>871.598</v>
      </c>
      <c r="J412" s="16">
        <f t="shared" si="3"/>
        <v>8.55377519</v>
      </c>
      <c r="K412" s="16">
        <f t="shared" si="4"/>
        <v>880.1517752</v>
      </c>
      <c r="L412" s="16">
        <f t="shared" si="5"/>
        <v>863.0442248</v>
      </c>
      <c r="N412" s="17" t="str">
        <f t="shared" si="6"/>
        <v>F</v>
      </c>
      <c r="O412" s="17" t="str">
        <f t="shared" si="7"/>
        <v>T</v>
      </c>
      <c r="P412" s="8">
        <f t="shared" si="8"/>
        <v>0</v>
      </c>
      <c r="R412" s="17" t="str">
        <f t="shared" si="9"/>
        <v>F</v>
      </c>
      <c r="S412" s="3" t="str">
        <f t="shared" si="10"/>
        <v>F</v>
      </c>
      <c r="T412" s="8">
        <f t="shared" si="11"/>
        <v>-1</v>
      </c>
      <c r="V412" s="4">
        <f t="shared" si="12"/>
        <v>-1</v>
      </c>
      <c r="W412" s="8">
        <f t="shared" si="13"/>
        <v>2.12</v>
      </c>
      <c r="X412" s="8">
        <f t="shared" si="14"/>
        <v>-2.12</v>
      </c>
      <c r="Y412" s="8">
        <f t="shared" si="15"/>
        <v>102.18</v>
      </c>
    </row>
    <row r="413">
      <c r="A413" s="2">
        <v>406.0</v>
      </c>
      <c r="B413" s="15">
        <f>IFERROR(__xludf.DUMMYFUNCTION("""COMPUTED_VALUE"""),42971.64583333333)</f>
        <v>42971.64583</v>
      </c>
      <c r="C413" s="8">
        <f>IFERROR(__xludf.DUMMYFUNCTION("""COMPUTED_VALUE"""),1757.35)</f>
        <v>1757.35</v>
      </c>
      <c r="E413" s="15">
        <f>IFERROR(__xludf.DUMMYFUNCTION("""COMPUTED_VALUE"""),42971.64583333333)</f>
        <v>42971.64583</v>
      </c>
      <c r="F413" s="8">
        <f>IFERROR(__xludf.DUMMYFUNCTION("""COMPUTED_VALUE"""),881.25)</f>
        <v>881.25</v>
      </c>
      <c r="H413" s="4">
        <f t="shared" si="1"/>
        <v>876.1</v>
      </c>
      <c r="I413" s="16">
        <f t="shared" si="2"/>
        <v>871.508</v>
      </c>
      <c r="J413" s="16">
        <f t="shared" si="3"/>
        <v>8.490781472</v>
      </c>
      <c r="K413" s="16">
        <f t="shared" si="4"/>
        <v>879.9987815</v>
      </c>
      <c r="L413" s="16">
        <f t="shared" si="5"/>
        <v>863.0172185</v>
      </c>
      <c r="N413" s="17" t="str">
        <f t="shared" si="6"/>
        <v>F</v>
      </c>
      <c r="O413" s="17" t="str">
        <f t="shared" si="7"/>
        <v>T</v>
      </c>
      <c r="P413" s="8">
        <f t="shared" si="8"/>
        <v>0</v>
      </c>
      <c r="R413" s="17" t="str">
        <f t="shared" si="9"/>
        <v>F</v>
      </c>
      <c r="S413" s="3" t="str">
        <f t="shared" si="10"/>
        <v>F</v>
      </c>
      <c r="T413" s="8">
        <f t="shared" si="11"/>
        <v>-1</v>
      </c>
      <c r="V413" s="4">
        <f t="shared" si="12"/>
        <v>-1</v>
      </c>
      <c r="W413" s="8">
        <f t="shared" si="13"/>
        <v>-2.92</v>
      </c>
      <c r="X413" s="8">
        <f t="shared" si="14"/>
        <v>2.92</v>
      </c>
      <c r="Y413" s="8">
        <f t="shared" si="15"/>
        <v>105.1</v>
      </c>
    </row>
    <row r="414">
      <c r="A414" s="2">
        <v>407.0</v>
      </c>
      <c r="B414" s="15">
        <f>IFERROR(__xludf.DUMMYFUNCTION("""COMPUTED_VALUE"""),42975.64583333333)</f>
        <v>42975.64583</v>
      </c>
      <c r="C414" s="8">
        <f>IFERROR(__xludf.DUMMYFUNCTION("""COMPUTED_VALUE"""),1766.45)</f>
        <v>1766.45</v>
      </c>
      <c r="E414" s="15">
        <f>IFERROR(__xludf.DUMMYFUNCTION("""COMPUTED_VALUE"""),42975.64583333333)</f>
        <v>42975.64583</v>
      </c>
      <c r="F414" s="8">
        <f>IFERROR(__xludf.DUMMYFUNCTION("""COMPUTED_VALUE"""),881.13)</f>
        <v>881.13</v>
      </c>
      <c r="H414" s="4">
        <f t="shared" si="1"/>
        <v>885.32</v>
      </c>
      <c r="I414" s="16">
        <f t="shared" si="2"/>
        <v>876.778</v>
      </c>
      <c r="J414" s="16">
        <f t="shared" si="3"/>
        <v>6.765332217</v>
      </c>
      <c r="K414" s="16">
        <f t="shared" si="4"/>
        <v>883.5433322</v>
      </c>
      <c r="L414" s="16">
        <f t="shared" si="5"/>
        <v>870.0126678</v>
      </c>
      <c r="N414" s="17" t="str">
        <f t="shared" si="6"/>
        <v>F</v>
      </c>
      <c r="O414" s="17" t="str">
        <f t="shared" si="7"/>
        <v>T</v>
      </c>
      <c r="P414" s="8">
        <f t="shared" si="8"/>
        <v>0</v>
      </c>
      <c r="R414" s="17" t="str">
        <f t="shared" si="9"/>
        <v>T</v>
      </c>
      <c r="S414" s="3" t="str">
        <f t="shared" si="10"/>
        <v>F</v>
      </c>
      <c r="T414" s="8">
        <f t="shared" si="11"/>
        <v>-1</v>
      </c>
      <c r="V414" s="4">
        <f t="shared" si="12"/>
        <v>-1</v>
      </c>
      <c r="W414" s="8">
        <f t="shared" si="13"/>
        <v>9.22</v>
      </c>
      <c r="X414" s="8">
        <f t="shared" si="14"/>
        <v>-9.22</v>
      </c>
      <c r="Y414" s="8">
        <f t="shared" si="15"/>
        <v>95.88</v>
      </c>
    </row>
    <row r="415">
      <c r="A415" s="2">
        <v>408.0</v>
      </c>
      <c r="B415" s="15">
        <f>IFERROR(__xludf.DUMMYFUNCTION("""COMPUTED_VALUE"""),42976.64583333333)</f>
        <v>42976.64583</v>
      </c>
      <c r="C415" s="8">
        <f>IFERROR(__xludf.DUMMYFUNCTION("""COMPUTED_VALUE"""),1727.8)</f>
        <v>1727.8</v>
      </c>
      <c r="E415" s="15">
        <f>IFERROR(__xludf.DUMMYFUNCTION("""COMPUTED_VALUE"""),42976.64583333333)</f>
        <v>42976.64583</v>
      </c>
      <c r="F415" s="8">
        <f>IFERROR(__xludf.DUMMYFUNCTION("""COMPUTED_VALUE"""),873.08)</f>
        <v>873.08</v>
      </c>
      <c r="H415" s="4">
        <f t="shared" si="1"/>
        <v>854.72</v>
      </c>
      <c r="I415" s="16">
        <f t="shared" si="2"/>
        <v>874.412</v>
      </c>
      <c r="J415" s="16">
        <f t="shared" si="3"/>
        <v>11.58698062</v>
      </c>
      <c r="K415" s="16">
        <f t="shared" si="4"/>
        <v>885.9989806</v>
      </c>
      <c r="L415" s="16">
        <f t="shared" si="5"/>
        <v>862.8250194</v>
      </c>
      <c r="N415" s="17" t="str">
        <f t="shared" si="6"/>
        <v>T</v>
      </c>
      <c r="O415" s="17" t="str">
        <f t="shared" si="7"/>
        <v>F</v>
      </c>
      <c r="P415" s="8">
        <f t="shared" si="8"/>
        <v>1</v>
      </c>
      <c r="R415" s="17" t="str">
        <f t="shared" si="9"/>
        <v>F</v>
      </c>
      <c r="S415" s="3" t="str">
        <f t="shared" si="10"/>
        <v>T</v>
      </c>
      <c r="T415" s="8">
        <f t="shared" si="11"/>
        <v>0</v>
      </c>
      <c r="V415" s="4">
        <f t="shared" si="12"/>
        <v>1</v>
      </c>
      <c r="W415" s="8">
        <f t="shared" si="13"/>
        <v>-30.6</v>
      </c>
      <c r="X415" s="8">
        <f t="shared" si="14"/>
        <v>30.6</v>
      </c>
      <c r="Y415" s="8">
        <f t="shared" si="15"/>
        <v>126.48</v>
      </c>
    </row>
    <row r="416">
      <c r="A416" s="2">
        <v>409.0</v>
      </c>
      <c r="B416" s="15">
        <f>IFERROR(__xludf.DUMMYFUNCTION("""COMPUTED_VALUE"""),42977.64583333333)</f>
        <v>42977.64583</v>
      </c>
      <c r="C416" s="8">
        <f>IFERROR(__xludf.DUMMYFUNCTION("""COMPUTED_VALUE"""),1759.05)</f>
        <v>1759.05</v>
      </c>
      <c r="E416" s="15">
        <f>IFERROR(__xludf.DUMMYFUNCTION("""COMPUTED_VALUE"""),42977.64583333333)</f>
        <v>42977.64583</v>
      </c>
      <c r="F416" s="8">
        <f>IFERROR(__xludf.DUMMYFUNCTION("""COMPUTED_VALUE"""),884.28)</f>
        <v>884.28</v>
      </c>
      <c r="H416" s="4">
        <f t="shared" si="1"/>
        <v>874.77</v>
      </c>
      <c r="I416" s="16">
        <f t="shared" si="2"/>
        <v>873.986</v>
      </c>
      <c r="J416" s="16">
        <f t="shared" si="3"/>
        <v>11.51154985</v>
      </c>
      <c r="K416" s="16">
        <f t="shared" si="4"/>
        <v>885.4975499</v>
      </c>
      <c r="L416" s="16">
        <f t="shared" si="5"/>
        <v>862.4744501</v>
      </c>
      <c r="N416" s="17" t="str">
        <f t="shared" si="6"/>
        <v>F</v>
      </c>
      <c r="O416" s="17" t="str">
        <f t="shared" si="7"/>
        <v>T</v>
      </c>
      <c r="P416" s="8">
        <f t="shared" si="8"/>
        <v>0</v>
      </c>
      <c r="R416" s="17" t="str">
        <f t="shared" si="9"/>
        <v>F</v>
      </c>
      <c r="S416" s="3" t="str">
        <f t="shared" si="10"/>
        <v>F</v>
      </c>
      <c r="T416" s="8">
        <f t="shared" si="11"/>
        <v>0</v>
      </c>
      <c r="V416" s="4">
        <f t="shared" si="12"/>
        <v>0</v>
      </c>
      <c r="W416" s="8">
        <f t="shared" si="13"/>
        <v>20.05</v>
      </c>
      <c r="X416" s="8">
        <f t="shared" si="14"/>
        <v>20.05</v>
      </c>
      <c r="Y416" s="8">
        <f t="shared" si="15"/>
        <v>146.53</v>
      </c>
    </row>
    <row r="417">
      <c r="A417" s="2">
        <v>410.0</v>
      </c>
      <c r="B417" s="15">
        <f>IFERROR(__xludf.DUMMYFUNCTION("""COMPUTED_VALUE"""),42978.64583333333)</f>
        <v>42978.64583</v>
      </c>
      <c r="C417" s="8">
        <f>IFERROR(__xludf.DUMMYFUNCTION("""COMPUTED_VALUE"""),1776.9)</f>
        <v>1776.9</v>
      </c>
      <c r="E417" s="15">
        <f>IFERROR(__xludf.DUMMYFUNCTION("""COMPUTED_VALUE"""),42978.64583333333)</f>
        <v>42978.64583</v>
      </c>
      <c r="F417" s="8">
        <f>IFERROR(__xludf.DUMMYFUNCTION("""COMPUTED_VALUE"""),888.23)</f>
        <v>888.23</v>
      </c>
      <c r="H417" s="4">
        <f t="shared" si="1"/>
        <v>888.67</v>
      </c>
      <c r="I417" s="16">
        <f t="shared" si="2"/>
        <v>875.916</v>
      </c>
      <c r="J417" s="16">
        <f t="shared" si="3"/>
        <v>13.24497376</v>
      </c>
      <c r="K417" s="16">
        <f t="shared" si="4"/>
        <v>889.1609738</v>
      </c>
      <c r="L417" s="16">
        <f t="shared" si="5"/>
        <v>862.6710262</v>
      </c>
      <c r="N417" s="17" t="str">
        <f t="shared" si="6"/>
        <v>F</v>
      </c>
      <c r="O417" s="17" t="str">
        <f t="shared" si="7"/>
        <v>T</v>
      </c>
      <c r="P417" s="8">
        <f t="shared" si="8"/>
        <v>0</v>
      </c>
      <c r="R417" s="17" t="str">
        <f t="shared" si="9"/>
        <v>F</v>
      </c>
      <c r="S417" s="3" t="str">
        <f t="shared" si="10"/>
        <v>F</v>
      </c>
      <c r="T417" s="8">
        <f t="shared" si="11"/>
        <v>0</v>
      </c>
      <c r="V417" s="4">
        <f t="shared" si="12"/>
        <v>0</v>
      </c>
      <c r="W417" s="8">
        <f t="shared" si="13"/>
        <v>13.9</v>
      </c>
      <c r="X417" s="8">
        <f t="shared" si="14"/>
        <v>0</v>
      </c>
      <c r="Y417" s="8">
        <f t="shared" si="15"/>
        <v>146.53</v>
      </c>
    </row>
    <row r="418">
      <c r="A418" s="2">
        <v>411.0</v>
      </c>
      <c r="B418" s="15">
        <f>IFERROR(__xludf.DUMMYFUNCTION("""COMPUTED_VALUE"""),42979.64583333333)</f>
        <v>42979.64583</v>
      </c>
      <c r="C418" s="8">
        <f>IFERROR(__xludf.DUMMYFUNCTION("""COMPUTED_VALUE"""),1759.55)</f>
        <v>1759.55</v>
      </c>
      <c r="E418" s="15">
        <f>IFERROR(__xludf.DUMMYFUNCTION("""COMPUTED_VALUE"""),42979.64583333333)</f>
        <v>42979.64583</v>
      </c>
      <c r="F418" s="8">
        <f>IFERROR(__xludf.DUMMYFUNCTION("""COMPUTED_VALUE"""),883.8)</f>
        <v>883.8</v>
      </c>
      <c r="H418" s="4">
        <f t="shared" si="1"/>
        <v>875.75</v>
      </c>
      <c r="I418" s="16">
        <f t="shared" si="2"/>
        <v>875.846</v>
      </c>
      <c r="J418" s="16">
        <f t="shared" si="3"/>
        <v>13.24468308</v>
      </c>
      <c r="K418" s="16">
        <f t="shared" si="4"/>
        <v>889.0906831</v>
      </c>
      <c r="L418" s="16">
        <f t="shared" si="5"/>
        <v>862.6013169</v>
      </c>
      <c r="N418" s="17" t="str">
        <f t="shared" si="6"/>
        <v>F</v>
      </c>
      <c r="O418" s="17" t="str">
        <f t="shared" si="7"/>
        <v>F</v>
      </c>
      <c r="P418" s="8">
        <f t="shared" si="8"/>
        <v>0</v>
      </c>
      <c r="R418" s="17" t="str">
        <f t="shared" si="9"/>
        <v>F</v>
      </c>
      <c r="S418" s="3" t="str">
        <f t="shared" si="10"/>
        <v>T</v>
      </c>
      <c r="T418" s="8">
        <f t="shared" si="11"/>
        <v>0</v>
      </c>
      <c r="V418" s="4">
        <f t="shared" si="12"/>
        <v>0</v>
      </c>
      <c r="W418" s="8">
        <f t="shared" si="13"/>
        <v>-12.92</v>
      </c>
      <c r="X418" s="8">
        <f t="shared" si="14"/>
        <v>0</v>
      </c>
      <c r="Y418" s="8">
        <f t="shared" si="15"/>
        <v>146.53</v>
      </c>
    </row>
    <row r="419">
      <c r="A419" s="2">
        <v>412.0</v>
      </c>
      <c r="B419" s="15">
        <f>IFERROR(__xludf.DUMMYFUNCTION("""COMPUTED_VALUE"""),42982.64583333333)</f>
        <v>42982.64583</v>
      </c>
      <c r="C419" s="8">
        <f>IFERROR(__xludf.DUMMYFUNCTION("""COMPUTED_VALUE"""),1755.4)</f>
        <v>1755.4</v>
      </c>
      <c r="E419" s="15">
        <f>IFERROR(__xludf.DUMMYFUNCTION("""COMPUTED_VALUE"""),42982.64583333333)</f>
        <v>42982.64583</v>
      </c>
      <c r="F419" s="8">
        <f>IFERROR(__xludf.DUMMYFUNCTION("""COMPUTED_VALUE"""),875.45)</f>
        <v>875.45</v>
      </c>
      <c r="H419" s="4">
        <f t="shared" si="1"/>
        <v>879.95</v>
      </c>
      <c r="I419" s="16">
        <f t="shared" si="2"/>
        <v>874.772</v>
      </c>
      <c r="J419" s="16">
        <f t="shared" si="3"/>
        <v>12.48003686</v>
      </c>
      <c r="K419" s="16">
        <f t="shared" si="4"/>
        <v>887.2520369</v>
      </c>
      <c r="L419" s="16">
        <f t="shared" si="5"/>
        <v>862.2919631</v>
      </c>
      <c r="N419" s="17" t="str">
        <f t="shared" si="6"/>
        <v>F</v>
      </c>
      <c r="O419" s="17" t="str">
        <f t="shared" si="7"/>
        <v>T</v>
      </c>
      <c r="P419" s="8">
        <f t="shared" si="8"/>
        <v>0</v>
      </c>
      <c r="R419" s="17" t="str">
        <f t="shared" si="9"/>
        <v>F</v>
      </c>
      <c r="S419" s="3" t="str">
        <f t="shared" si="10"/>
        <v>F</v>
      </c>
      <c r="T419" s="8">
        <f t="shared" si="11"/>
        <v>0</v>
      </c>
      <c r="V419" s="4">
        <f t="shared" si="12"/>
        <v>0</v>
      </c>
      <c r="W419" s="8">
        <f t="shared" si="13"/>
        <v>4.2</v>
      </c>
      <c r="X419" s="8">
        <f t="shared" si="14"/>
        <v>0</v>
      </c>
      <c r="Y419" s="8">
        <f t="shared" si="15"/>
        <v>146.53</v>
      </c>
    </row>
    <row r="420">
      <c r="A420" s="2">
        <v>413.0</v>
      </c>
      <c r="B420" s="15">
        <f>IFERROR(__xludf.DUMMYFUNCTION("""COMPUTED_VALUE"""),42983.64583333333)</f>
        <v>42983.64583</v>
      </c>
      <c r="C420" s="8">
        <f>IFERROR(__xludf.DUMMYFUNCTION("""COMPUTED_VALUE"""),1767.3)</f>
        <v>1767.3</v>
      </c>
      <c r="E420" s="15">
        <f>IFERROR(__xludf.DUMMYFUNCTION("""COMPUTED_VALUE"""),42983.64583333333)</f>
        <v>42983.64583</v>
      </c>
      <c r="F420" s="8">
        <f>IFERROR(__xludf.DUMMYFUNCTION("""COMPUTED_VALUE"""),877.68)</f>
        <v>877.68</v>
      </c>
      <c r="H420" s="4">
        <f t="shared" si="1"/>
        <v>889.62</v>
      </c>
      <c r="I420" s="16">
        <f t="shared" si="2"/>
        <v>881.752</v>
      </c>
      <c r="J420" s="16">
        <f t="shared" si="3"/>
        <v>7.031779291</v>
      </c>
      <c r="K420" s="16">
        <f t="shared" si="4"/>
        <v>888.7837793</v>
      </c>
      <c r="L420" s="16">
        <f t="shared" si="5"/>
        <v>874.7202207</v>
      </c>
      <c r="N420" s="17" t="str">
        <f t="shared" si="6"/>
        <v>F</v>
      </c>
      <c r="O420" s="17" t="str">
        <f t="shared" si="7"/>
        <v>T</v>
      </c>
      <c r="P420" s="8">
        <f t="shared" si="8"/>
        <v>0</v>
      </c>
      <c r="R420" s="17" t="str">
        <f t="shared" si="9"/>
        <v>T</v>
      </c>
      <c r="S420" s="3" t="str">
        <f t="shared" si="10"/>
        <v>F</v>
      </c>
      <c r="T420" s="8">
        <f t="shared" si="11"/>
        <v>-1</v>
      </c>
      <c r="V420" s="4">
        <f t="shared" si="12"/>
        <v>-1</v>
      </c>
      <c r="W420" s="8">
        <f t="shared" si="13"/>
        <v>9.67</v>
      </c>
      <c r="X420" s="8">
        <f t="shared" si="14"/>
        <v>0</v>
      </c>
      <c r="Y420" s="8">
        <f t="shared" si="15"/>
        <v>146.53</v>
      </c>
    </row>
    <row r="421">
      <c r="A421" s="2">
        <v>414.0</v>
      </c>
      <c r="B421" s="15">
        <f>IFERROR(__xludf.DUMMYFUNCTION("""COMPUTED_VALUE"""),42984.64583333333)</f>
        <v>42984.64583</v>
      </c>
      <c r="C421" s="8">
        <f>IFERROR(__xludf.DUMMYFUNCTION("""COMPUTED_VALUE"""),1775.0)</f>
        <v>1775</v>
      </c>
      <c r="E421" s="15">
        <f>IFERROR(__xludf.DUMMYFUNCTION("""COMPUTED_VALUE"""),42984.64583333333)</f>
        <v>42984.64583</v>
      </c>
      <c r="F421" s="8">
        <f>IFERROR(__xludf.DUMMYFUNCTION("""COMPUTED_VALUE"""),879.95)</f>
        <v>879.95</v>
      </c>
      <c r="H421" s="4">
        <f t="shared" si="1"/>
        <v>895.05</v>
      </c>
      <c r="I421" s="16">
        <f t="shared" si="2"/>
        <v>885.808</v>
      </c>
      <c r="J421" s="16">
        <f t="shared" si="3"/>
        <v>7.804109174</v>
      </c>
      <c r="K421" s="16">
        <f t="shared" si="4"/>
        <v>893.6121092</v>
      </c>
      <c r="L421" s="16">
        <f t="shared" si="5"/>
        <v>878.0038908</v>
      </c>
      <c r="N421" s="17" t="str">
        <f t="shared" si="6"/>
        <v>F</v>
      </c>
      <c r="O421" s="17" t="str">
        <f t="shared" si="7"/>
        <v>T</v>
      </c>
      <c r="P421" s="8">
        <f t="shared" si="8"/>
        <v>0</v>
      </c>
      <c r="R421" s="17" t="str">
        <f t="shared" si="9"/>
        <v>T</v>
      </c>
      <c r="S421" s="3" t="str">
        <f t="shared" si="10"/>
        <v>F</v>
      </c>
      <c r="T421" s="8">
        <f t="shared" si="11"/>
        <v>-1</v>
      </c>
      <c r="V421" s="4">
        <f t="shared" si="12"/>
        <v>-1</v>
      </c>
      <c r="W421" s="8">
        <f t="shared" si="13"/>
        <v>5.43</v>
      </c>
      <c r="X421" s="8">
        <f t="shared" si="14"/>
        <v>-5.43</v>
      </c>
      <c r="Y421" s="8">
        <f t="shared" si="15"/>
        <v>141.1</v>
      </c>
    </row>
    <row r="422">
      <c r="A422" s="2">
        <v>415.0</v>
      </c>
      <c r="B422" s="15">
        <f>IFERROR(__xludf.DUMMYFUNCTION("""COMPUTED_VALUE"""),42985.64583333333)</f>
        <v>42985.64583</v>
      </c>
      <c r="C422" s="8">
        <f>IFERROR(__xludf.DUMMYFUNCTION("""COMPUTED_VALUE"""),1781.7)</f>
        <v>1781.7</v>
      </c>
      <c r="E422" s="15">
        <f>IFERROR(__xludf.DUMMYFUNCTION("""COMPUTED_VALUE"""),42985.64583333333)</f>
        <v>42985.64583</v>
      </c>
      <c r="F422" s="8">
        <f>IFERROR(__xludf.DUMMYFUNCTION("""COMPUTED_VALUE"""),883.28)</f>
        <v>883.28</v>
      </c>
      <c r="H422" s="4">
        <f t="shared" si="1"/>
        <v>898.42</v>
      </c>
      <c r="I422" s="16">
        <f t="shared" si="2"/>
        <v>887.758</v>
      </c>
      <c r="J422" s="16">
        <f t="shared" si="3"/>
        <v>9.688594841</v>
      </c>
      <c r="K422" s="16">
        <f t="shared" si="4"/>
        <v>897.4465948</v>
      </c>
      <c r="L422" s="16">
        <f t="shared" si="5"/>
        <v>878.0694052</v>
      </c>
      <c r="N422" s="17" t="str">
        <f t="shared" si="6"/>
        <v>F</v>
      </c>
      <c r="O422" s="17" t="str">
        <f t="shared" si="7"/>
        <v>T</v>
      </c>
      <c r="P422" s="8">
        <f t="shared" si="8"/>
        <v>0</v>
      </c>
      <c r="R422" s="17" t="str">
        <f t="shared" si="9"/>
        <v>T</v>
      </c>
      <c r="S422" s="3" t="str">
        <f t="shared" si="10"/>
        <v>F</v>
      </c>
      <c r="T422" s="8">
        <f t="shared" si="11"/>
        <v>-1</v>
      </c>
      <c r="V422" s="4">
        <f t="shared" si="12"/>
        <v>-1</v>
      </c>
      <c r="W422" s="8">
        <f t="shared" si="13"/>
        <v>3.37</v>
      </c>
      <c r="X422" s="8">
        <f t="shared" si="14"/>
        <v>-3.37</v>
      </c>
      <c r="Y422" s="8">
        <f t="shared" si="15"/>
        <v>137.73</v>
      </c>
    </row>
    <row r="423">
      <c r="A423" s="2">
        <v>416.0</v>
      </c>
      <c r="B423" s="15">
        <f>IFERROR(__xludf.DUMMYFUNCTION("""COMPUTED_VALUE"""),42986.64583333333)</f>
        <v>42986.64583</v>
      </c>
      <c r="C423" s="8">
        <f>IFERROR(__xludf.DUMMYFUNCTION("""COMPUTED_VALUE"""),1779.15)</f>
        <v>1779.15</v>
      </c>
      <c r="E423" s="15">
        <f>IFERROR(__xludf.DUMMYFUNCTION("""COMPUTED_VALUE"""),42986.64583333333)</f>
        <v>42986.64583</v>
      </c>
      <c r="F423" s="8">
        <f>IFERROR(__xludf.DUMMYFUNCTION("""COMPUTED_VALUE"""),893.83)</f>
        <v>893.83</v>
      </c>
      <c r="H423" s="4">
        <f t="shared" si="1"/>
        <v>885.32</v>
      </c>
      <c r="I423" s="16">
        <f t="shared" si="2"/>
        <v>889.672</v>
      </c>
      <c r="J423" s="16">
        <f t="shared" si="3"/>
        <v>7.397808459</v>
      </c>
      <c r="K423" s="16">
        <f t="shared" si="4"/>
        <v>897.0698085</v>
      </c>
      <c r="L423" s="16">
        <f t="shared" si="5"/>
        <v>882.2741915</v>
      </c>
      <c r="N423" s="17" t="str">
        <f t="shared" si="6"/>
        <v>F</v>
      </c>
      <c r="O423" s="17" t="str">
        <f t="shared" si="7"/>
        <v>F</v>
      </c>
      <c r="P423" s="8">
        <f t="shared" si="8"/>
        <v>0</v>
      </c>
      <c r="R423" s="17" t="str">
        <f t="shared" si="9"/>
        <v>F</v>
      </c>
      <c r="S423" s="3" t="str">
        <f t="shared" si="10"/>
        <v>T</v>
      </c>
      <c r="T423" s="8">
        <f t="shared" si="11"/>
        <v>0</v>
      </c>
      <c r="V423" s="4">
        <f t="shared" si="12"/>
        <v>0</v>
      </c>
      <c r="W423" s="8">
        <f t="shared" si="13"/>
        <v>-13.1</v>
      </c>
      <c r="X423" s="8">
        <f t="shared" si="14"/>
        <v>13.1</v>
      </c>
      <c r="Y423" s="8">
        <f t="shared" si="15"/>
        <v>150.83</v>
      </c>
    </row>
    <row r="424">
      <c r="A424" s="2">
        <v>417.0</v>
      </c>
      <c r="B424" s="15">
        <f>IFERROR(__xludf.DUMMYFUNCTION("""COMPUTED_VALUE"""),42989.64583333333)</f>
        <v>42989.64583</v>
      </c>
      <c r="C424" s="8">
        <f>IFERROR(__xludf.DUMMYFUNCTION("""COMPUTED_VALUE"""),1781.7)</f>
        <v>1781.7</v>
      </c>
      <c r="E424" s="15">
        <f>IFERROR(__xludf.DUMMYFUNCTION("""COMPUTED_VALUE"""),42989.64583333333)</f>
        <v>42989.64583</v>
      </c>
      <c r="F424" s="8">
        <f>IFERROR(__xludf.DUMMYFUNCTION("""COMPUTED_VALUE"""),911.68)</f>
        <v>911.68</v>
      </c>
      <c r="H424" s="4">
        <f t="shared" si="1"/>
        <v>870.02</v>
      </c>
      <c r="I424" s="16">
        <f t="shared" si="2"/>
        <v>887.686</v>
      </c>
      <c r="J424" s="16">
        <f t="shared" si="3"/>
        <v>11.07782831</v>
      </c>
      <c r="K424" s="16">
        <f t="shared" si="4"/>
        <v>898.7638283</v>
      </c>
      <c r="L424" s="16">
        <f t="shared" si="5"/>
        <v>876.6081717</v>
      </c>
      <c r="N424" s="17" t="str">
        <f t="shared" si="6"/>
        <v>T</v>
      </c>
      <c r="O424" s="17" t="str">
        <f t="shared" si="7"/>
        <v>F</v>
      </c>
      <c r="P424" s="8">
        <f t="shared" si="8"/>
        <v>1</v>
      </c>
      <c r="R424" s="17" t="str">
        <f t="shared" si="9"/>
        <v>F</v>
      </c>
      <c r="S424" s="3" t="str">
        <f t="shared" si="10"/>
        <v>T</v>
      </c>
      <c r="T424" s="8">
        <f t="shared" si="11"/>
        <v>0</v>
      </c>
      <c r="V424" s="4">
        <f t="shared" si="12"/>
        <v>1</v>
      </c>
      <c r="W424" s="8">
        <f t="shared" si="13"/>
        <v>-15.3</v>
      </c>
      <c r="X424" s="8">
        <f t="shared" si="14"/>
        <v>0</v>
      </c>
      <c r="Y424" s="8">
        <f t="shared" si="15"/>
        <v>150.83</v>
      </c>
    </row>
    <row r="425">
      <c r="A425" s="2">
        <v>418.0</v>
      </c>
      <c r="B425" s="15">
        <f>IFERROR(__xludf.DUMMYFUNCTION("""COMPUTED_VALUE"""),42990.64583333333)</f>
        <v>42990.64583</v>
      </c>
      <c r="C425" s="8">
        <f>IFERROR(__xludf.DUMMYFUNCTION("""COMPUTED_VALUE"""),1798.1)</f>
        <v>1798.1</v>
      </c>
      <c r="E425" s="15">
        <f>IFERROR(__xludf.DUMMYFUNCTION("""COMPUTED_VALUE"""),42990.64583333333)</f>
        <v>42990.64583</v>
      </c>
      <c r="F425" s="8">
        <f>IFERROR(__xludf.DUMMYFUNCTION("""COMPUTED_VALUE"""),917.6)</f>
        <v>917.6</v>
      </c>
      <c r="H425" s="4">
        <f t="shared" si="1"/>
        <v>880.5</v>
      </c>
      <c r="I425" s="16">
        <f t="shared" si="2"/>
        <v>885.862</v>
      </c>
      <c r="J425" s="16">
        <f t="shared" si="3"/>
        <v>11.42515295</v>
      </c>
      <c r="K425" s="16">
        <f t="shared" si="4"/>
        <v>897.287153</v>
      </c>
      <c r="L425" s="16">
        <f t="shared" si="5"/>
        <v>874.436847</v>
      </c>
      <c r="N425" s="17" t="str">
        <f t="shared" si="6"/>
        <v>F</v>
      </c>
      <c r="O425" s="17" t="str">
        <f t="shared" si="7"/>
        <v>F</v>
      </c>
      <c r="P425" s="8">
        <f t="shared" si="8"/>
        <v>1</v>
      </c>
      <c r="R425" s="17" t="str">
        <f t="shared" si="9"/>
        <v>F</v>
      </c>
      <c r="S425" s="3" t="str">
        <f t="shared" si="10"/>
        <v>T</v>
      </c>
      <c r="T425" s="8">
        <f t="shared" si="11"/>
        <v>0</v>
      </c>
      <c r="V425" s="4">
        <f t="shared" si="12"/>
        <v>1</v>
      </c>
      <c r="W425" s="8">
        <f t="shared" si="13"/>
        <v>10.48</v>
      </c>
      <c r="X425" s="8">
        <f t="shared" si="14"/>
        <v>10.48</v>
      </c>
      <c r="Y425" s="8">
        <f t="shared" si="15"/>
        <v>161.31</v>
      </c>
    </row>
    <row r="426">
      <c r="A426" s="2">
        <v>419.0</v>
      </c>
      <c r="B426" s="15">
        <f>IFERROR(__xludf.DUMMYFUNCTION("""COMPUTED_VALUE"""),42991.64583333333)</f>
        <v>42991.64583</v>
      </c>
      <c r="C426" s="8">
        <f>IFERROR(__xludf.DUMMYFUNCTION("""COMPUTED_VALUE"""),1778.1)</f>
        <v>1778.1</v>
      </c>
      <c r="E426" s="15">
        <f>IFERROR(__xludf.DUMMYFUNCTION("""COMPUTED_VALUE"""),42991.64583333333)</f>
        <v>42991.64583</v>
      </c>
      <c r="F426" s="8">
        <f>IFERROR(__xludf.DUMMYFUNCTION("""COMPUTED_VALUE"""),920.93)</f>
        <v>920.93</v>
      </c>
      <c r="H426" s="4">
        <f t="shared" si="1"/>
        <v>857.17</v>
      </c>
      <c r="I426" s="16">
        <f t="shared" si="2"/>
        <v>878.286</v>
      </c>
      <c r="J426" s="16">
        <f t="shared" si="3"/>
        <v>15.60423917</v>
      </c>
      <c r="K426" s="16">
        <f t="shared" si="4"/>
        <v>893.8902392</v>
      </c>
      <c r="L426" s="16">
        <f t="shared" si="5"/>
        <v>862.6817608</v>
      </c>
      <c r="N426" s="17" t="str">
        <f t="shared" si="6"/>
        <v>T</v>
      </c>
      <c r="O426" s="17" t="str">
        <f t="shared" si="7"/>
        <v>F</v>
      </c>
      <c r="P426" s="8">
        <f t="shared" si="8"/>
        <v>1</v>
      </c>
      <c r="R426" s="17" t="str">
        <f t="shared" si="9"/>
        <v>F</v>
      </c>
      <c r="S426" s="3" t="str">
        <f t="shared" si="10"/>
        <v>T</v>
      </c>
      <c r="T426" s="8">
        <f t="shared" si="11"/>
        <v>0</v>
      </c>
      <c r="V426" s="4">
        <f t="shared" si="12"/>
        <v>1</v>
      </c>
      <c r="W426" s="8">
        <f t="shared" si="13"/>
        <v>-23.33</v>
      </c>
      <c r="X426" s="8">
        <f t="shared" si="14"/>
        <v>-23.33</v>
      </c>
      <c r="Y426" s="8">
        <f t="shared" si="15"/>
        <v>137.98</v>
      </c>
    </row>
    <row r="427">
      <c r="A427" s="2">
        <v>420.0</v>
      </c>
      <c r="B427" s="15">
        <f>IFERROR(__xludf.DUMMYFUNCTION("""COMPUTED_VALUE"""),42992.64583333333)</f>
        <v>42992.64583</v>
      </c>
      <c r="C427" s="8">
        <f>IFERROR(__xludf.DUMMYFUNCTION("""COMPUTED_VALUE"""),1771.8)</f>
        <v>1771.8</v>
      </c>
      <c r="E427" s="15">
        <f>IFERROR(__xludf.DUMMYFUNCTION("""COMPUTED_VALUE"""),42992.64583333333)</f>
        <v>42992.64583</v>
      </c>
      <c r="F427" s="8">
        <f>IFERROR(__xludf.DUMMYFUNCTION("""COMPUTED_VALUE"""),919.7)</f>
        <v>919.7</v>
      </c>
      <c r="H427" s="4">
        <f t="shared" si="1"/>
        <v>852.1</v>
      </c>
      <c r="I427" s="16">
        <f t="shared" si="2"/>
        <v>869.022</v>
      </c>
      <c r="J427" s="16">
        <f t="shared" si="3"/>
        <v>14.36305399</v>
      </c>
      <c r="K427" s="16">
        <f t="shared" si="4"/>
        <v>883.385054</v>
      </c>
      <c r="L427" s="16">
        <f t="shared" si="5"/>
        <v>854.658946</v>
      </c>
      <c r="N427" s="17" t="str">
        <f t="shared" si="6"/>
        <v>T</v>
      </c>
      <c r="O427" s="17" t="str">
        <f t="shared" si="7"/>
        <v>F</v>
      </c>
      <c r="P427" s="8">
        <f t="shared" si="8"/>
        <v>1</v>
      </c>
      <c r="R427" s="17" t="str">
        <f t="shared" si="9"/>
        <v>F</v>
      </c>
      <c r="S427" s="3" t="str">
        <f t="shared" si="10"/>
        <v>T</v>
      </c>
      <c r="T427" s="8">
        <f t="shared" si="11"/>
        <v>0</v>
      </c>
      <c r="V427" s="4">
        <f t="shared" si="12"/>
        <v>1</v>
      </c>
      <c r="W427" s="8">
        <f t="shared" si="13"/>
        <v>-5.07</v>
      </c>
      <c r="X427" s="8">
        <f t="shared" si="14"/>
        <v>-5.07</v>
      </c>
      <c r="Y427" s="8">
        <f t="shared" si="15"/>
        <v>132.91</v>
      </c>
    </row>
    <row r="428">
      <c r="A428" s="2">
        <v>421.0</v>
      </c>
      <c r="B428" s="15">
        <f>IFERROR(__xludf.DUMMYFUNCTION("""COMPUTED_VALUE"""),42993.64583333333)</f>
        <v>42993.64583</v>
      </c>
      <c r="C428" s="8">
        <f>IFERROR(__xludf.DUMMYFUNCTION("""COMPUTED_VALUE"""),1768.95)</f>
        <v>1768.95</v>
      </c>
      <c r="E428" s="15">
        <f>IFERROR(__xludf.DUMMYFUNCTION("""COMPUTED_VALUE"""),42993.64583333333)</f>
        <v>42993.64583</v>
      </c>
      <c r="F428" s="8">
        <f>IFERROR(__xludf.DUMMYFUNCTION("""COMPUTED_VALUE"""),924.48)</f>
        <v>924.48</v>
      </c>
      <c r="H428" s="4">
        <f t="shared" si="1"/>
        <v>844.47</v>
      </c>
      <c r="I428" s="16">
        <f t="shared" si="2"/>
        <v>860.852</v>
      </c>
      <c r="J428" s="16">
        <f t="shared" si="3"/>
        <v>14.39288609</v>
      </c>
      <c r="K428" s="16">
        <f t="shared" si="4"/>
        <v>875.2448861</v>
      </c>
      <c r="L428" s="16">
        <f t="shared" si="5"/>
        <v>846.4591139</v>
      </c>
      <c r="N428" s="17" t="str">
        <f t="shared" si="6"/>
        <v>T</v>
      </c>
      <c r="O428" s="17" t="str">
        <f t="shared" si="7"/>
        <v>F</v>
      </c>
      <c r="P428" s="8">
        <f t="shared" si="8"/>
        <v>1</v>
      </c>
      <c r="R428" s="17" t="str">
        <f t="shared" si="9"/>
        <v>F</v>
      </c>
      <c r="S428" s="3" t="str">
        <f t="shared" si="10"/>
        <v>T</v>
      </c>
      <c r="T428" s="8">
        <f t="shared" si="11"/>
        <v>0</v>
      </c>
      <c r="V428" s="4">
        <f t="shared" si="12"/>
        <v>1</v>
      </c>
      <c r="W428" s="8">
        <f t="shared" si="13"/>
        <v>-7.63</v>
      </c>
      <c r="X428" s="8">
        <f t="shared" si="14"/>
        <v>-7.63</v>
      </c>
      <c r="Y428" s="8">
        <f t="shared" si="15"/>
        <v>125.28</v>
      </c>
    </row>
    <row r="429">
      <c r="A429" s="2">
        <v>422.0</v>
      </c>
      <c r="B429" s="15">
        <f>IFERROR(__xludf.DUMMYFUNCTION("""COMPUTED_VALUE"""),42996.64583333333)</f>
        <v>42996.64583</v>
      </c>
      <c r="C429" s="8">
        <f>IFERROR(__xludf.DUMMYFUNCTION("""COMPUTED_VALUE"""),1771.75)</f>
        <v>1771.75</v>
      </c>
      <c r="E429" s="15">
        <f>IFERROR(__xludf.DUMMYFUNCTION("""COMPUTED_VALUE"""),42996.64583333333)</f>
        <v>42996.64583</v>
      </c>
      <c r="F429" s="8">
        <f>IFERROR(__xludf.DUMMYFUNCTION("""COMPUTED_VALUE"""),930.23)</f>
        <v>930.23</v>
      </c>
      <c r="H429" s="4">
        <f t="shared" si="1"/>
        <v>841.52</v>
      </c>
      <c r="I429" s="16">
        <f t="shared" si="2"/>
        <v>855.152</v>
      </c>
      <c r="J429" s="16">
        <f t="shared" si="3"/>
        <v>15.45836893</v>
      </c>
      <c r="K429" s="16">
        <f t="shared" si="4"/>
        <v>870.6103689</v>
      </c>
      <c r="L429" s="16">
        <f t="shared" si="5"/>
        <v>839.6936311</v>
      </c>
      <c r="N429" s="17" t="str">
        <f t="shared" si="6"/>
        <v>F</v>
      </c>
      <c r="O429" s="17" t="str">
        <f t="shared" si="7"/>
        <v>F</v>
      </c>
      <c r="P429" s="8">
        <f t="shared" si="8"/>
        <v>1</v>
      </c>
      <c r="R429" s="17" t="str">
        <f t="shared" si="9"/>
        <v>F</v>
      </c>
      <c r="S429" s="3" t="str">
        <f t="shared" si="10"/>
        <v>T</v>
      </c>
      <c r="T429" s="8">
        <f t="shared" si="11"/>
        <v>0</v>
      </c>
      <c r="V429" s="4">
        <f t="shared" si="12"/>
        <v>1</v>
      </c>
      <c r="W429" s="8">
        <f t="shared" si="13"/>
        <v>-2.95</v>
      </c>
      <c r="X429" s="8">
        <f t="shared" si="14"/>
        <v>-2.95</v>
      </c>
      <c r="Y429" s="8">
        <f t="shared" si="15"/>
        <v>122.33</v>
      </c>
    </row>
    <row r="430">
      <c r="A430" s="2">
        <v>423.0</v>
      </c>
      <c r="B430" s="15">
        <f>IFERROR(__xludf.DUMMYFUNCTION("""COMPUTED_VALUE"""),42997.64583333333)</f>
        <v>42997.64583</v>
      </c>
      <c r="C430" s="8">
        <f>IFERROR(__xludf.DUMMYFUNCTION("""COMPUTED_VALUE"""),1752.6)</f>
        <v>1752.6</v>
      </c>
      <c r="E430" s="15">
        <f>IFERROR(__xludf.DUMMYFUNCTION("""COMPUTED_VALUE"""),42997.64583333333)</f>
        <v>42997.64583</v>
      </c>
      <c r="F430" s="8">
        <f>IFERROR(__xludf.DUMMYFUNCTION("""COMPUTED_VALUE"""),924.85)</f>
        <v>924.85</v>
      </c>
      <c r="H430" s="4">
        <f t="shared" si="1"/>
        <v>827.75</v>
      </c>
      <c r="I430" s="16">
        <f t="shared" si="2"/>
        <v>844.602</v>
      </c>
      <c r="J430" s="16">
        <f t="shared" si="3"/>
        <v>11.26588523</v>
      </c>
      <c r="K430" s="16">
        <f t="shared" si="4"/>
        <v>855.8678852</v>
      </c>
      <c r="L430" s="16">
        <f t="shared" si="5"/>
        <v>833.3361148</v>
      </c>
      <c r="N430" s="17" t="str">
        <f t="shared" si="6"/>
        <v>T</v>
      </c>
      <c r="O430" s="17" t="str">
        <f t="shared" si="7"/>
        <v>F</v>
      </c>
      <c r="P430" s="8">
        <f t="shared" si="8"/>
        <v>1</v>
      </c>
      <c r="R430" s="17" t="str">
        <f t="shared" si="9"/>
        <v>F</v>
      </c>
      <c r="S430" s="3" t="str">
        <f t="shared" si="10"/>
        <v>T</v>
      </c>
      <c r="T430" s="8">
        <f t="shared" si="11"/>
        <v>0</v>
      </c>
      <c r="V430" s="4">
        <f t="shared" si="12"/>
        <v>1</v>
      </c>
      <c r="W430" s="8">
        <f t="shared" si="13"/>
        <v>-13.77</v>
      </c>
      <c r="X430" s="8">
        <f t="shared" si="14"/>
        <v>-13.77</v>
      </c>
      <c r="Y430" s="8">
        <f t="shared" si="15"/>
        <v>108.56</v>
      </c>
    </row>
    <row r="431">
      <c r="A431" s="2">
        <v>424.0</v>
      </c>
      <c r="B431" s="15">
        <f>IFERROR(__xludf.DUMMYFUNCTION("""COMPUTED_VALUE"""),42998.64583333333)</f>
        <v>42998.64583</v>
      </c>
      <c r="C431" s="8">
        <f>IFERROR(__xludf.DUMMYFUNCTION("""COMPUTED_VALUE"""),1767.15)</f>
        <v>1767.15</v>
      </c>
      <c r="E431" s="15">
        <f>IFERROR(__xludf.DUMMYFUNCTION("""COMPUTED_VALUE"""),42998.64583333333)</f>
        <v>42998.64583</v>
      </c>
      <c r="F431" s="8">
        <f>IFERROR(__xludf.DUMMYFUNCTION("""COMPUTED_VALUE"""),924.43)</f>
        <v>924.43</v>
      </c>
      <c r="H431" s="4">
        <f t="shared" si="1"/>
        <v>842.72</v>
      </c>
      <c r="I431" s="16">
        <f t="shared" si="2"/>
        <v>841.712</v>
      </c>
      <c r="J431" s="16">
        <f t="shared" si="3"/>
        <v>8.82478725</v>
      </c>
      <c r="K431" s="16">
        <f t="shared" si="4"/>
        <v>850.5367872</v>
      </c>
      <c r="L431" s="16">
        <f t="shared" si="5"/>
        <v>832.8872128</v>
      </c>
      <c r="N431" s="17" t="str">
        <f t="shared" si="6"/>
        <v>F</v>
      </c>
      <c r="O431" s="17" t="str">
        <f t="shared" si="7"/>
        <v>T</v>
      </c>
      <c r="P431" s="8">
        <f t="shared" si="8"/>
        <v>0</v>
      </c>
      <c r="R431" s="17" t="str">
        <f t="shared" si="9"/>
        <v>F</v>
      </c>
      <c r="S431" s="3" t="str">
        <f t="shared" si="10"/>
        <v>F</v>
      </c>
      <c r="T431" s="8">
        <f t="shared" si="11"/>
        <v>0</v>
      </c>
      <c r="V431" s="4">
        <f t="shared" si="12"/>
        <v>0</v>
      </c>
      <c r="W431" s="8">
        <f t="shared" si="13"/>
        <v>14.97</v>
      </c>
      <c r="X431" s="8">
        <f t="shared" si="14"/>
        <v>14.97</v>
      </c>
      <c r="Y431" s="8">
        <f t="shared" si="15"/>
        <v>123.53</v>
      </c>
    </row>
    <row r="432">
      <c r="A432" s="2">
        <v>425.0</v>
      </c>
      <c r="B432" s="15">
        <f>IFERROR(__xludf.DUMMYFUNCTION("""COMPUTED_VALUE"""),42999.64583333333)</f>
        <v>42999.64583</v>
      </c>
      <c r="C432" s="8">
        <f>IFERROR(__xludf.DUMMYFUNCTION("""COMPUTED_VALUE"""),1788.6)</f>
        <v>1788.6</v>
      </c>
      <c r="E432" s="15">
        <f>IFERROR(__xludf.DUMMYFUNCTION("""COMPUTED_VALUE"""),42999.64583333333)</f>
        <v>42999.64583</v>
      </c>
      <c r="F432" s="8">
        <f>IFERROR(__xludf.DUMMYFUNCTION("""COMPUTED_VALUE"""),919.55)</f>
        <v>919.55</v>
      </c>
      <c r="H432" s="4">
        <f t="shared" si="1"/>
        <v>869.05</v>
      </c>
      <c r="I432" s="16">
        <f t="shared" si="2"/>
        <v>845.102</v>
      </c>
      <c r="J432" s="16">
        <f t="shared" si="3"/>
        <v>14.94575759</v>
      </c>
      <c r="K432" s="16">
        <f t="shared" si="4"/>
        <v>860.0477576</v>
      </c>
      <c r="L432" s="16">
        <f t="shared" si="5"/>
        <v>830.1562424</v>
      </c>
      <c r="N432" s="17" t="str">
        <f t="shared" si="6"/>
        <v>F</v>
      </c>
      <c r="O432" s="17" t="str">
        <f t="shared" si="7"/>
        <v>T</v>
      </c>
      <c r="P432" s="8">
        <f t="shared" si="8"/>
        <v>0</v>
      </c>
      <c r="R432" s="17" t="str">
        <f t="shared" si="9"/>
        <v>T</v>
      </c>
      <c r="S432" s="3" t="str">
        <f t="shared" si="10"/>
        <v>F</v>
      </c>
      <c r="T432" s="8">
        <f t="shared" si="11"/>
        <v>-1</v>
      </c>
      <c r="V432" s="4">
        <f t="shared" si="12"/>
        <v>-1</v>
      </c>
      <c r="W432" s="8">
        <f t="shared" si="13"/>
        <v>26.33</v>
      </c>
      <c r="X432" s="8">
        <f t="shared" si="14"/>
        <v>0</v>
      </c>
      <c r="Y432" s="8">
        <f t="shared" si="15"/>
        <v>123.53</v>
      </c>
    </row>
    <row r="433">
      <c r="A433" s="2">
        <v>426.0</v>
      </c>
      <c r="B433" s="15">
        <f>IFERROR(__xludf.DUMMYFUNCTION("""COMPUTED_VALUE"""),43000.64583333333)</f>
        <v>43000.64583</v>
      </c>
      <c r="C433" s="8">
        <f>IFERROR(__xludf.DUMMYFUNCTION("""COMPUTED_VALUE"""),1780.95)</f>
        <v>1780.95</v>
      </c>
      <c r="E433" s="15">
        <f>IFERROR(__xludf.DUMMYFUNCTION("""COMPUTED_VALUE"""),43000.64583333333)</f>
        <v>43000.64583</v>
      </c>
      <c r="F433" s="8">
        <f>IFERROR(__xludf.DUMMYFUNCTION("""COMPUTED_VALUE"""),912.05)</f>
        <v>912.05</v>
      </c>
      <c r="H433" s="4">
        <f t="shared" si="1"/>
        <v>868.9</v>
      </c>
      <c r="I433" s="16">
        <f t="shared" si="2"/>
        <v>849.988</v>
      </c>
      <c r="J433" s="16">
        <f t="shared" si="3"/>
        <v>18.3035726</v>
      </c>
      <c r="K433" s="16">
        <f t="shared" si="4"/>
        <v>868.2915726</v>
      </c>
      <c r="L433" s="16">
        <f t="shared" si="5"/>
        <v>831.6844274</v>
      </c>
      <c r="N433" s="17" t="str">
        <f t="shared" si="6"/>
        <v>F</v>
      </c>
      <c r="O433" s="17" t="str">
        <f t="shared" si="7"/>
        <v>T</v>
      </c>
      <c r="P433" s="8">
        <f t="shared" si="8"/>
        <v>0</v>
      </c>
      <c r="R433" s="17" t="str">
        <f t="shared" si="9"/>
        <v>T</v>
      </c>
      <c r="S433" s="3" t="str">
        <f t="shared" si="10"/>
        <v>F</v>
      </c>
      <c r="T433" s="8">
        <f t="shared" si="11"/>
        <v>-1</v>
      </c>
      <c r="V433" s="4">
        <f t="shared" si="12"/>
        <v>-1</v>
      </c>
      <c r="W433" s="8">
        <f t="shared" si="13"/>
        <v>-0.15</v>
      </c>
      <c r="X433" s="8">
        <f t="shared" si="14"/>
        <v>0.15</v>
      </c>
      <c r="Y433" s="8">
        <f t="shared" si="15"/>
        <v>123.68</v>
      </c>
    </row>
    <row r="434">
      <c r="A434" s="2">
        <v>427.0</v>
      </c>
      <c r="B434" s="15">
        <f>IFERROR(__xludf.DUMMYFUNCTION("""COMPUTED_VALUE"""),43003.64583333333)</f>
        <v>43003.64583</v>
      </c>
      <c r="C434" s="8">
        <f>IFERROR(__xludf.DUMMYFUNCTION("""COMPUTED_VALUE"""),1755.05)</f>
        <v>1755.05</v>
      </c>
      <c r="E434" s="15">
        <f>IFERROR(__xludf.DUMMYFUNCTION("""COMPUTED_VALUE"""),43003.64583333333)</f>
        <v>43003.64583</v>
      </c>
      <c r="F434" s="8">
        <f>IFERROR(__xludf.DUMMYFUNCTION("""COMPUTED_VALUE"""),899.88)</f>
        <v>899.88</v>
      </c>
      <c r="H434" s="4">
        <f t="shared" si="1"/>
        <v>855.17</v>
      </c>
      <c r="I434" s="16">
        <f t="shared" si="2"/>
        <v>852.718</v>
      </c>
      <c r="J434" s="16">
        <f t="shared" si="3"/>
        <v>17.73389889</v>
      </c>
      <c r="K434" s="16">
        <f t="shared" si="4"/>
        <v>870.4518989</v>
      </c>
      <c r="L434" s="16">
        <f t="shared" si="5"/>
        <v>834.9841011</v>
      </c>
      <c r="N434" s="17" t="str">
        <f t="shared" si="6"/>
        <v>F</v>
      </c>
      <c r="O434" s="17" t="str">
        <f t="shared" si="7"/>
        <v>T</v>
      </c>
      <c r="P434" s="8">
        <f t="shared" si="8"/>
        <v>0</v>
      </c>
      <c r="R434" s="17" t="str">
        <f t="shared" si="9"/>
        <v>F</v>
      </c>
      <c r="S434" s="3" t="str">
        <f t="shared" si="10"/>
        <v>F</v>
      </c>
      <c r="T434" s="8">
        <f t="shared" si="11"/>
        <v>-1</v>
      </c>
      <c r="V434" s="4">
        <f t="shared" si="12"/>
        <v>-1</v>
      </c>
      <c r="W434" s="8">
        <f t="shared" si="13"/>
        <v>-13.73</v>
      </c>
      <c r="X434" s="8">
        <f t="shared" si="14"/>
        <v>13.73</v>
      </c>
      <c r="Y434" s="8">
        <f t="shared" si="15"/>
        <v>137.41</v>
      </c>
    </row>
    <row r="435">
      <c r="A435" s="2">
        <v>428.0</v>
      </c>
      <c r="B435" s="15">
        <f>IFERROR(__xludf.DUMMYFUNCTION("""COMPUTED_VALUE"""),43004.64583333333)</f>
        <v>43004.64583</v>
      </c>
      <c r="C435" s="8">
        <f>IFERROR(__xludf.DUMMYFUNCTION("""COMPUTED_VALUE"""),1741.25)</f>
        <v>1741.25</v>
      </c>
      <c r="E435" s="15">
        <f>IFERROR(__xludf.DUMMYFUNCTION("""COMPUTED_VALUE"""),43004.64583333333)</f>
        <v>43004.64583</v>
      </c>
      <c r="F435" s="8">
        <f>IFERROR(__xludf.DUMMYFUNCTION("""COMPUTED_VALUE"""),896.15)</f>
        <v>896.15</v>
      </c>
      <c r="H435" s="4">
        <f t="shared" si="1"/>
        <v>845.1</v>
      </c>
      <c r="I435" s="16">
        <f t="shared" si="2"/>
        <v>856.188</v>
      </c>
      <c r="J435" s="16">
        <f t="shared" si="3"/>
        <v>12.57371345</v>
      </c>
      <c r="K435" s="16">
        <f t="shared" si="4"/>
        <v>868.7617135</v>
      </c>
      <c r="L435" s="16">
        <f t="shared" si="5"/>
        <v>843.6142865</v>
      </c>
      <c r="N435" s="17" t="str">
        <f t="shared" si="6"/>
        <v>F</v>
      </c>
      <c r="O435" s="17" t="str">
        <f t="shared" si="7"/>
        <v>F</v>
      </c>
      <c r="P435" s="8">
        <f t="shared" si="8"/>
        <v>0</v>
      </c>
      <c r="R435" s="17" t="str">
        <f t="shared" si="9"/>
        <v>F</v>
      </c>
      <c r="S435" s="3" t="str">
        <f t="shared" si="10"/>
        <v>T</v>
      </c>
      <c r="T435" s="8">
        <f t="shared" si="11"/>
        <v>0</v>
      </c>
      <c r="V435" s="4">
        <f t="shared" si="12"/>
        <v>0</v>
      </c>
      <c r="W435" s="8">
        <f t="shared" si="13"/>
        <v>-10.07</v>
      </c>
      <c r="X435" s="8">
        <f t="shared" si="14"/>
        <v>10.07</v>
      </c>
      <c r="Y435" s="8">
        <f t="shared" si="15"/>
        <v>147.48</v>
      </c>
    </row>
    <row r="436">
      <c r="A436" s="2">
        <v>429.0</v>
      </c>
      <c r="B436" s="15">
        <f>IFERROR(__xludf.DUMMYFUNCTION("""COMPUTED_VALUE"""),43005.64583333333)</f>
        <v>43005.64583</v>
      </c>
      <c r="C436" s="8">
        <f>IFERROR(__xludf.DUMMYFUNCTION("""COMPUTED_VALUE"""),1719.35)</f>
        <v>1719.35</v>
      </c>
      <c r="E436" s="15">
        <f>IFERROR(__xludf.DUMMYFUNCTION("""COMPUTED_VALUE"""),43005.64583333333)</f>
        <v>43005.64583</v>
      </c>
      <c r="F436" s="8">
        <f>IFERROR(__xludf.DUMMYFUNCTION("""COMPUTED_VALUE"""),888.25)</f>
        <v>888.25</v>
      </c>
      <c r="H436" s="4">
        <f t="shared" si="1"/>
        <v>831.1</v>
      </c>
      <c r="I436" s="16">
        <f t="shared" si="2"/>
        <v>853.864</v>
      </c>
      <c r="J436" s="16">
        <f t="shared" si="3"/>
        <v>16.22813082</v>
      </c>
      <c r="K436" s="16">
        <f t="shared" si="4"/>
        <v>870.0921308</v>
      </c>
      <c r="L436" s="16">
        <f t="shared" si="5"/>
        <v>837.6358692</v>
      </c>
      <c r="N436" s="17" t="str">
        <f t="shared" si="6"/>
        <v>T</v>
      </c>
      <c r="O436" s="17" t="str">
        <f t="shared" si="7"/>
        <v>F</v>
      </c>
      <c r="P436" s="8">
        <f t="shared" si="8"/>
        <v>1</v>
      </c>
      <c r="R436" s="17" t="str">
        <f t="shared" si="9"/>
        <v>F</v>
      </c>
      <c r="S436" s="3" t="str">
        <f t="shared" si="10"/>
        <v>T</v>
      </c>
      <c r="T436" s="8">
        <f t="shared" si="11"/>
        <v>0</v>
      </c>
      <c r="V436" s="4">
        <f t="shared" si="12"/>
        <v>1</v>
      </c>
      <c r="W436" s="8">
        <f t="shared" si="13"/>
        <v>-14</v>
      </c>
      <c r="X436" s="8">
        <f t="shared" si="14"/>
        <v>0</v>
      </c>
      <c r="Y436" s="8">
        <f t="shared" si="15"/>
        <v>147.48</v>
      </c>
    </row>
    <row r="437">
      <c r="A437" s="2">
        <v>430.0</v>
      </c>
      <c r="B437" s="15">
        <f>IFERROR(__xludf.DUMMYFUNCTION("""COMPUTED_VALUE"""),43006.64583333333)</f>
        <v>43006.64583</v>
      </c>
      <c r="C437" s="8">
        <f>IFERROR(__xludf.DUMMYFUNCTION("""COMPUTED_VALUE"""),1744.35)</f>
        <v>1744.35</v>
      </c>
      <c r="E437" s="15">
        <f>IFERROR(__xludf.DUMMYFUNCTION("""COMPUTED_VALUE"""),43006.64583333333)</f>
        <v>43006.64583</v>
      </c>
      <c r="F437" s="8">
        <f>IFERROR(__xludf.DUMMYFUNCTION("""COMPUTED_VALUE"""),897.65)</f>
        <v>897.65</v>
      </c>
      <c r="H437" s="4">
        <f t="shared" si="1"/>
        <v>846.7</v>
      </c>
      <c r="I437" s="16">
        <f t="shared" si="2"/>
        <v>849.394</v>
      </c>
      <c r="J437" s="16">
        <f t="shared" si="3"/>
        <v>13.91233913</v>
      </c>
      <c r="K437" s="16">
        <f t="shared" si="4"/>
        <v>863.3063391</v>
      </c>
      <c r="L437" s="16">
        <f t="shared" si="5"/>
        <v>835.4816609</v>
      </c>
      <c r="N437" s="17" t="str">
        <f t="shared" si="6"/>
        <v>F</v>
      </c>
      <c r="O437" s="17" t="str">
        <f t="shared" si="7"/>
        <v>F</v>
      </c>
      <c r="P437" s="8">
        <f t="shared" si="8"/>
        <v>1</v>
      </c>
      <c r="R437" s="17" t="str">
        <f t="shared" si="9"/>
        <v>F</v>
      </c>
      <c r="S437" s="3" t="str">
        <f t="shared" si="10"/>
        <v>T</v>
      </c>
      <c r="T437" s="8">
        <f t="shared" si="11"/>
        <v>0</v>
      </c>
      <c r="V437" s="4">
        <f t="shared" si="12"/>
        <v>1</v>
      </c>
      <c r="W437" s="8">
        <f t="shared" si="13"/>
        <v>15.6</v>
      </c>
      <c r="X437" s="8">
        <f t="shared" si="14"/>
        <v>15.6</v>
      </c>
      <c r="Y437" s="8">
        <f t="shared" si="15"/>
        <v>163.08</v>
      </c>
    </row>
    <row r="438">
      <c r="A438" s="2">
        <v>431.0</v>
      </c>
      <c r="B438" s="15">
        <f>IFERROR(__xludf.DUMMYFUNCTION("""COMPUTED_VALUE"""),43007.64583333333)</f>
        <v>43007.64583</v>
      </c>
      <c r="C438" s="8">
        <f>IFERROR(__xludf.DUMMYFUNCTION("""COMPUTED_VALUE"""),1742.15)</f>
        <v>1742.15</v>
      </c>
      <c r="E438" s="15">
        <f>IFERROR(__xludf.DUMMYFUNCTION("""COMPUTED_VALUE"""),43007.64583333333)</f>
        <v>43007.64583</v>
      </c>
      <c r="F438" s="8">
        <f>IFERROR(__xludf.DUMMYFUNCTION("""COMPUTED_VALUE"""),902.85)</f>
        <v>902.85</v>
      </c>
      <c r="H438" s="4">
        <f t="shared" si="1"/>
        <v>839.3</v>
      </c>
      <c r="I438" s="16">
        <f t="shared" si="2"/>
        <v>843.474</v>
      </c>
      <c r="J438" s="16">
        <f t="shared" si="3"/>
        <v>8.949658094</v>
      </c>
      <c r="K438" s="16">
        <f t="shared" si="4"/>
        <v>852.4236581</v>
      </c>
      <c r="L438" s="16">
        <f t="shared" si="5"/>
        <v>834.5243419</v>
      </c>
      <c r="N438" s="17" t="str">
        <f t="shared" si="6"/>
        <v>F</v>
      </c>
      <c r="O438" s="17" t="str">
        <f t="shared" si="7"/>
        <v>F</v>
      </c>
      <c r="P438" s="8">
        <f t="shared" si="8"/>
        <v>1</v>
      </c>
      <c r="R438" s="17" t="str">
        <f t="shared" si="9"/>
        <v>F</v>
      </c>
      <c r="S438" s="3" t="str">
        <f t="shared" si="10"/>
        <v>T</v>
      </c>
      <c r="T438" s="8">
        <f t="shared" si="11"/>
        <v>0</v>
      </c>
      <c r="V438" s="4">
        <f t="shared" si="12"/>
        <v>1</v>
      </c>
      <c r="W438" s="8">
        <f t="shared" si="13"/>
        <v>-7.4</v>
      </c>
      <c r="X438" s="8">
        <f t="shared" si="14"/>
        <v>-7.4</v>
      </c>
      <c r="Y438" s="8">
        <f t="shared" si="15"/>
        <v>155.68</v>
      </c>
    </row>
    <row r="439">
      <c r="A439" s="2">
        <v>432.0</v>
      </c>
      <c r="B439" s="15">
        <f>IFERROR(__xludf.DUMMYFUNCTION("""COMPUTED_VALUE"""),43011.64583333333)</f>
        <v>43011.64583</v>
      </c>
      <c r="C439" s="8">
        <f>IFERROR(__xludf.DUMMYFUNCTION("""COMPUTED_VALUE"""),1761.6)</f>
        <v>1761.6</v>
      </c>
      <c r="E439" s="15">
        <f>IFERROR(__xludf.DUMMYFUNCTION("""COMPUTED_VALUE"""),43011.64583333333)</f>
        <v>43011.64583</v>
      </c>
      <c r="F439" s="8">
        <f>IFERROR(__xludf.DUMMYFUNCTION("""COMPUTED_VALUE"""),904.43)</f>
        <v>904.43</v>
      </c>
      <c r="H439" s="4">
        <f t="shared" si="1"/>
        <v>857.17</v>
      </c>
      <c r="I439" s="16">
        <f t="shared" si="2"/>
        <v>843.874</v>
      </c>
      <c r="J439" s="16">
        <f t="shared" si="3"/>
        <v>9.62249344</v>
      </c>
      <c r="K439" s="16">
        <f t="shared" si="4"/>
        <v>853.4964934</v>
      </c>
      <c r="L439" s="16">
        <f t="shared" si="5"/>
        <v>834.2515066</v>
      </c>
      <c r="N439" s="17" t="str">
        <f t="shared" si="6"/>
        <v>F</v>
      </c>
      <c r="O439" s="17" t="str">
        <f t="shared" si="7"/>
        <v>T</v>
      </c>
      <c r="P439" s="8">
        <f t="shared" si="8"/>
        <v>0</v>
      </c>
      <c r="R439" s="17" t="str">
        <f t="shared" si="9"/>
        <v>T</v>
      </c>
      <c r="S439" s="3" t="str">
        <f t="shared" si="10"/>
        <v>F</v>
      </c>
      <c r="T439" s="8">
        <f t="shared" si="11"/>
        <v>-1</v>
      </c>
      <c r="V439" s="4">
        <f t="shared" si="12"/>
        <v>-1</v>
      </c>
      <c r="W439" s="8">
        <f t="shared" si="13"/>
        <v>17.87</v>
      </c>
      <c r="X439" s="8">
        <f t="shared" si="14"/>
        <v>17.87</v>
      </c>
      <c r="Y439" s="8">
        <f t="shared" si="15"/>
        <v>173.55</v>
      </c>
    </row>
    <row r="440">
      <c r="A440" s="2">
        <v>433.0</v>
      </c>
      <c r="B440" s="15">
        <f>IFERROR(__xludf.DUMMYFUNCTION("""COMPUTED_VALUE"""),43012.64583333333)</f>
        <v>43012.64583</v>
      </c>
      <c r="C440" s="8">
        <f>IFERROR(__xludf.DUMMYFUNCTION("""COMPUTED_VALUE"""),1768.1)</f>
        <v>1768.1</v>
      </c>
      <c r="E440" s="15">
        <f>IFERROR(__xludf.DUMMYFUNCTION("""COMPUTED_VALUE"""),43012.64583333333)</f>
        <v>43012.64583</v>
      </c>
      <c r="F440" s="8">
        <f>IFERROR(__xludf.DUMMYFUNCTION("""COMPUTED_VALUE"""),898.5)</f>
        <v>898.5</v>
      </c>
      <c r="H440" s="4">
        <f t="shared" si="1"/>
        <v>869.6</v>
      </c>
      <c r="I440" s="16">
        <f t="shared" si="2"/>
        <v>848.774</v>
      </c>
      <c r="J440" s="16">
        <f t="shared" si="3"/>
        <v>15.08843531</v>
      </c>
      <c r="K440" s="16">
        <f t="shared" si="4"/>
        <v>863.8624353</v>
      </c>
      <c r="L440" s="16">
        <f t="shared" si="5"/>
        <v>833.6855647</v>
      </c>
      <c r="N440" s="17" t="str">
        <f t="shared" si="6"/>
        <v>F</v>
      </c>
      <c r="O440" s="17" t="str">
        <f t="shared" si="7"/>
        <v>T</v>
      </c>
      <c r="P440" s="8">
        <f t="shared" si="8"/>
        <v>0</v>
      </c>
      <c r="R440" s="17" t="str">
        <f t="shared" si="9"/>
        <v>T</v>
      </c>
      <c r="S440" s="3" t="str">
        <f t="shared" si="10"/>
        <v>F</v>
      </c>
      <c r="T440" s="8">
        <f t="shared" si="11"/>
        <v>-1</v>
      </c>
      <c r="V440" s="4">
        <f t="shared" si="12"/>
        <v>-1</v>
      </c>
      <c r="W440" s="8">
        <f t="shared" si="13"/>
        <v>12.43</v>
      </c>
      <c r="X440" s="8">
        <f t="shared" si="14"/>
        <v>-12.43</v>
      </c>
      <c r="Y440" s="8">
        <f t="shared" si="15"/>
        <v>161.12</v>
      </c>
    </row>
    <row r="441">
      <c r="A441" s="2">
        <v>434.0</v>
      </c>
      <c r="B441" s="15">
        <f>IFERROR(__xludf.DUMMYFUNCTION("""COMPUTED_VALUE"""),43013.64583333333)</f>
        <v>43013.64583</v>
      </c>
      <c r="C441" s="8">
        <f>IFERROR(__xludf.DUMMYFUNCTION("""COMPUTED_VALUE"""),1751.7)</f>
        <v>1751.7</v>
      </c>
      <c r="E441" s="15">
        <f>IFERROR(__xludf.DUMMYFUNCTION("""COMPUTED_VALUE"""),43013.64583333333)</f>
        <v>43013.64583</v>
      </c>
      <c r="F441" s="8">
        <f>IFERROR(__xludf.DUMMYFUNCTION("""COMPUTED_VALUE"""),899.3)</f>
        <v>899.3</v>
      </c>
      <c r="H441" s="4">
        <f t="shared" si="1"/>
        <v>852.4</v>
      </c>
      <c r="I441" s="16">
        <f t="shared" si="2"/>
        <v>853.034</v>
      </c>
      <c r="J441" s="16">
        <f t="shared" si="3"/>
        <v>11.40924099</v>
      </c>
      <c r="K441" s="16">
        <f t="shared" si="4"/>
        <v>864.443241</v>
      </c>
      <c r="L441" s="16">
        <f t="shared" si="5"/>
        <v>841.624759</v>
      </c>
      <c r="N441" s="17" t="str">
        <f t="shared" si="6"/>
        <v>F</v>
      </c>
      <c r="O441" s="17" t="str">
        <f t="shared" si="7"/>
        <v>F</v>
      </c>
      <c r="P441" s="8">
        <f t="shared" si="8"/>
        <v>0</v>
      </c>
      <c r="R441" s="17" t="str">
        <f t="shared" si="9"/>
        <v>F</v>
      </c>
      <c r="S441" s="3" t="str">
        <f t="shared" si="10"/>
        <v>T</v>
      </c>
      <c r="T441" s="8">
        <f t="shared" si="11"/>
        <v>0</v>
      </c>
      <c r="V441" s="4">
        <f t="shared" si="12"/>
        <v>0</v>
      </c>
      <c r="W441" s="8">
        <f t="shared" si="13"/>
        <v>-17.2</v>
      </c>
      <c r="X441" s="8">
        <f t="shared" si="14"/>
        <v>17.2</v>
      </c>
      <c r="Y441" s="8">
        <f t="shared" si="15"/>
        <v>178.32</v>
      </c>
    </row>
    <row r="442">
      <c r="A442" s="2">
        <v>435.0</v>
      </c>
      <c r="B442" s="15">
        <f>IFERROR(__xludf.DUMMYFUNCTION("""COMPUTED_VALUE"""),43014.64583333333)</f>
        <v>43014.64583</v>
      </c>
      <c r="C442" s="8">
        <f>IFERROR(__xludf.DUMMYFUNCTION("""COMPUTED_VALUE"""),1740.0)</f>
        <v>1740</v>
      </c>
      <c r="E442" s="15">
        <f>IFERROR(__xludf.DUMMYFUNCTION("""COMPUTED_VALUE"""),43014.64583333333)</f>
        <v>43014.64583</v>
      </c>
      <c r="F442" s="8">
        <f>IFERROR(__xludf.DUMMYFUNCTION("""COMPUTED_VALUE"""),900.05)</f>
        <v>900.05</v>
      </c>
      <c r="H442" s="4">
        <f t="shared" si="1"/>
        <v>839.95</v>
      </c>
      <c r="I442" s="16">
        <f t="shared" si="2"/>
        <v>851.684</v>
      </c>
      <c r="J442" s="16">
        <f t="shared" si="3"/>
        <v>12.67519349</v>
      </c>
      <c r="K442" s="16">
        <f t="shared" si="4"/>
        <v>864.3591935</v>
      </c>
      <c r="L442" s="16">
        <f t="shared" si="5"/>
        <v>839.0088065</v>
      </c>
      <c r="N442" s="17" t="str">
        <f t="shared" si="6"/>
        <v>F</v>
      </c>
      <c r="O442" s="17" t="str">
        <f t="shared" si="7"/>
        <v>F</v>
      </c>
      <c r="P442" s="8">
        <f t="shared" si="8"/>
        <v>0</v>
      </c>
      <c r="R442" s="17" t="str">
        <f t="shared" si="9"/>
        <v>F</v>
      </c>
      <c r="S442" s="3" t="str">
        <f t="shared" si="10"/>
        <v>T</v>
      </c>
      <c r="T442" s="8">
        <f t="shared" si="11"/>
        <v>0</v>
      </c>
      <c r="V442" s="4">
        <f t="shared" si="12"/>
        <v>0</v>
      </c>
      <c r="W442" s="8">
        <f t="shared" si="13"/>
        <v>-12.45</v>
      </c>
      <c r="X442" s="8">
        <f t="shared" si="14"/>
        <v>0</v>
      </c>
      <c r="Y442" s="8">
        <f t="shared" si="15"/>
        <v>178.32</v>
      </c>
    </row>
    <row r="443">
      <c r="A443" s="2">
        <v>436.0</v>
      </c>
      <c r="B443" s="15">
        <f>IFERROR(__xludf.DUMMYFUNCTION("""COMPUTED_VALUE"""),43017.64583333333)</f>
        <v>43017.64583</v>
      </c>
      <c r="C443" s="8">
        <f>IFERROR(__xludf.DUMMYFUNCTION("""COMPUTED_VALUE"""),1749.7)</f>
        <v>1749.7</v>
      </c>
      <c r="E443" s="15">
        <f>IFERROR(__xludf.DUMMYFUNCTION("""COMPUTED_VALUE"""),43017.64583333333)</f>
        <v>43017.64583</v>
      </c>
      <c r="F443" s="8">
        <f>IFERROR(__xludf.DUMMYFUNCTION("""COMPUTED_VALUE"""),897.75)</f>
        <v>897.75</v>
      </c>
      <c r="H443" s="4">
        <f t="shared" si="1"/>
        <v>851.95</v>
      </c>
      <c r="I443" s="16">
        <f t="shared" si="2"/>
        <v>854.214</v>
      </c>
      <c r="J443" s="16">
        <f t="shared" si="3"/>
        <v>10.69281207</v>
      </c>
      <c r="K443" s="16">
        <f t="shared" si="4"/>
        <v>864.9068121</v>
      </c>
      <c r="L443" s="16">
        <f t="shared" si="5"/>
        <v>843.5211879</v>
      </c>
      <c r="N443" s="17" t="str">
        <f t="shared" si="6"/>
        <v>F</v>
      </c>
      <c r="O443" s="17" t="str">
        <f t="shared" si="7"/>
        <v>F</v>
      </c>
      <c r="P443" s="8">
        <f t="shared" si="8"/>
        <v>0</v>
      </c>
      <c r="R443" s="17" t="str">
        <f t="shared" si="9"/>
        <v>F</v>
      </c>
      <c r="S443" s="3" t="str">
        <f t="shared" si="10"/>
        <v>T</v>
      </c>
      <c r="T443" s="8">
        <f t="shared" si="11"/>
        <v>0</v>
      </c>
      <c r="V443" s="4">
        <f t="shared" si="12"/>
        <v>0</v>
      </c>
      <c r="W443" s="8">
        <f t="shared" si="13"/>
        <v>12</v>
      </c>
      <c r="X443" s="8">
        <f t="shared" si="14"/>
        <v>0</v>
      </c>
      <c r="Y443" s="8">
        <f t="shared" si="15"/>
        <v>178.32</v>
      </c>
    </row>
    <row r="444">
      <c r="A444" s="2">
        <v>437.0</v>
      </c>
      <c r="B444" s="15">
        <f>IFERROR(__xludf.DUMMYFUNCTION("""COMPUTED_VALUE"""),43018.64583333333)</f>
        <v>43018.64583</v>
      </c>
      <c r="C444" s="8">
        <f>IFERROR(__xludf.DUMMYFUNCTION("""COMPUTED_VALUE"""),1744.75)</f>
        <v>1744.75</v>
      </c>
      <c r="E444" s="15">
        <f>IFERROR(__xludf.DUMMYFUNCTION("""COMPUTED_VALUE"""),43018.64583333333)</f>
        <v>43018.64583</v>
      </c>
      <c r="F444" s="8">
        <f>IFERROR(__xludf.DUMMYFUNCTION("""COMPUTED_VALUE"""),901.35)</f>
        <v>901.35</v>
      </c>
      <c r="H444" s="4">
        <f t="shared" si="1"/>
        <v>843.4</v>
      </c>
      <c r="I444" s="16">
        <f t="shared" si="2"/>
        <v>851.46</v>
      </c>
      <c r="J444" s="16">
        <f t="shared" si="3"/>
        <v>11.48506639</v>
      </c>
      <c r="K444" s="16">
        <f t="shared" si="4"/>
        <v>862.9450664</v>
      </c>
      <c r="L444" s="16">
        <f t="shared" si="5"/>
        <v>839.9749336</v>
      </c>
      <c r="N444" s="17" t="str">
        <f t="shared" si="6"/>
        <v>F</v>
      </c>
      <c r="O444" s="17" t="str">
        <f t="shared" si="7"/>
        <v>F</v>
      </c>
      <c r="P444" s="8">
        <f t="shared" si="8"/>
        <v>0</v>
      </c>
      <c r="R444" s="17" t="str">
        <f t="shared" si="9"/>
        <v>F</v>
      </c>
      <c r="S444" s="3" t="str">
        <f t="shared" si="10"/>
        <v>T</v>
      </c>
      <c r="T444" s="8">
        <f t="shared" si="11"/>
        <v>0</v>
      </c>
      <c r="V444" s="4">
        <f t="shared" si="12"/>
        <v>0</v>
      </c>
      <c r="W444" s="8">
        <f t="shared" si="13"/>
        <v>-8.55</v>
      </c>
      <c r="X444" s="8">
        <f t="shared" si="14"/>
        <v>0</v>
      </c>
      <c r="Y444" s="8">
        <f t="shared" si="15"/>
        <v>178.32</v>
      </c>
    </row>
    <row r="445">
      <c r="A445" s="2">
        <v>438.0</v>
      </c>
      <c r="B445" s="15">
        <f>IFERROR(__xludf.DUMMYFUNCTION("""COMPUTED_VALUE"""),43019.64583333333)</f>
        <v>43019.64583</v>
      </c>
      <c r="C445" s="8">
        <f>IFERROR(__xludf.DUMMYFUNCTION("""COMPUTED_VALUE"""),1750.75)</f>
        <v>1750.75</v>
      </c>
      <c r="E445" s="15">
        <f>IFERROR(__xludf.DUMMYFUNCTION("""COMPUTED_VALUE"""),43019.64583333333)</f>
        <v>43019.64583</v>
      </c>
      <c r="F445" s="8">
        <f>IFERROR(__xludf.DUMMYFUNCTION("""COMPUTED_VALUE"""),895.08)</f>
        <v>895.08</v>
      </c>
      <c r="H445" s="4">
        <f t="shared" si="1"/>
        <v>855.67</v>
      </c>
      <c r="I445" s="16">
        <f t="shared" si="2"/>
        <v>848.674</v>
      </c>
      <c r="J445" s="16">
        <f t="shared" si="3"/>
        <v>6.661128283</v>
      </c>
      <c r="K445" s="16">
        <f t="shared" si="4"/>
        <v>855.3351283</v>
      </c>
      <c r="L445" s="16">
        <f t="shared" si="5"/>
        <v>842.0128717</v>
      </c>
      <c r="N445" s="17" t="str">
        <f t="shared" si="6"/>
        <v>F</v>
      </c>
      <c r="O445" s="17" t="str">
        <f t="shared" si="7"/>
        <v>T</v>
      </c>
      <c r="P445" s="8">
        <f t="shared" si="8"/>
        <v>0</v>
      </c>
      <c r="R445" s="17" t="str">
        <f t="shared" si="9"/>
        <v>T</v>
      </c>
      <c r="S445" s="3" t="str">
        <f t="shared" si="10"/>
        <v>F</v>
      </c>
      <c r="T445" s="8">
        <f t="shared" si="11"/>
        <v>-1</v>
      </c>
      <c r="V445" s="4">
        <f t="shared" si="12"/>
        <v>-1</v>
      </c>
      <c r="W445" s="8">
        <f t="shared" si="13"/>
        <v>12.27</v>
      </c>
      <c r="X445" s="8">
        <f t="shared" si="14"/>
        <v>0</v>
      </c>
      <c r="Y445" s="8">
        <f t="shared" si="15"/>
        <v>178.32</v>
      </c>
    </row>
    <row r="446">
      <c r="A446" s="2">
        <v>439.0</v>
      </c>
      <c r="B446" s="15">
        <f>IFERROR(__xludf.DUMMYFUNCTION("""COMPUTED_VALUE"""),43020.64583333333)</f>
        <v>43020.64583</v>
      </c>
      <c r="C446" s="8">
        <f>IFERROR(__xludf.DUMMYFUNCTION("""COMPUTED_VALUE"""),1755.55)</f>
        <v>1755.55</v>
      </c>
      <c r="E446" s="15">
        <f>IFERROR(__xludf.DUMMYFUNCTION("""COMPUTED_VALUE"""),43020.64583333333)</f>
        <v>43020.64583</v>
      </c>
      <c r="F446" s="8">
        <f>IFERROR(__xludf.DUMMYFUNCTION("""COMPUTED_VALUE"""),909.4)</f>
        <v>909.4</v>
      </c>
      <c r="H446" s="4">
        <f t="shared" si="1"/>
        <v>846.15</v>
      </c>
      <c r="I446" s="16">
        <f t="shared" si="2"/>
        <v>847.424</v>
      </c>
      <c r="J446" s="16">
        <f t="shared" si="3"/>
        <v>6.367054264</v>
      </c>
      <c r="K446" s="16">
        <f t="shared" si="4"/>
        <v>853.7910543</v>
      </c>
      <c r="L446" s="16">
        <f t="shared" si="5"/>
        <v>841.0569457</v>
      </c>
      <c r="N446" s="17" t="str">
        <f t="shared" si="6"/>
        <v>F</v>
      </c>
      <c r="O446" s="17" t="str">
        <f t="shared" si="7"/>
        <v>F</v>
      </c>
      <c r="P446" s="8">
        <f t="shared" si="8"/>
        <v>0</v>
      </c>
      <c r="R446" s="17" t="str">
        <f t="shared" si="9"/>
        <v>F</v>
      </c>
      <c r="S446" s="3" t="str">
        <f t="shared" si="10"/>
        <v>T</v>
      </c>
      <c r="T446" s="8">
        <f t="shared" si="11"/>
        <v>0</v>
      </c>
      <c r="V446" s="4">
        <f t="shared" si="12"/>
        <v>0</v>
      </c>
      <c r="W446" s="8">
        <f t="shared" si="13"/>
        <v>-9.52</v>
      </c>
      <c r="X446" s="8">
        <f t="shared" si="14"/>
        <v>9.52</v>
      </c>
      <c r="Y446" s="8">
        <f t="shared" si="15"/>
        <v>187.84</v>
      </c>
    </row>
    <row r="447">
      <c r="A447" s="2">
        <v>440.0</v>
      </c>
      <c r="B447" s="15">
        <f>IFERROR(__xludf.DUMMYFUNCTION("""COMPUTED_VALUE"""),43021.64583333333)</f>
        <v>43021.64583</v>
      </c>
      <c r="C447" s="8">
        <f>IFERROR(__xludf.DUMMYFUNCTION("""COMPUTED_VALUE"""),1766.45)</f>
        <v>1766.45</v>
      </c>
      <c r="E447" s="15">
        <f>IFERROR(__xludf.DUMMYFUNCTION("""COMPUTED_VALUE"""),43021.64583333333)</f>
        <v>43021.64583</v>
      </c>
      <c r="F447" s="8">
        <f>IFERROR(__xludf.DUMMYFUNCTION("""COMPUTED_VALUE"""),925.4)</f>
        <v>925.4</v>
      </c>
      <c r="H447" s="4">
        <f t="shared" si="1"/>
        <v>841.05</v>
      </c>
      <c r="I447" s="16">
        <f t="shared" si="2"/>
        <v>847.644</v>
      </c>
      <c r="J447" s="16">
        <f t="shared" si="3"/>
        <v>6.055632089</v>
      </c>
      <c r="K447" s="16">
        <f t="shared" si="4"/>
        <v>853.6996321</v>
      </c>
      <c r="L447" s="16">
        <f t="shared" si="5"/>
        <v>841.5883679</v>
      </c>
      <c r="N447" s="17" t="str">
        <f t="shared" si="6"/>
        <v>T</v>
      </c>
      <c r="O447" s="17" t="str">
        <f t="shared" si="7"/>
        <v>F</v>
      </c>
      <c r="P447" s="8">
        <f t="shared" si="8"/>
        <v>1</v>
      </c>
      <c r="R447" s="17" t="str">
        <f t="shared" si="9"/>
        <v>F</v>
      </c>
      <c r="S447" s="3" t="str">
        <f t="shared" si="10"/>
        <v>T</v>
      </c>
      <c r="T447" s="8">
        <f t="shared" si="11"/>
        <v>0</v>
      </c>
      <c r="V447" s="4">
        <f t="shared" si="12"/>
        <v>1</v>
      </c>
      <c r="W447" s="8">
        <f t="shared" si="13"/>
        <v>-5.1</v>
      </c>
      <c r="X447" s="8">
        <f t="shared" si="14"/>
        <v>0</v>
      </c>
      <c r="Y447" s="8">
        <f t="shared" si="15"/>
        <v>187.84</v>
      </c>
    </row>
    <row r="448">
      <c r="A448" s="2">
        <v>441.0</v>
      </c>
      <c r="B448" s="15">
        <f>IFERROR(__xludf.DUMMYFUNCTION("""COMPUTED_VALUE"""),43024.64583333333)</f>
        <v>43024.64583</v>
      </c>
      <c r="C448" s="8">
        <f>IFERROR(__xludf.DUMMYFUNCTION("""COMPUTED_VALUE"""),1762.9)</f>
        <v>1762.9</v>
      </c>
      <c r="E448" s="15">
        <f>IFERROR(__xludf.DUMMYFUNCTION("""COMPUTED_VALUE"""),43024.64583333333)</f>
        <v>43024.64583</v>
      </c>
      <c r="F448" s="8">
        <f>IFERROR(__xludf.DUMMYFUNCTION("""COMPUTED_VALUE"""),928.58)</f>
        <v>928.58</v>
      </c>
      <c r="H448" s="4">
        <f t="shared" si="1"/>
        <v>834.32</v>
      </c>
      <c r="I448" s="16">
        <f t="shared" si="2"/>
        <v>844.118</v>
      </c>
      <c r="J448" s="16">
        <f t="shared" si="3"/>
        <v>7.802350287</v>
      </c>
      <c r="K448" s="16">
        <f t="shared" si="4"/>
        <v>851.9203503</v>
      </c>
      <c r="L448" s="16">
        <f t="shared" si="5"/>
        <v>836.3156497</v>
      </c>
      <c r="N448" s="17" t="str">
        <f t="shared" si="6"/>
        <v>T</v>
      </c>
      <c r="O448" s="17" t="str">
        <f t="shared" si="7"/>
        <v>F</v>
      </c>
      <c r="P448" s="8">
        <f t="shared" si="8"/>
        <v>1</v>
      </c>
      <c r="R448" s="17" t="str">
        <f t="shared" si="9"/>
        <v>F</v>
      </c>
      <c r="S448" s="3" t="str">
        <f t="shared" si="10"/>
        <v>T</v>
      </c>
      <c r="T448" s="8">
        <f t="shared" si="11"/>
        <v>0</v>
      </c>
      <c r="V448" s="4">
        <f t="shared" si="12"/>
        <v>1</v>
      </c>
      <c r="W448" s="8">
        <f t="shared" si="13"/>
        <v>-6.73</v>
      </c>
      <c r="X448" s="8">
        <f t="shared" si="14"/>
        <v>-6.73</v>
      </c>
      <c r="Y448" s="8">
        <f t="shared" si="15"/>
        <v>181.11</v>
      </c>
    </row>
    <row r="449">
      <c r="A449" s="2">
        <v>442.0</v>
      </c>
      <c r="B449" s="15">
        <f>IFERROR(__xludf.DUMMYFUNCTION("""COMPUTED_VALUE"""),43025.83333333333)</f>
        <v>43025.83333</v>
      </c>
      <c r="C449" s="8">
        <f>IFERROR(__xludf.DUMMYFUNCTION("""COMPUTED_VALUE"""),1759.75)</f>
        <v>1759.75</v>
      </c>
      <c r="E449" s="15">
        <f>IFERROR(__xludf.DUMMYFUNCTION("""COMPUTED_VALUE"""),43025.83333333333)</f>
        <v>43025.83333</v>
      </c>
      <c r="F449" s="8">
        <f>IFERROR(__xludf.DUMMYFUNCTION("""COMPUTED_VALUE"""),925.63)</f>
        <v>925.63</v>
      </c>
      <c r="H449" s="4">
        <f t="shared" si="1"/>
        <v>834.12</v>
      </c>
      <c r="I449" s="16">
        <f t="shared" si="2"/>
        <v>842.262</v>
      </c>
      <c r="J449" s="16">
        <f t="shared" si="3"/>
        <v>9.023960882</v>
      </c>
      <c r="K449" s="16">
        <f t="shared" si="4"/>
        <v>851.2859609</v>
      </c>
      <c r="L449" s="16">
        <f t="shared" si="5"/>
        <v>833.2380391</v>
      </c>
      <c r="N449" s="17" t="str">
        <f t="shared" si="6"/>
        <v>F</v>
      </c>
      <c r="O449" s="17" t="str">
        <f t="shared" si="7"/>
        <v>F</v>
      </c>
      <c r="P449" s="8">
        <f t="shared" si="8"/>
        <v>1</v>
      </c>
      <c r="R449" s="17" t="str">
        <f t="shared" si="9"/>
        <v>F</v>
      </c>
      <c r="S449" s="3" t="str">
        <f t="shared" si="10"/>
        <v>T</v>
      </c>
      <c r="T449" s="8">
        <f t="shared" si="11"/>
        <v>0</v>
      </c>
      <c r="V449" s="4">
        <f t="shared" si="12"/>
        <v>1</v>
      </c>
      <c r="W449" s="8">
        <f t="shared" si="13"/>
        <v>-0.2</v>
      </c>
      <c r="X449" s="8">
        <f t="shared" si="14"/>
        <v>-0.2</v>
      </c>
      <c r="Y449" s="8">
        <f t="shared" si="15"/>
        <v>180.91</v>
      </c>
    </row>
    <row r="450">
      <c r="A450" s="2">
        <v>443.0</v>
      </c>
      <c r="B450" s="15">
        <f>IFERROR(__xludf.DUMMYFUNCTION("""COMPUTED_VALUE"""),43026.64583333333)</f>
        <v>43026.64583</v>
      </c>
      <c r="C450" s="8">
        <f>IFERROR(__xludf.DUMMYFUNCTION("""COMPUTED_VALUE"""),1751.55)</f>
        <v>1751.55</v>
      </c>
      <c r="E450" s="15">
        <f>IFERROR(__xludf.DUMMYFUNCTION("""COMPUTED_VALUE"""),43026.64583333333)</f>
        <v>43026.64583</v>
      </c>
      <c r="F450" s="8">
        <f>IFERROR(__xludf.DUMMYFUNCTION("""COMPUTED_VALUE"""),934.25)</f>
        <v>934.25</v>
      </c>
      <c r="H450" s="4">
        <f t="shared" si="1"/>
        <v>817.3</v>
      </c>
      <c r="I450" s="16">
        <f t="shared" si="2"/>
        <v>834.588</v>
      </c>
      <c r="J450" s="16">
        <f t="shared" si="3"/>
        <v>10.89269342</v>
      </c>
      <c r="K450" s="16">
        <f t="shared" si="4"/>
        <v>845.4806934</v>
      </c>
      <c r="L450" s="16">
        <f t="shared" si="5"/>
        <v>823.6953066</v>
      </c>
      <c r="N450" s="17" t="str">
        <f t="shared" si="6"/>
        <v>T</v>
      </c>
      <c r="O450" s="17" t="str">
        <f t="shared" si="7"/>
        <v>F</v>
      </c>
      <c r="P450" s="8">
        <f t="shared" si="8"/>
        <v>1</v>
      </c>
      <c r="R450" s="17" t="str">
        <f t="shared" si="9"/>
        <v>F</v>
      </c>
      <c r="S450" s="3" t="str">
        <f t="shared" si="10"/>
        <v>T</v>
      </c>
      <c r="T450" s="8">
        <f t="shared" si="11"/>
        <v>0</v>
      </c>
      <c r="V450" s="4">
        <f t="shared" si="12"/>
        <v>1</v>
      </c>
      <c r="W450" s="8">
        <f t="shared" si="13"/>
        <v>-16.82</v>
      </c>
      <c r="X450" s="8">
        <f t="shared" si="14"/>
        <v>-16.82</v>
      </c>
      <c r="Y450" s="8">
        <f t="shared" si="15"/>
        <v>164.09</v>
      </c>
    </row>
    <row r="451">
      <c r="A451" s="2">
        <v>444.0</v>
      </c>
      <c r="B451" s="15">
        <f>IFERROR(__xludf.DUMMYFUNCTION("""COMPUTED_VALUE"""),43027.83333333333)</f>
        <v>43027.83333</v>
      </c>
      <c r="C451" s="8">
        <f>IFERROR(__xludf.DUMMYFUNCTION("""COMPUTED_VALUE"""),1743.0)</f>
        <v>1743</v>
      </c>
      <c r="E451" s="15">
        <f>IFERROR(__xludf.DUMMYFUNCTION("""COMPUTED_VALUE"""),43027.83333333333)</f>
        <v>43027.83333</v>
      </c>
      <c r="F451" s="8">
        <f>IFERROR(__xludf.DUMMYFUNCTION("""COMPUTED_VALUE"""),922.5)</f>
        <v>922.5</v>
      </c>
      <c r="H451" s="4">
        <f t="shared" si="1"/>
        <v>820.5</v>
      </c>
      <c r="I451" s="16">
        <f t="shared" si="2"/>
        <v>829.458</v>
      </c>
      <c r="J451" s="16">
        <f t="shared" si="3"/>
        <v>10.09715901</v>
      </c>
      <c r="K451" s="16">
        <f t="shared" si="4"/>
        <v>839.555159</v>
      </c>
      <c r="L451" s="16">
        <f t="shared" si="5"/>
        <v>819.360841</v>
      </c>
      <c r="N451" s="17" t="str">
        <f t="shared" si="6"/>
        <v>F</v>
      </c>
      <c r="O451" s="17" t="str">
        <f t="shared" si="7"/>
        <v>F</v>
      </c>
      <c r="P451" s="8">
        <f t="shared" si="8"/>
        <v>1</v>
      </c>
      <c r="R451" s="17" t="str">
        <f t="shared" si="9"/>
        <v>F</v>
      </c>
      <c r="S451" s="3" t="str">
        <f t="shared" si="10"/>
        <v>T</v>
      </c>
      <c r="T451" s="8">
        <f t="shared" si="11"/>
        <v>0</v>
      </c>
      <c r="V451" s="4">
        <f t="shared" si="12"/>
        <v>1</v>
      </c>
      <c r="W451" s="8">
        <f t="shared" si="13"/>
        <v>3.2</v>
      </c>
      <c r="X451" s="8">
        <f t="shared" si="14"/>
        <v>3.2</v>
      </c>
      <c r="Y451" s="8">
        <f t="shared" si="15"/>
        <v>167.29</v>
      </c>
    </row>
    <row r="452">
      <c r="A452" s="2">
        <v>445.0</v>
      </c>
      <c r="B452" s="15">
        <f>IFERROR(__xludf.DUMMYFUNCTION("""COMPUTED_VALUE"""),43031.64583333333)</f>
        <v>43031.64583</v>
      </c>
      <c r="C452" s="8">
        <f>IFERROR(__xludf.DUMMYFUNCTION("""COMPUTED_VALUE"""),1722.4)</f>
        <v>1722.4</v>
      </c>
      <c r="E452" s="15">
        <f>IFERROR(__xludf.DUMMYFUNCTION("""COMPUTED_VALUE"""),43031.64583333333)</f>
        <v>43031.64583</v>
      </c>
      <c r="F452" s="8">
        <f>IFERROR(__xludf.DUMMYFUNCTION("""COMPUTED_VALUE"""),931.65)</f>
        <v>931.65</v>
      </c>
      <c r="H452" s="4">
        <f t="shared" si="1"/>
        <v>790.75</v>
      </c>
      <c r="I452" s="16">
        <f t="shared" si="2"/>
        <v>819.398</v>
      </c>
      <c r="J452" s="16">
        <f t="shared" si="3"/>
        <v>17.78853057</v>
      </c>
      <c r="K452" s="16">
        <f t="shared" si="4"/>
        <v>837.1865306</v>
      </c>
      <c r="L452" s="16">
        <f t="shared" si="5"/>
        <v>801.6094694</v>
      </c>
      <c r="N452" s="17" t="str">
        <f t="shared" si="6"/>
        <v>T</v>
      </c>
      <c r="O452" s="17" t="str">
        <f t="shared" si="7"/>
        <v>F</v>
      </c>
      <c r="P452" s="8">
        <f t="shared" si="8"/>
        <v>1</v>
      </c>
      <c r="R452" s="17" t="str">
        <f t="shared" si="9"/>
        <v>F</v>
      </c>
      <c r="S452" s="3" t="str">
        <f t="shared" si="10"/>
        <v>T</v>
      </c>
      <c r="T452" s="8">
        <f t="shared" si="11"/>
        <v>0</v>
      </c>
      <c r="V452" s="4">
        <f t="shared" si="12"/>
        <v>1</v>
      </c>
      <c r="W452" s="8">
        <f t="shared" si="13"/>
        <v>-29.75</v>
      </c>
      <c r="X452" s="8">
        <f t="shared" si="14"/>
        <v>-29.75</v>
      </c>
      <c r="Y452" s="8">
        <f t="shared" si="15"/>
        <v>137.54</v>
      </c>
    </row>
    <row r="453">
      <c r="A453" s="2">
        <v>446.0</v>
      </c>
      <c r="B453" s="15">
        <f>IFERROR(__xludf.DUMMYFUNCTION("""COMPUTED_VALUE"""),43032.64583333333)</f>
        <v>43032.64583</v>
      </c>
      <c r="C453" s="8">
        <f>IFERROR(__xludf.DUMMYFUNCTION("""COMPUTED_VALUE"""),1722.3)</f>
        <v>1722.3</v>
      </c>
      <c r="E453" s="15">
        <f>IFERROR(__xludf.DUMMYFUNCTION("""COMPUTED_VALUE"""),43032.64583333333)</f>
        <v>43032.64583</v>
      </c>
      <c r="F453" s="8">
        <f>IFERROR(__xludf.DUMMYFUNCTION("""COMPUTED_VALUE"""),933.55)</f>
        <v>933.55</v>
      </c>
      <c r="H453" s="4">
        <f t="shared" si="1"/>
        <v>788.75</v>
      </c>
      <c r="I453" s="16">
        <f t="shared" si="2"/>
        <v>810.284</v>
      </c>
      <c r="J453" s="16">
        <f t="shared" si="3"/>
        <v>19.79290353</v>
      </c>
      <c r="K453" s="16">
        <f t="shared" si="4"/>
        <v>830.0769035</v>
      </c>
      <c r="L453" s="16">
        <f t="shared" si="5"/>
        <v>790.4910965</v>
      </c>
      <c r="N453" s="17" t="str">
        <f t="shared" si="6"/>
        <v>T</v>
      </c>
      <c r="O453" s="17" t="str">
        <f t="shared" si="7"/>
        <v>F</v>
      </c>
      <c r="P453" s="8">
        <f t="shared" si="8"/>
        <v>1</v>
      </c>
      <c r="R453" s="17" t="str">
        <f t="shared" si="9"/>
        <v>F</v>
      </c>
      <c r="S453" s="3" t="str">
        <f t="shared" si="10"/>
        <v>T</v>
      </c>
      <c r="T453" s="8">
        <f t="shared" si="11"/>
        <v>0</v>
      </c>
      <c r="V453" s="4">
        <f t="shared" si="12"/>
        <v>1</v>
      </c>
      <c r="W453" s="8">
        <f t="shared" si="13"/>
        <v>-2</v>
      </c>
      <c r="X453" s="8">
        <f t="shared" si="14"/>
        <v>-2</v>
      </c>
      <c r="Y453" s="8">
        <f t="shared" si="15"/>
        <v>135.54</v>
      </c>
    </row>
    <row r="454">
      <c r="A454" s="2">
        <v>447.0</v>
      </c>
      <c r="B454" s="15">
        <f>IFERROR(__xludf.DUMMYFUNCTION("""COMPUTED_VALUE"""),43033.64583333333)</f>
        <v>43033.64583</v>
      </c>
      <c r="C454" s="8">
        <f>IFERROR(__xludf.DUMMYFUNCTION("""COMPUTED_VALUE"""),1677.65)</f>
        <v>1677.65</v>
      </c>
      <c r="E454" s="15">
        <f>IFERROR(__xludf.DUMMYFUNCTION("""COMPUTED_VALUE"""),43033.64583333333)</f>
        <v>43033.64583</v>
      </c>
      <c r="F454" s="8">
        <f>IFERROR(__xludf.DUMMYFUNCTION("""COMPUTED_VALUE"""),897.55)</f>
        <v>897.55</v>
      </c>
      <c r="H454" s="4">
        <f t="shared" si="1"/>
        <v>780.1</v>
      </c>
      <c r="I454" s="16">
        <f t="shared" si="2"/>
        <v>799.48</v>
      </c>
      <c r="J454" s="16">
        <f t="shared" si="3"/>
        <v>18.20935886</v>
      </c>
      <c r="K454" s="16">
        <f t="shared" si="4"/>
        <v>817.6893589</v>
      </c>
      <c r="L454" s="16">
        <f t="shared" si="5"/>
        <v>781.2706411</v>
      </c>
      <c r="N454" s="17" t="str">
        <f t="shared" si="6"/>
        <v>T</v>
      </c>
      <c r="O454" s="17" t="str">
        <f t="shared" si="7"/>
        <v>F</v>
      </c>
      <c r="P454" s="8">
        <f t="shared" si="8"/>
        <v>1</v>
      </c>
      <c r="R454" s="17" t="str">
        <f t="shared" si="9"/>
        <v>F</v>
      </c>
      <c r="S454" s="3" t="str">
        <f t="shared" si="10"/>
        <v>T</v>
      </c>
      <c r="T454" s="8">
        <f t="shared" si="11"/>
        <v>0</v>
      </c>
      <c r="V454" s="4">
        <f t="shared" si="12"/>
        <v>1</v>
      </c>
      <c r="W454" s="8">
        <f t="shared" si="13"/>
        <v>-8.65</v>
      </c>
      <c r="X454" s="8">
        <f t="shared" si="14"/>
        <v>-8.65</v>
      </c>
      <c r="Y454" s="8">
        <f t="shared" si="15"/>
        <v>126.89</v>
      </c>
    </row>
    <row r="455">
      <c r="A455" s="2">
        <v>448.0</v>
      </c>
      <c r="B455" s="15">
        <f>IFERROR(__xludf.DUMMYFUNCTION("""COMPUTED_VALUE"""),43034.64583333333)</f>
        <v>43034.64583</v>
      </c>
      <c r="C455" s="8">
        <f>IFERROR(__xludf.DUMMYFUNCTION("""COMPUTED_VALUE"""),1692.35)</f>
        <v>1692.35</v>
      </c>
      <c r="E455" s="15">
        <f>IFERROR(__xludf.DUMMYFUNCTION("""COMPUTED_VALUE"""),43034.64583333333)</f>
        <v>43034.64583</v>
      </c>
      <c r="F455" s="8">
        <f>IFERROR(__xludf.DUMMYFUNCTION("""COMPUTED_VALUE"""),897.68)</f>
        <v>897.68</v>
      </c>
      <c r="H455" s="4">
        <f t="shared" si="1"/>
        <v>794.67</v>
      </c>
      <c r="I455" s="16">
        <f t="shared" si="2"/>
        <v>794.954</v>
      </c>
      <c r="J455" s="16">
        <f t="shared" si="3"/>
        <v>15.24371444</v>
      </c>
      <c r="K455" s="16">
        <f t="shared" si="4"/>
        <v>810.1977144</v>
      </c>
      <c r="L455" s="16">
        <f t="shared" si="5"/>
        <v>779.7102856</v>
      </c>
      <c r="N455" s="17" t="str">
        <f t="shared" si="6"/>
        <v>F</v>
      </c>
      <c r="O455" s="17" t="str">
        <f t="shared" si="7"/>
        <v>F</v>
      </c>
      <c r="P455" s="8">
        <f t="shared" si="8"/>
        <v>1</v>
      </c>
      <c r="R455" s="17" t="str">
        <f t="shared" si="9"/>
        <v>F</v>
      </c>
      <c r="S455" s="3" t="str">
        <f t="shared" si="10"/>
        <v>T</v>
      </c>
      <c r="T455" s="8">
        <f t="shared" si="11"/>
        <v>0</v>
      </c>
      <c r="V455" s="4">
        <f t="shared" si="12"/>
        <v>1</v>
      </c>
      <c r="W455" s="8">
        <f t="shared" si="13"/>
        <v>14.57</v>
      </c>
      <c r="X455" s="8">
        <f t="shared" si="14"/>
        <v>14.57</v>
      </c>
      <c r="Y455" s="8">
        <f t="shared" si="15"/>
        <v>141.46</v>
      </c>
    </row>
    <row r="456">
      <c r="A456" s="2">
        <v>449.0</v>
      </c>
      <c r="B456" s="15">
        <f>IFERROR(__xludf.DUMMYFUNCTION("""COMPUTED_VALUE"""),43035.64583333333)</f>
        <v>43035.64583</v>
      </c>
      <c r="C456" s="8">
        <f>IFERROR(__xludf.DUMMYFUNCTION("""COMPUTED_VALUE"""),1699.05)</f>
        <v>1699.05</v>
      </c>
      <c r="E456" s="15">
        <f>IFERROR(__xludf.DUMMYFUNCTION("""COMPUTED_VALUE"""),43035.64583333333)</f>
        <v>43035.64583</v>
      </c>
      <c r="F456" s="8">
        <f>IFERROR(__xludf.DUMMYFUNCTION("""COMPUTED_VALUE"""),895.53)</f>
        <v>895.53</v>
      </c>
      <c r="H456" s="4">
        <f t="shared" si="1"/>
        <v>803.52</v>
      </c>
      <c r="I456" s="16">
        <f t="shared" si="2"/>
        <v>791.558</v>
      </c>
      <c r="J456" s="16">
        <f t="shared" si="3"/>
        <v>8.552740496</v>
      </c>
      <c r="K456" s="16">
        <f t="shared" si="4"/>
        <v>800.1107405</v>
      </c>
      <c r="L456" s="16">
        <f t="shared" si="5"/>
        <v>783.0052595</v>
      </c>
      <c r="N456" s="17" t="str">
        <f t="shared" si="6"/>
        <v>F</v>
      </c>
      <c r="O456" s="17" t="str">
        <f t="shared" si="7"/>
        <v>T</v>
      </c>
      <c r="P456" s="8">
        <f t="shared" si="8"/>
        <v>0</v>
      </c>
      <c r="R456" s="17" t="str">
        <f t="shared" si="9"/>
        <v>T</v>
      </c>
      <c r="S456" s="3" t="str">
        <f t="shared" si="10"/>
        <v>F</v>
      </c>
      <c r="T456" s="8">
        <f t="shared" si="11"/>
        <v>-1</v>
      </c>
      <c r="V456" s="4">
        <f t="shared" si="12"/>
        <v>-1</v>
      </c>
      <c r="W456" s="8">
        <f t="shared" si="13"/>
        <v>8.85</v>
      </c>
      <c r="X456" s="8">
        <f t="shared" si="14"/>
        <v>8.85</v>
      </c>
      <c r="Y456" s="8">
        <f t="shared" si="15"/>
        <v>150.31</v>
      </c>
    </row>
    <row r="457">
      <c r="A457" s="2">
        <v>450.0</v>
      </c>
      <c r="B457" s="15">
        <f>IFERROR(__xludf.DUMMYFUNCTION("""COMPUTED_VALUE"""),43038.64583333333)</f>
        <v>43038.64583</v>
      </c>
      <c r="C457" s="8">
        <f>IFERROR(__xludf.DUMMYFUNCTION("""COMPUTED_VALUE"""),1705.8)</f>
        <v>1705.8</v>
      </c>
      <c r="E457" s="15">
        <f>IFERROR(__xludf.DUMMYFUNCTION("""COMPUTED_VALUE"""),43038.64583333333)</f>
        <v>43038.64583</v>
      </c>
      <c r="F457" s="8">
        <f>IFERROR(__xludf.DUMMYFUNCTION("""COMPUTED_VALUE"""),907.5)</f>
        <v>907.5</v>
      </c>
      <c r="H457" s="4">
        <f t="shared" si="1"/>
        <v>798.3</v>
      </c>
      <c r="I457" s="16">
        <f t="shared" si="2"/>
        <v>793.068</v>
      </c>
      <c r="J457" s="16">
        <f t="shared" si="3"/>
        <v>9.027716766</v>
      </c>
      <c r="K457" s="16">
        <f t="shared" si="4"/>
        <v>802.0957168</v>
      </c>
      <c r="L457" s="16">
        <f t="shared" si="5"/>
        <v>784.0402832</v>
      </c>
      <c r="N457" s="17" t="str">
        <f t="shared" si="6"/>
        <v>F</v>
      </c>
      <c r="O457" s="17" t="str">
        <f t="shared" si="7"/>
        <v>T</v>
      </c>
      <c r="P457" s="8">
        <f t="shared" si="8"/>
        <v>0</v>
      </c>
      <c r="R457" s="17" t="str">
        <f t="shared" si="9"/>
        <v>F</v>
      </c>
      <c r="S457" s="3" t="str">
        <f t="shared" si="10"/>
        <v>F</v>
      </c>
      <c r="T457" s="8">
        <f t="shared" si="11"/>
        <v>-1</v>
      </c>
      <c r="V457" s="4">
        <f t="shared" si="12"/>
        <v>-1</v>
      </c>
      <c r="W457" s="8">
        <f t="shared" si="13"/>
        <v>-5.22</v>
      </c>
      <c r="X457" s="8">
        <f t="shared" si="14"/>
        <v>5.22</v>
      </c>
      <c r="Y457" s="8">
        <f t="shared" si="15"/>
        <v>155.53</v>
      </c>
    </row>
    <row r="458">
      <c r="A458" s="2">
        <v>451.0</v>
      </c>
      <c r="B458" s="15">
        <f>IFERROR(__xludf.DUMMYFUNCTION("""COMPUTED_VALUE"""),43039.64583333333)</f>
        <v>43039.64583</v>
      </c>
      <c r="C458" s="8">
        <f>IFERROR(__xludf.DUMMYFUNCTION("""COMPUTED_VALUE"""),1707.4)</f>
        <v>1707.4</v>
      </c>
      <c r="E458" s="15">
        <f>IFERROR(__xludf.DUMMYFUNCTION("""COMPUTED_VALUE"""),43039.64583333333)</f>
        <v>43039.64583</v>
      </c>
      <c r="F458" s="8">
        <f>IFERROR(__xludf.DUMMYFUNCTION("""COMPUTED_VALUE"""),904.25)</f>
        <v>904.25</v>
      </c>
      <c r="H458" s="4">
        <f t="shared" si="1"/>
        <v>803.15</v>
      </c>
      <c r="I458" s="16">
        <f t="shared" si="2"/>
        <v>795.948</v>
      </c>
      <c r="J458" s="16">
        <f t="shared" si="3"/>
        <v>9.585513549</v>
      </c>
      <c r="K458" s="16">
        <f t="shared" si="4"/>
        <v>805.5335135</v>
      </c>
      <c r="L458" s="16">
        <f t="shared" si="5"/>
        <v>786.3624865</v>
      </c>
      <c r="N458" s="17" t="str">
        <f t="shared" si="6"/>
        <v>F</v>
      </c>
      <c r="O458" s="17" t="str">
        <f t="shared" si="7"/>
        <v>T</v>
      </c>
      <c r="P458" s="8">
        <f t="shared" si="8"/>
        <v>0</v>
      </c>
      <c r="R458" s="17" t="str">
        <f t="shared" si="9"/>
        <v>F</v>
      </c>
      <c r="S458" s="3" t="str">
        <f t="shared" si="10"/>
        <v>F</v>
      </c>
      <c r="T458" s="8">
        <f t="shared" si="11"/>
        <v>-1</v>
      </c>
      <c r="V458" s="4">
        <f t="shared" si="12"/>
        <v>-1</v>
      </c>
      <c r="W458" s="8">
        <f t="shared" si="13"/>
        <v>4.85</v>
      </c>
      <c r="X458" s="8">
        <f t="shared" si="14"/>
        <v>-4.85</v>
      </c>
      <c r="Y458" s="8">
        <f t="shared" si="15"/>
        <v>150.68</v>
      </c>
    </row>
    <row r="459">
      <c r="A459" s="2">
        <v>452.0</v>
      </c>
      <c r="B459" s="15">
        <f>IFERROR(__xludf.DUMMYFUNCTION("""COMPUTED_VALUE"""),43040.64583333333)</f>
        <v>43040.64583</v>
      </c>
      <c r="C459" s="8">
        <f>IFERROR(__xludf.DUMMYFUNCTION("""COMPUTED_VALUE"""),1754.3)</f>
        <v>1754.3</v>
      </c>
      <c r="E459" s="15">
        <f>IFERROR(__xludf.DUMMYFUNCTION("""COMPUTED_VALUE"""),43040.64583333333)</f>
        <v>43040.64583</v>
      </c>
      <c r="F459" s="8">
        <f>IFERROR(__xludf.DUMMYFUNCTION("""COMPUTED_VALUE"""),910.6)</f>
        <v>910.6</v>
      </c>
      <c r="H459" s="4">
        <f t="shared" si="1"/>
        <v>843.7</v>
      </c>
      <c r="I459" s="16">
        <f t="shared" si="2"/>
        <v>808.668</v>
      </c>
      <c r="J459" s="16">
        <f t="shared" si="3"/>
        <v>19.92254176</v>
      </c>
      <c r="K459" s="16">
        <f t="shared" si="4"/>
        <v>828.5905418</v>
      </c>
      <c r="L459" s="16">
        <f t="shared" si="5"/>
        <v>788.7454582</v>
      </c>
      <c r="N459" s="17" t="str">
        <f t="shared" si="6"/>
        <v>F</v>
      </c>
      <c r="O459" s="17" t="str">
        <f t="shared" si="7"/>
        <v>T</v>
      </c>
      <c r="P459" s="8">
        <f t="shared" si="8"/>
        <v>0</v>
      </c>
      <c r="R459" s="17" t="str">
        <f t="shared" si="9"/>
        <v>T</v>
      </c>
      <c r="S459" s="3" t="str">
        <f t="shared" si="10"/>
        <v>F</v>
      </c>
      <c r="T459" s="8">
        <f t="shared" si="11"/>
        <v>-1</v>
      </c>
      <c r="V459" s="4">
        <f t="shared" si="12"/>
        <v>-1</v>
      </c>
      <c r="W459" s="8">
        <f t="shared" si="13"/>
        <v>40.55</v>
      </c>
      <c r="X459" s="8">
        <f t="shared" si="14"/>
        <v>-40.55</v>
      </c>
      <c r="Y459" s="8">
        <f t="shared" si="15"/>
        <v>110.13</v>
      </c>
    </row>
    <row r="460">
      <c r="A460" s="2">
        <v>453.0</v>
      </c>
      <c r="B460" s="15">
        <f>IFERROR(__xludf.DUMMYFUNCTION("""COMPUTED_VALUE"""),43041.64583333333)</f>
        <v>43041.64583</v>
      </c>
      <c r="C460" s="8">
        <f>IFERROR(__xludf.DUMMYFUNCTION("""COMPUTED_VALUE"""),1762.25)</f>
        <v>1762.25</v>
      </c>
      <c r="E460" s="15">
        <f>IFERROR(__xludf.DUMMYFUNCTION("""COMPUTED_VALUE"""),43041.64583333333)</f>
        <v>43041.64583</v>
      </c>
      <c r="F460" s="8">
        <f>IFERROR(__xludf.DUMMYFUNCTION("""COMPUTED_VALUE"""),911.05)</f>
        <v>911.05</v>
      </c>
      <c r="H460" s="4">
        <f t="shared" si="1"/>
        <v>851.2</v>
      </c>
      <c r="I460" s="16">
        <f t="shared" si="2"/>
        <v>819.974</v>
      </c>
      <c r="J460" s="16">
        <f t="shared" si="3"/>
        <v>25.3057776</v>
      </c>
      <c r="K460" s="16">
        <f t="shared" si="4"/>
        <v>845.2797776</v>
      </c>
      <c r="L460" s="16">
        <f t="shared" si="5"/>
        <v>794.6682224</v>
      </c>
      <c r="N460" s="17" t="str">
        <f t="shared" si="6"/>
        <v>F</v>
      </c>
      <c r="O460" s="17" t="str">
        <f t="shared" si="7"/>
        <v>T</v>
      </c>
      <c r="P460" s="8">
        <f t="shared" si="8"/>
        <v>0</v>
      </c>
      <c r="R460" s="17" t="str">
        <f t="shared" si="9"/>
        <v>T</v>
      </c>
      <c r="S460" s="3" t="str">
        <f t="shared" si="10"/>
        <v>F</v>
      </c>
      <c r="T460" s="8">
        <f t="shared" si="11"/>
        <v>-1</v>
      </c>
      <c r="V460" s="4">
        <f t="shared" si="12"/>
        <v>-1</v>
      </c>
      <c r="W460" s="8">
        <f t="shared" si="13"/>
        <v>7.5</v>
      </c>
      <c r="X460" s="8">
        <f t="shared" si="14"/>
        <v>-7.5</v>
      </c>
      <c r="Y460" s="8">
        <f t="shared" si="15"/>
        <v>102.63</v>
      </c>
    </row>
    <row r="461">
      <c r="A461" s="2">
        <v>454.0</v>
      </c>
      <c r="B461" s="15">
        <f>IFERROR(__xludf.DUMMYFUNCTION("""COMPUTED_VALUE"""),43042.64583333333)</f>
        <v>43042.64583</v>
      </c>
      <c r="C461" s="8">
        <f>IFERROR(__xludf.DUMMYFUNCTION("""COMPUTED_VALUE"""),1776.3)</f>
        <v>1776.3</v>
      </c>
      <c r="E461" s="15">
        <f>IFERROR(__xludf.DUMMYFUNCTION("""COMPUTED_VALUE"""),43042.64583333333)</f>
        <v>43042.64583</v>
      </c>
      <c r="F461" s="8">
        <f>IFERROR(__xludf.DUMMYFUNCTION("""COMPUTED_VALUE"""),915.35)</f>
        <v>915.35</v>
      </c>
      <c r="H461" s="4">
        <f t="shared" si="1"/>
        <v>860.95</v>
      </c>
      <c r="I461" s="16">
        <f t="shared" si="2"/>
        <v>831.46</v>
      </c>
      <c r="J461" s="16">
        <f t="shared" si="3"/>
        <v>28.7671123</v>
      </c>
      <c r="K461" s="16">
        <f t="shared" si="4"/>
        <v>860.2271123</v>
      </c>
      <c r="L461" s="16">
        <f t="shared" si="5"/>
        <v>802.6928877</v>
      </c>
      <c r="N461" s="17" t="str">
        <f t="shared" si="6"/>
        <v>F</v>
      </c>
      <c r="O461" s="17" t="str">
        <f t="shared" si="7"/>
        <v>T</v>
      </c>
      <c r="P461" s="8">
        <f t="shared" si="8"/>
        <v>0</v>
      </c>
      <c r="R461" s="17" t="str">
        <f t="shared" si="9"/>
        <v>T</v>
      </c>
      <c r="S461" s="3" t="str">
        <f t="shared" si="10"/>
        <v>F</v>
      </c>
      <c r="T461" s="8">
        <f t="shared" si="11"/>
        <v>-1</v>
      </c>
      <c r="V461" s="4">
        <f t="shared" si="12"/>
        <v>-1</v>
      </c>
      <c r="W461" s="8">
        <f t="shared" si="13"/>
        <v>9.75</v>
      </c>
      <c r="X461" s="8">
        <f t="shared" si="14"/>
        <v>-9.75</v>
      </c>
      <c r="Y461" s="8">
        <f t="shared" si="15"/>
        <v>92.88</v>
      </c>
    </row>
    <row r="462">
      <c r="A462" s="2">
        <v>455.0</v>
      </c>
      <c r="B462" s="15">
        <f>IFERROR(__xludf.DUMMYFUNCTION("""COMPUTED_VALUE"""),43045.64583333333)</f>
        <v>43045.64583</v>
      </c>
      <c r="C462" s="8">
        <f>IFERROR(__xludf.DUMMYFUNCTION("""COMPUTED_VALUE"""),1790.2)</f>
        <v>1790.2</v>
      </c>
      <c r="E462" s="15">
        <f>IFERROR(__xludf.DUMMYFUNCTION("""COMPUTED_VALUE"""),43045.64583333333)</f>
        <v>43045.64583</v>
      </c>
      <c r="F462" s="8">
        <f>IFERROR(__xludf.DUMMYFUNCTION("""COMPUTED_VALUE"""),914.3)</f>
        <v>914.3</v>
      </c>
      <c r="H462" s="4">
        <f t="shared" si="1"/>
        <v>875.9</v>
      </c>
      <c r="I462" s="16">
        <f t="shared" si="2"/>
        <v>846.98</v>
      </c>
      <c r="J462" s="16">
        <f t="shared" si="3"/>
        <v>27.30001374</v>
      </c>
      <c r="K462" s="16">
        <f t="shared" si="4"/>
        <v>874.2800137</v>
      </c>
      <c r="L462" s="16">
        <f t="shared" si="5"/>
        <v>819.6799863</v>
      </c>
      <c r="N462" s="17" t="str">
        <f t="shared" si="6"/>
        <v>F</v>
      </c>
      <c r="O462" s="17" t="str">
        <f t="shared" si="7"/>
        <v>T</v>
      </c>
      <c r="P462" s="8">
        <f t="shared" si="8"/>
        <v>0</v>
      </c>
      <c r="R462" s="17" t="str">
        <f t="shared" si="9"/>
        <v>T</v>
      </c>
      <c r="S462" s="3" t="str">
        <f t="shared" si="10"/>
        <v>F</v>
      </c>
      <c r="T462" s="8">
        <f t="shared" si="11"/>
        <v>-1</v>
      </c>
      <c r="V462" s="4">
        <f t="shared" si="12"/>
        <v>-1</v>
      </c>
      <c r="W462" s="8">
        <f t="shared" si="13"/>
        <v>14.95</v>
      </c>
      <c r="X462" s="8">
        <f t="shared" si="14"/>
        <v>-14.95</v>
      </c>
      <c r="Y462" s="8">
        <f t="shared" si="15"/>
        <v>77.93</v>
      </c>
    </row>
    <row r="463">
      <c r="A463" s="2">
        <v>456.0</v>
      </c>
      <c r="B463" s="15">
        <f>IFERROR(__xludf.DUMMYFUNCTION("""COMPUTED_VALUE"""),43046.64583333333)</f>
        <v>43046.64583</v>
      </c>
      <c r="C463" s="8">
        <f>IFERROR(__xludf.DUMMYFUNCTION("""COMPUTED_VALUE"""),1764.65)</f>
        <v>1764.65</v>
      </c>
      <c r="E463" s="15">
        <f>IFERROR(__xludf.DUMMYFUNCTION("""COMPUTED_VALUE"""),43046.64583333333)</f>
        <v>43046.64583</v>
      </c>
      <c r="F463" s="8">
        <f>IFERROR(__xludf.DUMMYFUNCTION("""COMPUTED_VALUE"""),911.85)</f>
        <v>911.85</v>
      </c>
      <c r="H463" s="4">
        <f t="shared" si="1"/>
        <v>852.8</v>
      </c>
      <c r="I463" s="16">
        <f t="shared" si="2"/>
        <v>856.91</v>
      </c>
      <c r="J463" s="16">
        <f t="shared" si="3"/>
        <v>12.25705919</v>
      </c>
      <c r="K463" s="16">
        <f t="shared" si="4"/>
        <v>869.1670592</v>
      </c>
      <c r="L463" s="16">
        <f t="shared" si="5"/>
        <v>844.6529408</v>
      </c>
      <c r="N463" s="17" t="str">
        <f t="shared" si="6"/>
        <v>F</v>
      </c>
      <c r="O463" s="17" t="str">
        <f t="shared" si="7"/>
        <v>F</v>
      </c>
      <c r="P463" s="8">
        <f t="shared" si="8"/>
        <v>0</v>
      </c>
      <c r="R463" s="17" t="str">
        <f t="shared" si="9"/>
        <v>F</v>
      </c>
      <c r="S463" s="3" t="str">
        <f t="shared" si="10"/>
        <v>T</v>
      </c>
      <c r="T463" s="8">
        <f t="shared" si="11"/>
        <v>0</v>
      </c>
      <c r="V463" s="4">
        <f t="shared" si="12"/>
        <v>0</v>
      </c>
      <c r="W463" s="8">
        <f t="shared" si="13"/>
        <v>-23.1</v>
      </c>
      <c r="X463" s="8">
        <f t="shared" si="14"/>
        <v>23.1</v>
      </c>
      <c r="Y463" s="8">
        <f t="shared" si="15"/>
        <v>101.03</v>
      </c>
    </row>
    <row r="464">
      <c r="A464" s="2">
        <v>457.0</v>
      </c>
      <c r="B464" s="15">
        <f>IFERROR(__xludf.DUMMYFUNCTION("""COMPUTED_VALUE"""),43047.64583333333)</f>
        <v>43047.64583</v>
      </c>
      <c r="C464" s="8">
        <f>IFERROR(__xludf.DUMMYFUNCTION("""COMPUTED_VALUE"""),1747.45)</f>
        <v>1747.45</v>
      </c>
      <c r="E464" s="15">
        <f>IFERROR(__xludf.DUMMYFUNCTION("""COMPUTED_VALUE"""),43047.64583333333)</f>
        <v>43047.64583</v>
      </c>
      <c r="F464" s="8">
        <f>IFERROR(__xludf.DUMMYFUNCTION("""COMPUTED_VALUE"""),912.98)</f>
        <v>912.98</v>
      </c>
      <c r="H464" s="4">
        <f t="shared" si="1"/>
        <v>834.47</v>
      </c>
      <c r="I464" s="16">
        <f t="shared" si="2"/>
        <v>855.064</v>
      </c>
      <c r="J464" s="16">
        <f t="shared" si="3"/>
        <v>15.10755539</v>
      </c>
      <c r="K464" s="16">
        <f t="shared" si="4"/>
        <v>870.1715554</v>
      </c>
      <c r="L464" s="16">
        <f t="shared" si="5"/>
        <v>839.9564446</v>
      </c>
      <c r="N464" s="17" t="str">
        <f t="shared" si="6"/>
        <v>T</v>
      </c>
      <c r="O464" s="17" t="str">
        <f t="shared" si="7"/>
        <v>F</v>
      </c>
      <c r="P464" s="8">
        <f t="shared" si="8"/>
        <v>1</v>
      </c>
      <c r="R464" s="17" t="str">
        <f t="shared" si="9"/>
        <v>F</v>
      </c>
      <c r="S464" s="3" t="str">
        <f t="shared" si="10"/>
        <v>T</v>
      </c>
      <c r="T464" s="8">
        <f t="shared" si="11"/>
        <v>0</v>
      </c>
      <c r="V464" s="4">
        <f t="shared" si="12"/>
        <v>1</v>
      </c>
      <c r="W464" s="8">
        <f t="shared" si="13"/>
        <v>-18.33</v>
      </c>
      <c r="X464" s="8">
        <f t="shared" si="14"/>
        <v>0</v>
      </c>
      <c r="Y464" s="8">
        <f t="shared" si="15"/>
        <v>101.03</v>
      </c>
    </row>
    <row r="465">
      <c r="A465" s="2">
        <v>458.0</v>
      </c>
      <c r="B465" s="15">
        <f>IFERROR(__xludf.DUMMYFUNCTION("""COMPUTED_VALUE"""),43048.64583333333)</f>
        <v>43048.64583</v>
      </c>
      <c r="C465" s="8">
        <f>IFERROR(__xludf.DUMMYFUNCTION("""COMPUTED_VALUE"""),1725.85)</f>
        <v>1725.85</v>
      </c>
      <c r="E465" s="15">
        <f>IFERROR(__xludf.DUMMYFUNCTION("""COMPUTED_VALUE"""),43048.64583333333)</f>
        <v>43048.64583</v>
      </c>
      <c r="F465" s="8">
        <f>IFERROR(__xludf.DUMMYFUNCTION("""COMPUTED_VALUE"""),913.93)</f>
        <v>913.93</v>
      </c>
      <c r="H465" s="4">
        <f t="shared" si="1"/>
        <v>811.92</v>
      </c>
      <c r="I465" s="16">
        <f t="shared" si="2"/>
        <v>847.208</v>
      </c>
      <c r="J465" s="16">
        <f t="shared" si="3"/>
        <v>24.75299719</v>
      </c>
      <c r="K465" s="16">
        <f t="shared" si="4"/>
        <v>871.9609972</v>
      </c>
      <c r="L465" s="16">
        <f t="shared" si="5"/>
        <v>822.4550028</v>
      </c>
      <c r="N465" s="17" t="str">
        <f t="shared" si="6"/>
        <v>T</v>
      </c>
      <c r="O465" s="17" t="str">
        <f t="shared" si="7"/>
        <v>F</v>
      </c>
      <c r="P465" s="8">
        <f t="shared" si="8"/>
        <v>1</v>
      </c>
      <c r="R465" s="17" t="str">
        <f t="shared" si="9"/>
        <v>F</v>
      </c>
      <c r="S465" s="3" t="str">
        <f t="shared" si="10"/>
        <v>T</v>
      </c>
      <c r="T465" s="8">
        <f t="shared" si="11"/>
        <v>0</v>
      </c>
      <c r="V465" s="4">
        <f t="shared" si="12"/>
        <v>1</v>
      </c>
      <c r="W465" s="8">
        <f t="shared" si="13"/>
        <v>-22.55</v>
      </c>
      <c r="X465" s="8">
        <f t="shared" si="14"/>
        <v>-22.55</v>
      </c>
      <c r="Y465" s="8">
        <f t="shared" si="15"/>
        <v>78.48</v>
      </c>
    </row>
    <row r="466">
      <c r="A466" s="2">
        <v>459.0</v>
      </c>
      <c r="B466" s="15">
        <f>IFERROR(__xludf.DUMMYFUNCTION("""COMPUTED_VALUE"""),43049.64583333333)</f>
        <v>43049.64583</v>
      </c>
      <c r="C466" s="8">
        <f>IFERROR(__xludf.DUMMYFUNCTION("""COMPUTED_VALUE"""),1709.5)</f>
        <v>1709.5</v>
      </c>
      <c r="E466" s="15">
        <f>IFERROR(__xludf.DUMMYFUNCTION("""COMPUTED_VALUE"""),43049.64583333333)</f>
        <v>43049.64583</v>
      </c>
      <c r="F466" s="8">
        <f>IFERROR(__xludf.DUMMYFUNCTION("""COMPUTED_VALUE"""),911.0)</f>
        <v>911</v>
      </c>
      <c r="H466" s="4">
        <f t="shared" si="1"/>
        <v>798.5</v>
      </c>
      <c r="I466" s="16">
        <f t="shared" si="2"/>
        <v>834.718</v>
      </c>
      <c r="J466" s="16">
        <f t="shared" si="3"/>
        <v>31.04218775</v>
      </c>
      <c r="K466" s="16">
        <f t="shared" si="4"/>
        <v>865.7601877</v>
      </c>
      <c r="L466" s="16">
        <f t="shared" si="5"/>
        <v>803.6758123</v>
      </c>
      <c r="N466" s="17" t="str">
        <f t="shared" si="6"/>
        <v>T</v>
      </c>
      <c r="O466" s="17" t="str">
        <f t="shared" si="7"/>
        <v>F</v>
      </c>
      <c r="P466" s="8">
        <f t="shared" si="8"/>
        <v>1</v>
      </c>
      <c r="R466" s="17" t="str">
        <f t="shared" si="9"/>
        <v>F</v>
      </c>
      <c r="S466" s="3" t="str">
        <f t="shared" si="10"/>
        <v>T</v>
      </c>
      <c r="T466" s="8">
        <f t="shared" si="11"/>
        <v>0</v>
      </c>
      <c r="V466" s="4">
        <f t="shared" si="12"/>
        <v>1</v>
      </c>
      <c r="W466" s="8">
        <f t="shared" si="13"/>
        <v>-13.42</v>
      </c>
      <c r="X466" s="8">
        <f t="shared" si="14"/>
        <v>-13.42</v>
      </c>
      <c r="Y466" s="8">
        <f t="shared" si="15"/>
        <v>65.06</v>
      </c>
    </row>
    <row r="467">
      <c r="A467" s="2">
        <v>460.0</v>
      </c>
      <c r="B467" s="15">
        <f>IFERROR(__xludf.DUMMYFUNCTION("""COMPUTED_VALUE"""),43052.64583333333)</f>
        <v>43052.64583</v>
      </c>
      <c r="C467" s="8">
        <f>IFERROR(__xludf.DUMMYFUNCTION("""COMPUTED_VALUE"""),1670.3)</f>
        <v>1670.3</v>
      </c>
      <c r="E467" s="15">
        <f>IFERROR(__xludf.DUMMYFUNCTION("""COMPUTED_VALUE"""),43052.64583333333)</f>
        <v>43052.64583</v>
      </c>
      <c r="F467" s="8">
        <f>IFERROR(__xludf.DUMMYFUNCTION("""COMPUTED_VALUE"""),906.78)</f>
        <v>906.78</v>
      </c>
      <c r="H467" s="4">
        <f t="shared" si="1"/>
        <v>763.52</v>
      </c>
      <c r="I467" s="16">
        <f t="shared" si="2"/>
        <v>812.242</v>
      </c>
      <c r="J467" s="16">
        <f t="shared" si="3"/>
        <v>34.28489055</v>
      </c>
      <c r="K467" s="16">
        <f t="shared" si="4"/>
        <v>846.5268905</v>
      </c>
      <c r="L467" s="16">
        <f t="shared" si="5"/>
        <v>777.9571095</v>
      </c>
      <c r="N467" s="17" t="str">
        <f t="shared" si="6"/>
        <v>T</v>
      </c>
      <c r="O467" s="17" t="str">
        <f t="shared" si="7"/>
        <v>F</v>
      </c>
      <c r="P467" s="8">
        <f t="shared" si="8"/>
        <v>1</v>
      </c>
      <c r="R467" s="17" t="str">
        <f t="shared" si="9"/>
        <v>F</v>
      </c>
      <c r="S467" s="3" t="str">
        <f t="shared" si="10"/>
        <v>T</v>
      </c>
      <c r="T467" s="8">
        <f t="shared" si="11"/>
        <v>0</v>
      </c>
      <c r="V467" s="4">
        <f t="shared" si="12"/>
        <v>1</v>
      </c>
      <c r="W467" s="8">
        <f t="shared" si="13"/>
        <v>-34.98</v>
      </c>
      <c r="X467" s="8">
        <f t="shared" si="14"/>
        <v>-34.98</v>
      </c>
      <c r="Y467" s="8">
        <f t="shared" si="15"/>
        <v>30.08</v>
      </c>
    </row>
    <row r="468">
      <c r="A468" s="2">
        <v>461.0</v>
      </c>
      <c r="B468" s="15">
        <f>IFERROR(__xludf.DUMMYFUNCTION("""COMPUTED_VALUE"""),43053.64583333333)</f>
        <v>43053.64583</v>
      </c>
      <c r="C468" s="8">
        <f>IFERROR(__xludf.DUMMYFUNCTION("""COMPUTED_VALUE"""),1661.4)</f>
        <v>1661.4</v>
      </c>
      <c r="E468" s="15">
        <f>IFERROR(__xludf.DUMMYFUNCTION("""COMPUTED_VALUE"""),43053.64583333333)</f>
        <v>43053.64583</v>
      </c>
      <c r="F468" s="8">
        <f>IFERROR(__xludf.DUMMYFUNCTION("""COMPUTED_VALUE"""),901.18)</f>
        <v>901.18</v>
      </c>
      <c r="H468" s="4">
        <f t="shared" si="1"/>
        <v>760.22</v>
      </c>
      <c r="I468" s="16">
        <f t="shared" si="2"/>
        <v>793.726</v>
      </c>
      <c r="J468" s="16">
        <f t="shared" si="3"/>
        <v>31.81564364</v>
      </c>
      <c r="K468" s="16">
        <f t="shared" si="4"/>
        <v>825.5416436</v>
      </c>
      <c r="L468" s="16">
        <f t="shared" si="5"/>
        <v>761.9103564</v>
      </c>
      <c r="N468" s="17" t="str">
        <f t="shared" si="6"/>
        <v>T</v>
      </c>
      <c r="O468" s="17" t="str">
        <f t="shared" si="7"/>
        <v>F</v>
      </c>
      <c r="P468" s="8">
        <f t="shared" si="8"/>
        <v>1</v>
      </c>
      <c r="R468" s="17" t="str">
        <f t="shared" si="9"/>
        <v>F</v>
      </c>
      <c r="S468" s="3" t="str">
        <f t="shared" si="10"/>
        <v>T</v>
      </c>
      <c r="T468" s="8">
        <f t="shared" si="11"/>
        <v>0</v>
      </c>
      <c r="V468" s="4">
        <f t="shared" si="12"/>
        <v>1</v>
      </c>
      <c r="W468" s="8">
        <f t="shared" si="13"/>
        <v>-3.3</v>
      </c>
      <c r="X468" s="8">
        <f t="shared" si="14"/>
        <v>-3.3</v>
      </c>
      <c r="Y468" s="8">
        <f t="shared" si="15"/>
        <v>26.78</v>
      </c>
    </row>
    <row r="469">
      <c r="A469" s="2">
        <v>462.0</v>
      </c>
      <c r="B469" s="15">
        <f>IFERROR(__xludf.DUMMYFUNCTION("""COMPUTED_VALUE"""),43054.64583333333)</f>
        <v>43054.64583</v>
      </c>
      <c r="C469" s="8">
        <f>IFERROR(__xludf.DUMMYFUNCTION("""COMPUTED_VALUE"""),1650.9)</f>
        <v>1650.9</v>
      </c>
      <c r="E469" s="15">
        <f>IFERROR(__xludf.DUMMYFUNCTION("""COMPUTED_VALUE"""),43054.64583333333)</f>
        <v>43054.64583</v>
      </c>
      <c r="F469" s="8">
        <f>IFERROR(__xludf.DUMMYFUNCTION("""COMPUTED_VALUE"""),900.13)</f>
        <v>900.13</v>
      </c>
      <c r="H469" s="4">
        <f t="shared" si="1"/>
        <v>750.77</v>
      </c>
      <c r="I469" s="16">
        <f t="shared" si="2"/>
        <v>776.986</v>
      </c>
      <c r="J469" s="16">
        <f t="shared" si="3"/>
        <v>26.61271839</v>
      </c>
      <c r="K469" s="16">
        <f t="shared" si="4"/>
        <v>803.5987184</v>
      </c>
      <c r="L469" s="16">
        <f t="shared" si="5"/>
        <v>750.3732816</v>
      </c>
      <c r="N469" s="17" t="str">
        <f t="shared" si="6"/>
        <v>F</v>
      </c>
      <c r="O469" s="17" t="str">
        <f t="shared" si="7"/>
        <v>F</v>
      </c>
      <c r="P469" s="8">
        <f t="shared" si="8"/>
        <v>1</v>
      </c>
      <c r="R469" s="17" t="str">
        <f t="shared" si="9"/>
        <v>F</v>
      </c>
      <c r="S469" s="3" t="str">
        <f t="shared" si="10"/>
        <v>T</v>
      </c>
      <c r="T469" s="8">
        <f t="shared" si="11"/>
        <v>0</v>
      </c>
      <c r="V469" s="4">
        <f t="shared" si="12"/>
        <v>1</v>
      </c>
      <c r="W469" s="8">
        <f t="shared" si="13"/>
        <v>-9.45</v>
      </c>
      <c r="X469" s="8">
        <f t="shared" si="14"/>
        <v>-9.45</v>
      </c>
      <c r="Y469" s="8">
        <f t="shared" si="15"/>
        <v>17.33</v>
      </c>
    </row>
    <row r="470">
      <c r="A470" s="2">
        <v>463.0</v>
      </c>
      <c r="B470" s="15">
        <f>IFERROR(__xludf.DUMMYFUNCTION("""COMPUTED_VALUE"""),43055.64583333333)</f>
        <v>43055.64583</v>
      </c>
      <c r="C470" s="8">
        <f>IFERROR(__xludf.DUMMYFUNCTION("""COMPUTED_VALUE"""),1664.4)</f>
        <v>1664.4</v>
      </c>
      <c r="E470" s="15">
        <f>IFERROR(__xludf.DUMMYFUNCTION("""COMPUTED_VALUE"""),43055.64583333333)</f>
        <v>43055.64583</v>
      </c>
      <c r="F470" s="8">
        <f>IFERROR(__xludf.DUMMYFUNCTION("""COMPUTED_VALUE"""),903.85)</f>
        <v>903.85</v>
      </c>
      <c r="H470" s="4">
        <f t="shared" si="1"/>
        <v>760.55</v>
      </c>
      <c r="I470" s="16">
        <f t="shared" si="2"/>
        <v>766.712</v>
      </c>
      <c r="J470" s="16">
        <f t="shared" si="3"/>
        <v>18.40468337</v>
      </c>
      <c r="K470" s="16">
        <f t="shared" si="4"/>
        <v>785.1166834</v>
      </c>
      <c r="L470" s="16">
        <f t="shared" si="5"/>
        <v>748.3073166</v>
      </c>
      <c r="N470" s="17" t="str">
        <f t="shared" si="6"/>
        <v>F</v>
      </c>
      <c r="O470" s="17" t="str">
        <f t="shared" si="7"/>
        <v>F</v>
      </c>
      <c r="P470" s="8">
        <f t="shared" si="8"/>
        <v>1</v>
      </c>
      <c r="R470" s="17" t="str">
        <f t="shared" si="9"/>
        <v>F</v>
      </c>
      <c r="S470" s="3" t="str">
        <f t="shared" si="10"/>
        <v>T</v>
      </c>
      <c r="T470" s="8">
        <f t="shared" si="11"/>
        <v>0</v>
      </c>
      <c r="V470" s="4">
        <f t="shared" si="12"/>
        <v>1</v>
      </c>
      <c r="W470" s="8">
        <f t="shared" si="13"/>
        <v>9.78</v>
      </c>
      <c r="X470" s="8">
        <f t="shared" si="14"/>
        <v>9.78</v>
      </c>
      <c r="Y470" s="8">
        <f t="shared" si="15"/>
        <v>27.11</v>
      </c>
    </row>
    <row r="471">
      <c r="A471" s="2">
        <v>464.0</v>
      </c>
      <c r="B471" s="15">
        <f>IFERROR(__xludf.DUMMYFUNCTION("""COMPUTED_VALUE"""),43056.64583333333)</f>
        <v>43056.64583</v>
      </c>
      <c r="C471" s="8">
        <f>IFERROR(__xludf.DUMMYFUNCTION("""COMPUTED_VALUE"""),1705.5)</f>
        <v>1705.5</v>
      </c>
      <c r="E471" s="15">
        <f>IFERROR(__xludf.DUMMYFUNCTION("""COMPUTED_VALUE"""),43056.64583333333)</f>
        <v>43056.64583</v>
      </c>
      <c r="F471" s="8">
        <f>IFERROR(__xludf.DUMMYFUNCTION("""COMPUTED_VALUE"""),912.78)</f>
        <v>912.78</v>
      </c>
      <c r="H471" s="4">
        <f t="shared" si="1"/>
        <v>792.72</v>
      </c>
      <c r="I471" s="16">
        <f t="shared" si="2"/>
        <v>765.556</v>
      </c>
      <c r="J471" s="16">
        <f t="shared" si="3"/>
        <v>15.92315076</v>
      </c>
      <c r="K471" s="16">
        <f t="shared" si="4"/>
        <v>781.4791508</v>
      </c>
      <c r="L471" s="16">
        <f t="shared" si="5"/>
        <v>749.6328492</v>
      </c>
      <c r="N471" s="17" t="str">
        <f t="shared" si="6"/>
        <v>F</v>
      </c>
      <c r="O471" s="17" t="str">
        <f t="shared" si="7"/>
        <v>T</v>
      </c>
      <c r="P471" s="8">
        <f t="shared" si="8"/>
        <v>0</v>
      </c>
      <c r="R471" s="17" t="str">
        <f t="shared" si="9"/>
        <v>T</v>
      </c>
      <c r="S471" s="3" t="str">
        <f t="shared" si="10"/>
        <v>F</v>
      </c>
      <c r="T471" s="8">
        <f t="shared" si="11"/>
        <v>-1</v>
      </c>
      <c r="V471" s="4">
        <f t="shared" si="12"/>
        <v>-1</v>
      </c>
      <c r="W471" s="8">
        <f t="shared" si="13"/>
        <v>32.17</v>
      </c>
      <c r="X471" s="8">
        <f t="shared" si="14"/>
        <v>32.17</v>
      </c>
      <c r="Y471" s="8">
        <f t="shared" si="15"/>
        <v>59.28</v>
      </c>
    </row>
    <row r="472">
      <c r="A472" s="2">
        <v>465.0</v>
      </c>
      <c r="B472" s="15">
        <f>IFERROR(__xludf.DUMMYFUNCTION("""COMPUTED_VALUE"""),43059.64583333333)</f>
        <v>43059.64583</v>
      </c>
      <c r="C472" s="8">
        <f>IFERROR(__xludf.DUMMYFUNCTION("""COMPUTED_VALUE"""),1689.2)</f>
        <v>1689.2</v>
      </c>
      <c r="E472" s="15">
        <f>IFERROR(__xludf.DUMMYFUNCTION("""COMPUTED_VALUE"""),43059.64583333333)</f>
        <v>43059.64583</v>
      </c>
      <c r="F472" s="8">
        <f>IFERROR(__xludf.DUMMYFUNCTION("""COMPUTED_VALUE"""),919.08)</f>
        <v>919.08</v>
      </c>
      <c r="H472" s="4">
        <f t="shared" si="1"/>
        <v>770.12</v>
      </c>
      <c r="I472" s="16">
        <f t="shared" si="2"/>
        <v>766.876</v>
      </c>
      <c r="J472" s="16">
        <f t="shared" si="3"/>
        <v>15.98561635</v>
      </c>
      <c r="K472" s="16">
        <f t="shared" si="4"/>
        <v>782.8616163</v>
      </c>
      <c r="L472" s="16">
        <f t="shared" si="5"/>
        <v>750.8903837</v>
      </c>
      <c r="N472" s="17" t="str">
        <f t="shared" si="6"/>
        <v>F</v>
      </c>
      <c r="O472" s="17" t="str">
        <f t="shared" si="7"/>
        <v>T</v>
      </c>
      <c r="P472" s="8">
        <f t="shared" si="8"/>
        <v>0</v>
      </c>
      <c r="R472" s="17" t="str">
        <f t="shared" si="9"/>
        <v>F</v>
      </c>
      <c r="S472" s="3" t="str">
        <f t="shared" si="10"/>
        <v>F</v>
      </c>
      <c r="T472" s="8">
        <f t="shared" si="11"/>
        <v>-1</v>
      </c>
      <c r="V472" s="4">
        <f t="shared" si="12"/>
        <v>-1</v>
      </c>
      <c r="W472" s="8">
        <f t="shared" si="13"/>
        <v>-22.6</v>
      </c>
      <c r="X472" s="8">
        <f t="shared" si="14"/>
        <v>22.6</v>
      </c>
      <c r="Y472" s="8">
        <f t="shared" si="15"/>
        <v>81.88</v>
      </c>
    </row>
    <row r="473">
      <c r="A473" s="2">
        <v>466.0</v>
      </c>
      <c r="B473" s="15">
        <f>IFERROR(__xludf.DUMMYFUNCTION("""COMPUTED_VALUE"""),43060.64583333333)</f>
        <v>43060.64583</v>
      </c>
      <c r="C473" s="8">
        <f>IFERROR(__xludf.DUMMYFUNCTION("""COMPUTED_VALUE"""),1694.5)</f>
        <v>1694.5</v>
      </c>
      <c r="E473" s="15">
        <f>IFERROR(__xludf.DUMMYFUNCTION("""COMPUTED_VALUE"""),43060.64583333333)</f>
        <v>43060.64583</v>
      </c>
      <c r="F473" s="8">
        <f>IFERROR(__xludf.DUMMYFUNCTION("""COMPUTED_VALUE"""),923.13)</f>
        <v>923.13</v>
      </c>
      <c r="H473" s="4">
        <f t="shared" si="1"/>
        <v>771.37</v>
      </c>
      <c r="I473" s="16">
        <f t="shared" si="2"/>
        <v>769.106</v>
      </c>
      <c r="J473" s="16">
        <f t="shared" si="3"/>
        <v>15.59798801</v>
      </c>
      <c r="K473" s="16">
        <f t="shared" si="4"/>
        <v>784.703988</v>
      </c>
      <c r="L473" s="16">
        <f t="shared" si="5"/>
        <v>753.508012</v>
      </c>
      <c r="N473" s="17" t="str">
        <f t="shared" si="6"/>
        <v>F</v>
      </c>
      <c r="O473" s="17" t="str">
        <f t="shared" si="7"/>
        <v>T</v>
      </c>
      <c r="P473" s="8">
        <f t="shared" si="8"/>
        <v>0</v>
      </c>
      <c r="R473" s="17" t="str">
        <f t="shared" si="9"/>
        <v>F</v>
      </c>
      <c r="S473" s="3" t="str">
        <f t="shared" si="10"/>
        <v>F</v>
      </c>
      <c r="T473" s="8">
        <f t="shared" si="11"/>
        <v>-1</v>
      </c>
      <c r="V473" s="4">
        <f t="shared" si="12"/>
        <v>-1</v>
      </c>
      <c r="W473" s="8">
        <f t="shared" si="13"/>
        <v>1.25</v>
      </c>
      <c r="X473" s="8">
        <f t="shared" si="14"/>
        <v>-1.25</v>
      </c>
      <c r="Y473" s="8">
        <f t="shared" si="15"/>
        <v>80.63</v>
      </c>
    </row>
    <row r="474">
      <c r="A474" s="2">
        <v>467.0</v>
      </c>
      <c r="B474" s="15">
        <f>IFERROR(__xludf.DUMMYFUNCTION("""COMPUTED_VALUE"""),43061.64583333333)</f>
        <v>43061.64583</v>
      </c>
      <c r="C474" s="8">
        <f>IFERROR(__xludf.DUMMYFUNCTION("""COMPUTED_VALUE"""),1718.15)</f>
        <v>1718.15</v>
      </c>
      <c r="E474" s="15">
        <f>IFERROR(__xludf.DUMMYFUNCTION("""COMPUTED_VALUE"""),43061.64583333333)</f>
        <v>43061.64583</v>
      </c>
      <c r="F474" s="8">
        <f>IFERROR(__xludf.DUMMYFUNCTION("""COMPUTED_VALUE"""),927.63)</f>
        <v>927.63</v>
      </c>
      <c r="H474" s="4">
        <f t="shared" si="1"/>
        <v>790.52</v>
      </c>
      <c r="I474" s="16">
        <f t="shared" si="2"/>
        <v>777.056</v>
      </c>
      <c r="J474" s="16">
        <f t="shared" si="3"/>
        <v>13.96000466</v>
      </c>
      <c r="K474" s="16">
        <f t="shared" si="4"/>
        <v>791.0160047</v>
      </c>
      <c r="L474" s="16">
        <f t="shared" si="5"/>
        <v>763.0959953</v>
      </c>
      <c r="N474" s="17" t="str">
        <f t="shared" si="6"/>
        <v>F</v>
      </c>
      <c r="O474" s="17" t="str">
        <f t="shared" si="7"/>
        <v>T</v>
      </c>
      <c r="P474" s="8">
        <f t="shared" si="8"/>
        <v>0</v>
      </c>
      <c r="R474" s="17" t="str">
        <f t="shared" si="9"/>
        <v>F</v>
      </c>
      <c r="S474" s="3" t="str">
        <f t="shared" si="10"/>
        <v>F</v>
      </c>
      <c r="T474" s="8">
        <f t="shared" si="11"/>
        <v>-1</v>
      </c>
      <c r="V474" s="4">
        <f t="shared" si="12"/>
        <v>-1</v>
      </c>
      <c r="W474" s="8">
        <f t="shared" si="13"/>
        <v>19.15</v>
      </c>
      <c r="X474" s="8">
        <f t="shared" si="14"/>
        <v>-19.15</v>
      </c>
      <c r="Y474" s="8">
        <f t="shared" si="15"/>
        <v>61.48</v>
      </c>
    </row>
    <row r="475">
      <c r="A475" s="2">
        <v>468.0</v>
      </c>
      <c r="B475" s="15">
        <f>IFERROR(__xludf.DUMMYFUNCTION("""COMPUTED_VALUE"""),43062.64583333333)</f>
        <v>43062.64583</v>
      </c>
      <c r="C475" s="8">
        <f>IFERROR(__xludf.DUMMYFUNCTION("""COMPUTED_VALUE"""),1704.6)</f>
        <v>1704.6</v>
      </c>
      <c r="E475" s="15">
        <f>IFERROR(__xludf.DUMMYFUNCTION("""COMPUTED_VALUE"""),43062.64583333333)</f>
        <v>43062.64583</v>
      </c>
      <c r="F475" s="8">
        <f>IFERROR(__xludf.DUMMYFUNCTION("""COMPUTED_VALUE"""),921.43)</f>
        <v>921.43</v>
      </c>
      <c r="H475" s="4">
        <f t="shared" si="1"/>
        <v>783.17</v>
      </c>
      <c r="I475" s="16">
        <f t="shared" si="2"/>
        <v>781.58</v>
      </c>
      <c r="J475" s="16">
        <f t="shared" si="3"/>
        <v>10.51340811</v>
      </c>
      <c r="K475" s="16">
        <f t="shared" si="4"/>
        <v>792.0934081</v>
      </c>
      <c r="L475" s="16">
        <f t="shared" si="5"/>
        <v>771.0665919</v>
      </c>
      <c r="N475" s="17" t="str">
        <f t="shared" si="6"/>
        <v>F</v>
      </c>
      <c r="O475" s="17" t="str">
        <f t="shared" si="7"/>
        <v>T</v>
      </c>
      <c r="P475" s="8">
        <f t="shared" si="8"/>
        <v>0</v>
      </c>
      <c r="R475" s="17" t="str">
        <f t="shared" si="9"/>
        <v>F</v>
      </c>
      <c r="S475" s="3" t="str">
        <f t="shared" si="10"/>
        <v>F</v>
      </c>
      <c r="T475" s="8">
        <f t="shared" si="11"/>
        <v>-1</v>
      </c>
      <c r="V475" s="4">
        <f t="shared" si="12"/>
        <v>-1</v>
      </c>
      <c r="W475" s="8">
        <f t="shared" si="13"/>
        <v>-7.35</v>
      </c>
      <c r="X475" s="8">
        <f t="shared" si="14"/>
        <v>7.35</v>
      </c>
      <c r="Y475" s="8">
        <f t="shared" si="15"/>
        <v>68.83</v>
      </c>
    </row>
    <row r="476">
      <c r="A476" s="2">
        <v>469.0</v>
      </c>
      <c r="B476" s="15">
        <f>IFERROR(__xludf.DUMMYFUNCTION("""COMPUTED_VALUE"""),43063.64583333333)</f>
        <v>43063.64583</v>
      </c>
      <c r="C476" s="8">
        <f>IFERROR(__xludf.DUMMYFUNCTION("""COMPUTED_VALUE"""),1711.05)</f>
        <v>1711.05</v>
      </c>
      <c r="E476" s="15">
        <f>IFERROR(__xludf.DUMMYFUNCTION("""COMPUTED_VALUE"""),43063.64583333333)</f>
        <v>43063.64583</v>
      </c>
      <c r="F476" s="8">
        <f>IFERROR(__xludf.DUMMYFUNCTION("""COMPUTED_VALUE"""),925.7)</f>
        <v>925.7</v>
      </c>
      <c r="H476" s="4">
        <f t="shared" si="1"/>
        <v>785.35</v>
      </c>
      <c r="I476" s="16">
        <f t="shared" si="2"/>
        <v>780.106</v>
      </c>
      <c r="J476" s="16">
        <f t="shared" si="3"/>
        <v>8.963494296</v>
      </c>
      <c r="K476" s="16">
        <f t="shared" si="4"/>
        <v>789.0694943</v>
      </c>
      <c r="L476" s="16">
        <f t="shared" si="5"/>
        <v>771.1425057</v>
      </c>
      <c r="N476" s="17" t="str">
        <f t="shared" si="6"/>
        <v>F</v>
      </c>
      <c r="O476" s="17" t="str">
        <f t="shared" si="7"/>
        <v>T</v>
      </c>
      <c r="P476" s="8">
        <f t="shared" si="8"/>
        <v>0</v>
      </c>
      <c r="R476" s="17" t="str">
        <f t="shared" si="9"/>
        <v>F</v>
      </c>
      <c r="S476" s="3" t="str">
        <f t="shared" si="10"/>
        <v>F</v>
      </c>
      <c r="T476" s="8">
        <f t="shared" si="11"/>
        <v>-1</v>
      </c>
      <c r="V476" s="4">
        <f t="shared" si="12"/>
        <v>-1</v>
      </c>
      <c r="W476" s="8">
        <f t="shared" si="13"/>
        <v>2.18</v>
      </c>
      <c r="X476" s="8">
        <f t="shared" si="14"/>
        <v>-2.18</v>
      </c>
      <c r="Y476" s="8">
        <f t="shared" si="15"/>
        <v>66.65</v>
      </c>
    </row>
    <row r="477">
      <c r="A477" s="2">
        <v>470.0</v>
      </c>
      <c r="B477" s="15">
        <f>IFERROR(__xludf.DUMMYFUNCTION("""COMPUTED_VALUE"""),43066.64583333333)</f>
        <v>43066.64583</v>
      </c>
      <c r="C477" s="8">
        <f>IFERROR(__xludf.DUMMYFUNCTION("""COMPUTED_VALUE"""),1711.0)</f>
        <v>1711</v>
      </c>
      <c r="E477" s="15">
        <f>IFERROR(__xludf.DUMMYFUNCTION("""COMPUTED_VALUE"""),43066.64583333333)</f>
        <v>43066.64583</v>
      </c>
      <c r="F477" s="8">
        <f>IFERROR(__xludf.DUMMYFUNCTION("""COMPUTED_VALUE"""),928.78)</f>
        <v>928.78</v>
      </c>
      <c r="H477" s="4">
        <f t="shared" si="1"/>
        <v>782.22</v>
      </c>
      <c r="I477" s="16">
        <f t="shared" si="2"/>
        <v>782.526</v>
      </c>
      <c r="J477" s="16">
        <f t="shared" si="3"/>
        <v>7.015050249</v>
      </c>
      <c r="K477" s="16">
        <f t="shared" si="4"/>
        <v>789.5410502</v>
      </c>
      <c r="L477" s="16">
        <f t="shared" si="5"/>
        <v>775.5109498</v>
      </c>
      <c r="N477" s="17" t="str">
        <f t="shared" si="6"/>
        <v>F</v>
      </c>
      <c r="O477" s="17" t="str">
        <f t="shared" si="7"/>
        <v>F</v>
      </c>
      <c r="P477" s="8">
        <f t="shared" si="8"/>
        <v>0</v>
      </c>
      <c r="R477" s="17" t="str">
        <f t="shared" si="9"/>
        <v>F</v>
      </c>
      <c r="S477" s="3" t="str">
        <f t="shared" si="10"/>
        <v>T</v>
      </c>
      <c r="T477" s="8">
        <f t="shared" si="11"/>
        <v>0</v>
      </c>
      <c r="V477" s="4">
        <f t="shared" si="12"/>
        <v>0</v>
      </c>
      <c r="W477" s="8">
        <f t="shared" si="13"/>
        <v>-3.13</v>
      </c>
      <c r="X477" s="8">
        <f t="shared" si="14"/>
        <v>3.13</v>
      </c>
      <c r="Y477" s="8">
        <f t="shared" si="15"/>
        <v>69.78</v>
      </c>
    </row>
    <row r="478">
      <c r="A478" s="2">
        <v>471.0</v>
      </c>
      <c r="B478" s="15">
        <f>IFERROR(__xludf.DUMMYFUNCTION("""COMPUTED_VALUE"""),43067.64583333333)</f>
        <v>43067.64583</v>
      </c>
      <c r="C478" s="8">
        <f>IFERROR(__xludf.DUMMYFUNCTION("""COMPUTED_VALUE"""),1725.5)</f>
        <v>1725.5</v>
      </c>
      <c r="E478" s="15">
        <f>IFERROR(__xludf.DUMMYFUNCTION("""COMPUTED_VALUE"""),43067.64583333333)</f>
        <v>43067.64583</v>
      </c>
      <c r="F478" s="8">
        <f>IFERROR(__xludf.DUMMYFUNCTION("""COMPUTED_VALUE"""),932.68)</f>
        <v>932.68</v>
      </c>
      <c r="H478" s="4">
        <f t="shared" si="1"/>
        <v>792.82</v>
      </c>
      <c r="I478" s="16">
        <f t="shared" si="2"/>
        <v>786.816</v>
      </c>
      <c r="J478" s="16">
        <f t="shared" si="3"/>
        <v>4.645786263</v>
      </c>
      <c r="K478" s="16">
        <f t="shared" si="4"/>
        <v>791.4617863</v>
      </c>
      <c r="L478" s="16">
        <f t="shared" si="5"/>
        <v>782.1702137</v>
      </c>
      <c r="N478" s="17" t="str">
        <f t="shared" si="6"/>
        <v>F</v>
      </c>
      <c r="O478" s="17" t="str">
        <f t="shared" si="7"/>
        <v>T</v>
      </c>
      <c r="P478" s="8">
        <f t="shared" si="8"/>
        <v>0</v>
      </c>
      <c r="R478" s="17" t="str">
        <f t="shared" si="9"/>
        <v>T</v>
      </c>
      <c r="S478" s="3" t="str">
        <f t="shared" si="10"/>
        <v>F</v>
      </c>
      <c r="T478" s="8">
        <f t="shared" si="11"/>
        <v>-1</v>
      </c>
      <c r="V478" s="4">
        <f t="shared" si="12"/>
        <v>-1</v>
      </c>
      <c r="W478" s="8">
        <f t="shared" si="13"/>
        <v>10.6</v>
      </c>
      <c r="X478" s="8">
        <f t="shared" si="14"/>
        <v>0</v>
      </c>
      <c r="Y478" s="8">
        <f t="shared" si="15"/>
        <v>69.78</v>
      </c>
    </row>
    <row r="479">
      <c r="A479" s="2">
        <v>472.0</v>
      </c>
      <c r="B479" s="15">
        <f>IFERROR(__xludf.DUMMYFUNCTION("""COMPUTED_VALUE"""),43068.64583333333)</f>
        <v>43068.64583</v>
      </c>
      <c r="C479" s="8">
        <f>IFERROR(__xludf.DUMMYFUNCTION("""COMPUTED_VALUE"""),1704.15)</f>
        <v>1704.15</v>
      </c>
      <c r="E479" s="15">
        <f>IFERROR(__xludf.DUMMYFUNCTION("""COMPUTED_VALUE"""),43068.64583333333)</f>
        <v>43068.64583</v>
      </c>
      <c r="F479" s="8">
        <f>IFERROR(__xludf.DUMMYFUNCTION("""COMPUTED_VALUE"""),936.65)</f>
        <v>936.65</v>
      </c>
      <c r="H479" s="4">
        <f t="shared" si="1"/>
        <v>767.5</v>
      </c>
      <c r="I479" s="16">
        <f t="shared" si="2"/>
        <v>782.212</v>
      </c>
      <c r="J479" s="16">
        <f t="shared" si="3"/>
        <v>9.215984483</v>
      </c>
      <c r="K479" s="16">
        <f t="shared" si="4"/>
        <v>791.4279845</v>
      </c>
      <c r="L479" s="16">
        <f t="shared" si="5"/>
        <v>772.9960155</v>
      </c>
      <c r="N479" s="17" t="str">
        <f t="shared" si="6"/>
        <v>T</v>
      </c>
      <c r="O479" s="17" t="str">
        <f t="shared" si="7"/>
        <v>F</v>
      </c>
      <c r="P479" s="8">
        <f t="shared" si="8"/>
        <v>1</v>
      </c>
      <c r="R479" s="17" t="str">
        <f t="shared" si="9"/>
        <v>F</v>
      </c>
      <c r="S479" s="3" t="str">
        <f t="shared" si="10"/>
        <v>T</v>
      </c>
      <c r="T479" s="8">
        <f t="shared" si="11"/>
        <v>0</v>
      </c>
      <c r="V479" s="4">
        <f t="shared" si="12"/>
        <v>1</v>
      </c>
      <c r="W479" s="8">
        <f t="shared" si="13"/>
        <v>-25.32</v>
      </c>
      <c r="X479" s="8">
        <f t="shared" si="14"/>
        <v>25.32</v>
      </c>
      <c r="Y479" s="8">
        <f t="shared" si="15"/>
        <v>95.1</v>
      </c>
    </row>
    <row r="480">
      <c r="A480" s="2">
        <v>473.0</v>
      </c>
      <c r="B480" s="15">
        <f>IFERROR(__xludf.DUMMYFUNCTION("""COMPUTED_VALUE"""),43069.64583333333)</f>
        <v>43069.64583</v>
      </c>
      <c r="C480" s="8">
        <f>IFERROR(__xludf.DUMMYFUNCTION("""COMPUTED_VALUE"""),1675.7)</f>
        <v>1675.7</v>
      </c>
      <c r="E480" s="15">
        <f>IFERROR(__xludf.DUMMYFUNCTION("""COMPUTED_VALUE"""),43069.64583333333)</f>
        <v>43069.64583</v>
      </c>
      <c r="F480" s="8">
        <f>IFERROR(__xludf.DUMMYFUNCTION("""COMPUTED_VALUE"""),926.85)</f>
        <v>926.85</v>
      </c>
      <c r="H480" s="4">
        <f t="shared" si="1"/>
        <v>748.85</v>
      </c>
      <c r="I480" s="16">
        <f t="shared" si="2"/>
        <v>775.348</v>
      </c>
      <c r="J480" s="16">
        <f t="shared" si="3"/>
        <v>17.43753337</v>
      </c>
      <c r="K480" s="16">
        <f t="shared" si="4"/>
        <v>792.7855334</v>
      </c>
      <c r="L480" s="16">
        <f t="shared" si="5"/>
        <v>757.9104666</v>
      </c>
      <c r="N480" s="17" t="str">
        <f t="shared" si="6"/>
        <v>T</v>
      </c>
      <c r="O480" s="17" t="str">
        <f t="shared" si="7"/>
        <v>F</v>
      </c>
      <c r="P480" s="8">
        <f t="shared" si="8"/>
        <v>1</v>
      </c>
      <c r="R480" s="17" t="str">
        <f t="shared" si="9"/>
        <v>F</v>
      </c>
      <c r="S480" s="3" t="str">
        <f t="shared" si="10"/>
        <v>T</v>
      </c>
      <c r="T480" s="8">
        <f t="shared" si="11"/>
        <v>0</v>
      </c>
      <c r="V480" s="4">
        <f t="shared" si="12"/>
        <v>1</v>
      </c>
      <c r="W480" s="8">
        <f t="shared" si="13"/>
        <v>-18.65</v>
      </c>
      <c r="X480" s="8">
        <f t="shared" si="14"/>
        <v>-18.65</v>
      </c>
      <c r="Y480" s="8">
        <f t="shared" si="15"/>
        <v>76.45</v>
      </c>
    </row>
    <row r="481">
      <c r="A481" s="2">
        <v>474.0</v>
      </c>
      <c r="B481" s="15">
        <f>IFERROR(__xludf.DUMMYFUNCTION("""COMPUTED_VALUE"""),43070.64583333333)</f>
        <v>43070.64583</v>
      </c>
      <c r="C481" s="8">
        <f>IFERROR(__xludf.DUMMYFUNCTION("""COMPUTED_VALUE"""),1658.8)</f>
        <v>1658.8</v>
      </c>
      <c r="E481" s="15">
        <f>IFERROR(__xludf.DUMMYFUNCTION("""COMPUTED_VALUE"""),43070.64583333333)</f>
        <v>43070.64583</v>
      </c>
      <c r="F481" s="8">
        <f>IFERROR(__xludf.DUMMYFUNCTION("""COMPUTED_VALUE"""),924.1)</f>
        <v>924.1</v>
      </c>
      <c r="H481" s="4">
        <f t="shared" si="1"/>
        <v>734.7</v>
      </c>
      <c r="I481" s="16">
        <f t="shared" si="2"/>
        <v>765.218</v>
      </c>
      <c r="J481" s="16">
        <f t="shared" si="3"/>
        <v>23.74555579</v>
      </c>
      <c r="K481" s="16">
        <f t="shared" si="4"/>
        <v>788.9635558</v>
      </c>
      <c r="L481" s="16">
        <f t="shared" si="5"/>
        <v>741.4724442</v>
      </c>
      <c r="N481" s="17" t="str">
        <f t="shared" si="6"/>
        <v>T</v>
      </c>
      <c r="O481" s="17" t="str">
        <f t="shared" si="7"/>
        <v>F</v>
      </c>
      <c r="P481" s="8">
        <f t="shared" si="8"/>
        <v>1</v>
      </c>
      <c r="R481" s="17" t="str">
        <f t="shared" si="9"/>
        <v>F</v>
      </c>
      <c r="S481" s="3" t="str">
        <f t="shared" si="10"/>
        <v>T</v>
      </c>
      <c r="T481" s="8">
        <f t="shared" si="11"/>
        <v>0</v>
      </c>
      <c r="V481" s="4">
        <f t="shared" si="12"/>
        <v>1</v>
      </c>
      <c r="W481" s="8">
        <f t="shared" si="13"/>
        <v>-14.15</v>
      </c>
      <c r="X481" s="8">
        <f t="shared" si="14"/>
        <v>-14.15</v>
      </c>
      <c r="Y481" s="8">
        <f t="shared" si="15"/>
        <v>62.3</v>
      </c>
    </row>
    <row r="482">
      <c r="A482" s="2">
        <v>475.0</v>
      </c>
      <c r="B482" s="15">
        <f>IFERROR(__xludf.DUMMYFUNCTION("""COMPUTED_VALUE"""),43073.64583333333)</f>
        <v>43073.64583</v>
      </c>
      <c r="C482" s="8">
        <f>IFERROR(__xludf.DUMMYFUNCTION("""COMPUTED_VALUE"""),1680.4)</f>
        <v>1680.4</v>
      </c>
      <c r="E482" s="15">
        <f>IFERROR(__xludf.DUMMYFUNCTION("""COMPUTED_VALUE"""),43073.64583333333)</f>
        <v>43073.64583</v>
      </c>
      <c r="F482" s="8">
        <f>IFERROR(__xludf.DUMMYFUNCTION("""COMPUTED_VALUE"""),917.05)</f>
        <v>917.05</v>
      </c>
      <c r="H482" s="4">
        <f t="shared" si="1"/>
        <v>763.35</v>
      </c>
      <c r="I482" s="16">
        <f t="shared" si="2"/>
        <v>761.444</v>
      </c>
      <c r="J482" s="16">
        <f t="shared" si="3"/>
        <v>21.78653093</v>
      </c>
      <c r="K482" s="16">
        <f t="shared" si="4"/>
        <v>783.2305309</v>
      </c>
      <c r="L482" s="16">
        <f t="shared" si="5"/>
        <v>739.6574691</v>
      </c>
      <c r="N482" s="17" t="str">
        <f t="shared" si="6"/>
        <v>F</v>
      </c>
      <c r="O482" s="17" t="str">
        <f t="shared" si="7"/>
        <v>T</v>
      </c>
      <c r="P482" s="8">
        <f t="shared" si="8"/>
        <v>0</v>
      </c>
      <c r="R482" s="17" t="str">
        <f t="shared" si="9"/>
        <v>F</v>
      </c>
      <c r="S482" s="3" t="str">
        <f t="shared" si="10"/>
        <v>F</v>
      </c>
      <c r="T482" s="8">
        <f t="shared" si="11"/>
        <v>0</v>
      </c>
      <c r="V482" s="4">
        <f t="shared" si="12"/>
        <v>0</v>
      </c>
      <c r="W482" s="8">
        <f t="shared" si="13"/>
        <v>28.65</v>
      </c>
      <c r="X482" s="8">
        <f t="shared" si="14"/>
        <v>28.65</v>
      </c>
      <c r="Y482" s="8">
        <f t="shared" si="15"/>
        <v>90.95</v>
      </c>
    </row>
    <row r="483">
      <c r="A483" s="2">
        <v>476.0</v>
      </c>
      <c r="B483" s="15">
        <f>IFERROR(__xludf.DUMMYFUNCTION("""COMPUTED_VALUE"""),43074.64583333333)</f>
        <v>43074.64583</v>
      </c>
      <c r="C483" s="8">
        <f>IFERROR(__xludf.DUMMYFUNCTION("""COMPUTED_VALUE"""),1679.5)</f>
        <v>1679.5</v>
      </c>
      <c r="E483" s="15">
        <f>IFERROR(__xludf.DUMMYFUNCTION("""COMPUTED_VALUE"""),43074.64583333333)</f>
        <v>43074.64583</v>
      </c>
      <c r="F483" s="8">
        <f>IFERROR(__xludf.DUMMYFUNCTION("""COMPUTED_VALUE"""),910.23)</f>
        <v>910.23</v>
      </c>
      <c r="H483" s="4">
        <f t="shared" si="1"/>
        <v>769.27</v>
      </c>
      <c r="I483" s="16">
        <f t="shared" si="2"/>
        <v>756.734</v>
      </c>
      <c r="J483" s="16">
        <f t="shared" si="3"/>
        <v>14.7010554</v>
      </c>
      <c r="K483" s="16">
        <f t="shared" si="4"/>
        <v>771.4350554</v>
      </c>
      <c r="L483" s="16">
        <f t="shared" si="5"/>
        <v>742.0329446</v>
      </c>
      <c r="N483" s="17" t="str">
        <f t="shared" si="6"/>
        <v>F</v>
      </c>
      <c r="O483" s="17" t="str">
        <f t="shared" si="7"/>
        <v>T</v>
      </c>
      <c r="P483" s="8">
        <f t="shared" si="8"/>
        <v>0</v>
      </c>
      <c r="R483" s="17" t="str">
        <f t="shared" si="9"/>
        <v>F</v>
      </c>
      <c r="S483" s="3" t="str">
        <f t="shared" si="10"/>
        <v>F</v>
      </c>
      <c r="T483" s="8">
        <f t="shared" si="11"/>
        <v>0</v>
      </c>
      <c r="V483" s="4">
        <f t="shared" si="12"/>
        <v>0</v>
      </c>
      <c r="W483" s="8">
        <f t="shared" si="13"/>
        <v>5.92</v>
      </c>
      <c r="X483" s="8">
        <f t="shared" si="14"/>
        <v>0</v>
      </c>
      <c r="Y483" s="8">
        <f t="shared" si="15"/>
        <v>90.95</v>
      </c>
    </row>
    <row r="484">
      <c r="A484" s="2">
        <v>477.0</v>
      </c>
      <c r="B484" s="15">
        <f>IFERROR(__xludf.DUMMYFUNCTION("""COMPUTED_VALUE"""),43075.64583333333)</f>
        <v>43075.64583</v>
      </c>
      <c r="C484" s="8">
        <f>IFERROR(__xludf.DUMMYFUNCTION("""COMPUTED_VALUE"""),1648.4)</f>
        <v>1648.4</v>
      </c>
      <c r="E484" s="15">
        <f>IFERROR(__xludf.DUMMYFUNCTION("""COMPUTED_VALUE"""),43075.64583333333)</f>
        <v>43075.64583</v>
      </c>
      <c r="F484" s="8">
        <f>IFERROR(__xludf.DUMMYFUNCTION("""COMPUTED_VALUE"""),901.65)</f>
        <v>901.65</v>
      </c>
      <c r="H484" s="4">
        <f t="shared" si="1"/>
        <v>746.75</v>
      </c>
      <c r="I484" s="16">
        <f t="shared" si="2"/>
        <v>752.584</v>
      </c>
      <c r="J484" s="16">
        <f t="shared" si="3"/>
        <v>13.80348797</v>
      </c>
      <c r="K484" s="16">
        <f t="shared" si="4"/>
        <v>766.387488</v>
      </c>
      <c r="L484" s="16">
        <f t="shared" si="5"/>
        <v>738.780512</v>
      </c>
      <c r="N484" s="17" t="str">
        <f t="shared" si="6"/>
        <v>F</v>
      </c>
      <c r="O484" s="17" t="str">
        <f t="shared" si="7"/>
        <v>F</v>
      </c>
      <c r="P484" s="8">
        <f t="shared" si="8"/>
        <v>0</v>
      </c>
      <c r="R484" s="17" t="str">
        <f t="shared" si="9"/>
        <v>F</v>
      </c>
      <c r="S484" s="3" t="str">
        <f t="shared" si="10"/>
        <v>T</v>
      </c>
      <c r="T484" s="8">
        <f t="shared" si="11"/>
        <v>0</v>
      </c>
      <c r="V484" s="4">
        <f t="shared" si="12"/>
        <v>0</v>
      </c>
      <c r="W484" s="8">
        <f t="shared" si="13"/>
        <v>-22.52</v>
      </c>
      <c r="X484" s="8">
        <f t="shared" si="14"/>
        <v>0</v>
      </c>
      <c r="Y484" s="8">
        <f t="shared" si="15"/>
        <v>90.95</v>
      </c>
    </row>
    <row r="485">
      <c r="A485" s="2">
        <v>478.0</v>
      </c>
      <c r="B485" s="15">
        <f>IFERROR(__xludf.DUMMYFUNCTION("""COMPUTED_VALUE"""),43076.64583333333)</f>
        <v>43076.64583</v>
      </c>
      <c r="C485" s="8">
        <f>IFERROR(__xludf.DUMMYFUNCTION("""COMPUTED_VALUE"""),1653.1)</f>
        <v>1653.1</v>
      </c>
      <c r="E485" s="15">
        <f>IFERROR(__xludf.DUMMYFUNCTION("""COMPUTED_VALUE"""),43076.64583333333)</f>
        <v>43076.64583</v>
      </c>
      <c r="F485" s="8">
        <f>IFERROR(__xludf.DUMMYFUNCTION("""COMPUTED_VALUE"""),905.45)</f>
        <v>905.45</v>
      </c>
      <c r="H485" s="4">
        <f t="shared" si="1"/>
        <v>747.65</v>
      </c>
      <c r="I485" s="16">
        <f t="shared" si="2"/>
        <v>752.344</v>
      </c>
      <c r="J485" s="16">
        <f t="shared" si="3"/>
        <v>13.89477168</v>
      </c>
      <c r="K485" s="16">
        <f t="shared" si="4"/>
        <v>766.2387717</v>
      </c>
      <c r="L485" s="16">
        <f t="shared" si="5"/>
        <v>738.4492283</v>
      </c>
      <c r="N485" s="17" t="str">
        <f t="shared" si="6"/>
        <v>F</v>
      </c>
      <c r="O485" s="17" t="str">
        <f t="shared" si="7"/>
        <v>F</v>
      </c>
      <c r="P485" s="8">
        <f t="shared" si="8"/>
        <v>0</v>
      </c>
      <c r="R485" s="17" t="str">
        <f t="shared" si="9"/>
        <v>F</v>
      </c>
      <c r="S485" s="3" t="str">
        <f t="shared" si="10"/>
        <v>T</v>
      </c>
      <c r="T485" s="8">
        <f t="shared" si="11"/>
        <v>0</v>
      </c>
      <c r="V485" s="4">
        <f t="shared" si="12"/>
        <v>0</v>
      </c>
      <c r="W485" s="8">
        <f t="shared" si="13"/>
        <v>0.9</v>
      </c>
      <c r="X485" s="8">
        <f t="shared" si="14"/>
        <v>0</v>
      </c>
      <c r="Y485" s="8">
        <f t="shared" si="15"/>
        <v>90.95</v>
      </c>
    </row>
    <row r="486">
      <c r="A486" s="2">
        <v>479.0</v>
      </c>
      <c r="B486" s="15">
        <f>IFERROR(__xludf.DUMMYFUNCTION("""COMPUTED_VALUE"""),43077.64583333333)</f>
        <v>43077.64583</v>
      </c>
      <c r="C486" s="8">
        <f>IFERROR(__xludf.DUMMYFUNCTION("""COMPUTED_VALUE"""),1682.95)</f>
        <v>1682.95</v>
      </c>
      <c r="E486" s="15">
        <f>IFERROR(__xludf.DUMMYFUNCTION("""COMPUTED_VALUE"""),43077.64583333333)</f>
        <v>43077.64583</v>
      </c>
      <c r="F486" s="8">
        <f>IFERROR(__xludf.DUMMYFUNCTION("""COMPUTED_VALUE"""),920.2)</f>
        <v>920.2</v>
      </c>
      <c r="H486" s="4">
        <f t="shared" si="1"/>
        <v>762.75</v>
      </c>
      <c r="I486" s="16">
        <f t="shared" si="2"/>
        <v>757.954</v>
      </c>
      <c r="J486" s="16">
        <f t="shared" si="3"/>
        <v>10.14731886</v>
      </c>
      <c r="K486" s="16">
        <f t="shared" si="4"/>
        <v>768.1013189</v>
      </c>
      <c r="L486" s="16">
        <f t="shared" si="5"/>
        <v>747.8066811</v>
      </c>
      <c r="N486" s="17" t="str">
        <f t="shared" si="6"/>
        <v>F</v>
      </c>
      <c r="O486" s="17" t="str">
        <f t="shared" si="7"/>
        <v>T</v>
      </c>
      <c r="P486" s="8">
        <f t="shared" si="8"/>
        <v>0</v>
      </c>
      <c r="R486" s="17" t="str">
        <f t="shared" si="9"/>
        <v>F</v>
      </c>
      <c r="S486" s="3" t="str">
        <f t="shared" si="10"/>
        <v>F</v>
      </c>
      <c r="T486" s="8">
        <f t="shared" si="11"/>
        <v>0</v>
      </c>
      <c r="V486" s="4">
        <f t="shared" si="12"/>
        <v>0</v>
      </c>
      <c r="W486" s="8">
        <f t="shared" si="13"/>
        <v>15.1</v>
      </c>
      <c r="X486" s="8">
        <f t="shared" si="14"/>
        <v>0</v>
      </c>
      <c r="Y486" s="8">
        <f t="shared" si="15"/>
        <v>90.95</v>
      </c>
    </row>
    <row r="487">
      <c r="A487" s="2">
        <v>480.0</v>
      </c>
      <c r="B487" s="15">
        <f>IFERROR(__xludf.DUMMYFUNCTION("""COMPUTED_VALUE"""),43080.64583333333)</f>
        <v>43080.64583</v>
      </c>
      <c r="C487" s="8">
        <f>IFERROR(__xludf.DUMMYFUNCTION("""COMPUTED_VALUE"""),1709.95)</f>
        <v>1709.95</v>
      </c>
      <c r="E487" s="15">
        <f>IFERROR(__xludf.DUMMYFUNCTION("""COMPUTED_VALUE"""),43080.64583333333)</f>
        <v>43080.64583</v>
      </c>
      <c r="F487" s="8">
        <f>IFERROR(__xludf.DUMMYFUNCTION("""COMPUTED_VALUE"""),923.2)</f>
        <v>923.2</v>
      </c>
      <c r="H487" s="4">
        <f t="shared" si="1"/>
        <v>786.75</v>
      </c>
      <c r="I487" s="16">
        <f t="shared" si="2"/>
        <v>762.634</v>
      </c>
      <c r="J487" s="16">
        <f t="shared" si="3"/>
        <v>16.60160474</v>
      </c>
      <c r="K487" s="16">
        <f t="shared" si="4"/>
        <v>779.2356047</v>
      </c>
      <c r="L487" s="16">
        <f t="shared" si="5"/>
        <v>746.0323953</v>
      </c>
      <c r="N487" s="17" t="str">
        <f t="shared" si="6"/>
        <v>F</v>
      </c>
      <c r="O487" s="17" t="str">
        <f t="shared" si="7"/>
        <v>T</v>
      </c>
      <c r="P487" s="8">
        <f t="shared" si="8"/>
        <v>0</v>
      </c>
      <c r="R487" s="17" t="str">
        <f t="shared" si="9"/>
        <v>T</v>
      </c>
      <c r="S487" s="3" t="str">
        <f t="shared" si="10"/>
        <v>F</v>
      </c>
      <c r="T487" s="8">
        <f t="shared" si="11"/>
        <v>-1</v>
      </c>
      <c r="V487" s="4">
        <f t="shared" si="12"/>
        <v>-1</v>
      </c>
      <c r="W487" s="8">
        <f t="shared" si="13"/>
        <v>24</v>
      </c>
      <c r="X487" s="8">
        <f t="shared" si="14"/>
        <v>0</v>
      </c>
      <c r="Y487" s="8">
        <f t="shared" si="15"/>
        <v>90.95</v>
      </c>
    </row>
    <row r="488">
      <c r="A488" s="2">
        <v>481.0</v>
      </c>
      <c r="B488" s="15">
        <f>IFERROR(__xludf.DUMMYFUNCTION("""COMPUTED_VALUE"""),43081.64583333333)</f>
        <v>43081.64583</v>
      </c>
      <c r="C488" s="8">
        <f>IFERROR(__xludf.DUMMYFUNCTION("""COMPUTED_VALUE"""),1710.8)</f>
        <v>1710.8</v>
      </c>
      <c r="E488" s="15">
        <f>IFERROR(__xludf.DUMMYFUNCTION("""COMPUTED_VALUE"""),43081.64583333333)</f>
        <v>43081.64583</v>
      </c>
      <c r="F488" s="8">
        <f>IFERROR(__xludf.DUMMYFUNCTION("""COMPUTED_VALUE"""),909.95)</f>
        <v>909.95</v>
      </c>
      <c r="H488" s="4">
        <f t="shared" si="1"/>
        <v>800.85</v>
      </c>
      <c r="I488" s="16">
        <f t="shared" si="2"/>
        <v>768.95</v>
      </c>
      <c r="J488" s="16">
        <f t="shared" si="3"/>
        <v>24.08017857</v>
      </c>
      <c r="K488" s="16">
        <f t="shared" si="4"/>
        <v>793.0301786</v>
      </c>
      <c r="L488" s="16">
        <f t="shared" si="5"/>
        <v>744.8698214</v>
      </c>
      <c r="N488" s="17" t="str">
        <f t="shared" si="6"/>
        <v>F</v>
      </c>
      <c r="O488" s="17" t="str">
        <f t="shared" si="7"/>
        <v>T</v>
      </c>
      <c r="P488" s="8">
        <f t="shared" si="8"/>
        <v>0</v>
      </c>
      <c r="R488" s="17" t="str">
        <f t="shared" si="9"/>
        <v>T</v>
      </c>
      <c r="S488" s="3" t="str">
        <f t="shared" si="10"/>
        <v>F</v>
      </c>
      <c r="T488" s="8">
        <f t="shared" si="11"/>
        <v>-1</v>
      </c>
      <c r="V488" s="4">
        <f t="shared" si="12"/>
        <v>-1</v>
      </c>
      <c r="W488" s="8">
        <f t="shared" si="13"/>
        <v>14.1</v>
      </c>
      <c r="X488" s="8">
        <f t="shared" si="14"/>
        <v>-14.1</v>
      </c>
      <c r="Y488" s="8">
        <f t="shared" si="15"/>
        <v>76.85</v>
      </c>
    </row>
    <row r="489">
      <c r="A489" s="2">
        <v>482.0</v>
      </c>
      <c r="B489" s="15">
        <f>IFERROR(__xludf.DUMMYFUNCTION("""COMPUTED_VALUE"""),43082.64583333333)</f>
        <v>43082.64583</v>
      </c>
      <c r="C489" s="8">
        <f>IFERROR(__xludf.DUMMYFUNCTION("""COMPUTED_VALUE"""),1696.7)</f>
        <v>1696.7</v>
      </c>
      <c r="E489" s="15">
        <f>IFERROR(__xludf.DUMMYFUNCTION("""COMPUTED_VALUE"""),43082.64583333333)</f>
        <v>43082.64583</v>
      </c>
      <c r="F489" s="8">
        <f>IFERROR(__xludf.DUMMYFUNCTION("""COMPUTED_VALUE"""),910.68)</f>
        <v>910.68</v>
      </c>
      <c r="H489" s="4">
        <f t="shared" si="1"/>
        <v>786.02</v>
      </c>
      <c r="I489" s="16">
        <f t="shared" si="2"/>
        <v>776.804</v>
      </c>
      <c r="J489" s="16">
        <f t="shared" si="3"/>
        <v>21.26933426</v>
      </c>
      <c r="K489" s="16">
        <f t="shared" si="4"/>
        <v>798.0733343</v>
      </c>
      <c r="L489" s="16">
        <f t="shared" si="5"/>
        <v>755.5346657</v>
      </c>
      <c r="N489" s="17" t="str">
        <f t="shared" si="6"/>
        <v>F</v>
      </c>
      <c r="O489" s="17" t="str">
        <f t="shared" si="7"/>
        <v>T</v>
      </c>
      <c r="P489" s="8">
        <f t="shared" si="8"/>
        <v>0</v>
      </c>
      <c r="R489" s="17" t="str">
        <f t="shared" si="9"/>
        <v>F</v>
      </c>
      <c r="S489" s="3" t="str">
        <f t="shared" si="10"/>
        <v>F</v>
      </c>
      <c r="T489" s="8">
        <f t="shared" si="11"/>
        <v>-1</v>
      </c>
      <c r="V489" s="4">
        <f t="shared" si="12"/>
        <v>-1</v>
      </c>
      <c r="W489" s="8">
        <f t="shared" si="13"/>
        <v>-14.83</v>
      </c>
      <c r="X489" s="8">
        <f t="shared" si="14"/>
        <v>14.83</v>
      </c>
      <c r="Y489" s="8">
        <f t="shared" si="15"/>
        <v>91.68</v>
      </c>
    </row>
    <row r="490">
      <c r="A490" s="2">
        <v>483.0</v>
      </c>
      <c r="B490" s="15">
        <f>IFERROR(__xludf.DUMMYFUNCTION("""COMPUTED_VALUE"""),43083.64583333333)</f>
        <v>43083.64583</v>
      </c>
      <c r="C490" s="8">
        <f>IFERROR(__xludf.DUMMYFUNCTION("""COMPUTED_VALUE"""),1704.5)</f>
        <v>1704.5</v>
      </c>
      <c r="E490" s="15">
        <f>IFERROR(__xludf.DUMMYFUNCTION("""COMPUTED_VALUE"""),43083.64583333333)</f>
        <v>43083.64583</v>
      </c>
      <c r="F490" s="8">
        <f>IFERROR(__xludf.DUMMYFUNCTION("""COMPUTED_VALUE"""),919.03)</f>
        <v>919.03</v>
      </c>
      <c r="H490" s="4">
        <f t="shared" si="1"/>
        <v>785.47</v>
      </c>
      <c r="I490" s="16">
        <f t="shared" si="2"/>
        <v>784.368</v>
      </c>
      <c r="J490" s="16">
        <f t="shared" si="3"/>
        <v>13.6803845</v>
      </c>
      <c r="K490" s="16">
        <f t="shared" si="4"/>
        <v>798.0483845</v>
      </c>
      <c r="L490" s="16">
        <f t="shared" si="5"/>
        <v>770.6876155</v>
      </c>
      <c r="N490" s="17" t="str">
        <f t="shared" si="6"/>
        <v>F</v>
      </c>
      <c r="O490" s="17" t="str">
        <f t="shared" si="7"/>
        <v>T</v>
      </c>
      <c r="P490" s="8">
        <f t="shared" si="8"/>
        <v>0</v>
      </c>
      <c r="R490" s="17" t="str">
        <f t="shared" si="9"/>
        <v>F</v>
      </c>
      <c r="S490" s="3" t="str">
        <f t="shared" si="10"/>
        <v>F</v>
      </c>
      <c r="T490" s="8">
        <f t="shared" si="11"/>
        <v>-1</v>
      </c>
      <c r="V490" s="4">
        <f t="shared" si="12"/>
        <v>-1</v>
      </c>
      <c r="W490" s="8">
        <f t="shared" si="13"/>
        <v>-0.55</v>
      </c>
      <c r="X490" s="8">
        <f t="shared" si="14"/>
        <v>0.55</v>
      </c>
      <c r="Y490" s="8">
        <f t="shared" si="15"/>
        <v>92.23</v>
      </c>
    </row>
    <row r="491">
      <c r="A491" s="2">
        <v>484.0</v>
      </c>
      <c r="B491" s="15">
        <f>IFERROR(__xludf.DUMMYFUNCTION("""COMPUTED_VALUE"""),43084.64583333333)</f>
        <v>43084.64583</v>
      </c>
      <c r="C491" s="8">
        <f>IFERROR(__xludf.DUMMYFUNCTION("""COMPUTED_VALUE"""),1723.0)</f>
        <v>1723</v>
      </c>
      <c r="E491" s="15">
        <f>IFERROR(__xludf.DUMMYFUNCTION("""COMPUTED_VALUE"""),43084.64583333333)</f>
        <v>43084.64583</v>
      </c>
      <c r="F491" s="8">
        <f>IFERROR(__xludf.DUMMYFUNCTION("""COMPUTED_VALUE"""),936.73)</f>
        <v>936.73</v>
      </c>
      <c r="H491" s="4">
        <f t="shared" si="1"/>
        <v>786.27</v>
      </c>
      <c r="I491" s="16">
        <f t="shared" si="2"/>
        <v>789.072</v>
      </c>
      <c r="J491" s="16">
        <f t="shared" si="3"/>
        <v>6.60025151</v>
      </c>
      <c r="K491" s="16">
        <f t="shared" si="4"/>
        <v>795.6722515</v>
      </c>
      <c r="L491" s="16">
        <f t="shared" si="5"/>
        <v>782.4717485</v>
      </c>
      <c r="N491" s="17" t="str">
        <f t="shared" si="6"/>
        <v>F</v>
      </c>
      <c r="O491" s="17" t="str">
        <f t="shared" si="7"/>
        <v>F</v>
      </c>
      <c r="P491" s="8">
        <f t="shared" si="8"/>
        <v>0</v>
      </c>
      <c r="R491" s="17" t="str">
        <f t="shared" si="9"/>
        <v>F</v>
      </c>
      <c r="S491" s="3" t="str">
        <f t="shared" si="10"/>
        <v>T</v>
      </c>
      <c r="T491" s="8">
        <f t="shared" si="11"/>
        <v>0</v>
      </c>
      <c r="V491" s="4">
        <f t="shared" si="12"/>
        <v>0</v>
      </c>
      <c r="W491" s="8">
        <f t="shared" si="13"/>
        <v>0.8</v>
      </c>
      <c r="X491" s="8">
        <f t="shared" si="14"/>
        <v>-0.8</v>
      </c>
      <c r="Y491" s="8">
        <f t="shared" si="15"/>
        <v>91.43</v>
      </c>
    </row>
    <row r="492">
      <c r="A492" s="2">
        <v>485.0</v>
      </c>
      <c r="B492" s="15">
        <f>IFERROR(__xludf.DUMMYFUNCTION("""COMPUTED_VALUE"""),43087.64583333333)</f>
        <v>43087.64583</v>
      </c>
      <c r="C492" s="8">
        <f>IFERROR(__xludf.DUMMYFUNCTION("""COMPUTED_VALUE"""),1719.95)</f>
        <v>1719.95</v>
      </c>
      <c r="E492" s="15">
        <f>IFERROR(__xludf.DUMMYFUNCTION("""COMPUTED_VALUE"""),43087.64583333333)</f>
        <v>43087.64583</v>
      </c>
      <c r="F492" s="8">
        <f>IFERROR(__xludf.DUMMYFUNCTION("""COMPUTED_VALUE"""),939.48)</f>
        <v>939.48</v>
      </c>
      <c r="H492" s="4">
        <f t="shared" si="1"/>
        <v>780.47</v>
      </c>
      <c r="I492" s="16">
        <f t="shared" si="2"/>
        <v>787.816</v>
      </c>
      <c r="J492" s="16">
        <f t="shared" si="3"/>
        <v>7.664338197</v>
      </c>
      <c r="K492" s="16">
        <f t="shared" si="4"/>
        <v>795.4803382</v>
      </c>
      <c r="L492" s="16">
        <f t="shared" si="5"/>
        <v>780.1516618</v>
      </c>
      <c r="N492" s="17" t="str">
        <f t="shared" si="6"/>
        <v>F</v>
      </c>
      <c r="O492" s="17" t="str">
        <f t="shared" si="7"/>
        <v>F</v>
      </c>
      <c r="P492" s="8">
        <f t="shared" si="8"/>
        <v>0</v>
      </c>
      <c r="R492" s="17" t="str">
        <f t="shared" si="9"/>
        <v>F</v>
      </c>
      <c r="S492" s="3" t="str">
        <f t="shared" si="10"/>
        <v>T</v>
      </c>
      <c r="T492" s="8">
        <f t="shared" si="11"/>
        <v>0</v>
      </c>
      <c r="V492" s="4">
        <f t="shared" si="12"/>
        <v>0</v>
      </c>
      <c r="W492" s="8">
        <f t="shared" si="13"/>
        <v>-5.8</v>
      </c>
      <c r="X492" s="8">
        <f t="shared" si="14"/>
        <v>0</v>
      </c>
      <c r="Y492" s="8">
        <f t="shared" si="15"/>
        <v>91.43</v>
      </c>
    </row>
    <row r="493">
      <c r="A493" s="2">
        <v>486.0</v>
      </c>
      <c r="B493" s="15">
        <f>IFERROR(__xludf.DUMMYFUNCTION("""COMPUTED_VALUE"""),43088.64583333333)</f>
        <v>43088.64583</v>
      </c>
      <c r="C493" s="8">
        <f>IFERROR(__xludf.DUMMYFUNCTION("""COMPUTED_VALUE"""),1709.15)</f>
        <v>1709.15</v>
      </c>
      <c r="E493" s="15">
        <f>IFERROR(__xludf.DUMMYFUNCTION("""COMPUTED_VALUE"""),43088.64583333333)</f>
        <v>43088.64583</v>
      </c>
      <c r="F493" s="8">
        <f>IFERROR(__xludf.DUMMYFUNCTION("""COMPUTED_VALUE"""),942.25)</f>
        <v>942.25</v>
      </c>
      <c r="H493" s="4">
        <f t="shared" si="1"/>
        <v>766.9</v>
      </c>
      <c r="I493" s="16">
        <f t="shared" si="2"/>
        <v>781.026</v>
      </c>
      <c r="J493" s="16">
        <f t="shared" si="3"/>
        <v>8.246843639</v>
      </c>
      <c r="K493" s="16">
        <f t="shared" si="4"/>
        <v>789.2728436</v>
      </c>
      <c r="L493" s="16">
        <f t="shared" si="5"/>
        <v>772.7791564</v>
      </c>
      <c r="N493" s="17" t="str">
        <f t="shared" si="6"/>
        <v>T</v>
      </c>
      <c r="O493" s="17" t="str">
        <f t="shared" si="7"/>
        <v>F</v>
      </c>
      <c r="P493" s="8">
        <f t="shared" si="8"/>
        <v>1</v>
      </c>
      <c r="R493" s="17" t="str">
        <f t="shared" si="9"/>
        <v>F</v>
      </c>
      <c r="S493" s="3" t="str">
        <f t="shared" si="10"/>
        <v>T</v>
      </c>
      <c r="T493" s="8">
        <f t="shared" si="11"/>
        <v>0</v>
      </c>
      <c r="V493" s="4">
        <f t="shared" si="12"/>
        <v>1</v>
      </c>
      <c r="W493" s="8">
        <f t="shared" si="13"/>
        <v>-13.57</v>
      </c>
      <c r="X493" s="8">
        <f t="shared" si="14"/>
        <v>0</v>
      </c>
      <c r="Y493" s="8">
        <f t="shared" si="15"/>
        <v>91.43</v>
      </c>
    </row>
    <row r="494">
      <c r="A494" s="2">
        <v>487.0</v>
      </c>
      <c r="B494" s="15">
        <f>IFERROR(__xludf.DUMMYFUNCTION("""COMPUTED_VALUE"""),43089.64583333333)</f>
        <v>43089.64583</v>
      </c>
      <c r="C494" s="8">
        <f>IFERROR(__xludf.DUMMYFUNCTION("""COMPUTED_VALUE"""),1693.7)</f>
        <v>1693.7</v>
      </c>
      <c r="E494" s="15">
        <f>IFERROR(__xludf.DUMMYFUNCTION("""COMPUTED_VALUE"""),43089.64583333333)</f>
        <v>43089.64583</v>
      </c>
      <c r="F494" s="8">
        <f>IFERROR(__xludf.DUMMYFUNCTION("""COMPUTED_VALUE"""),934.08)</f>
        <v>934.08</v>
      </c>
      <c r="H494" s="4">
        <f t="shared" si="1"/>
        <v>759.62</v>
      </c>
      <c r="I494" s="16">
        <f t="shared" si="2"/>
        <v>775.746</v>
      </c>
      <c r="J494" s="16">
        <f t="shared" si="3"/>
        <v>11.89460508</v>
      </c>
      <c r="K494" s="16">
        <f t="shared" si="4"/>
        <v>787.6406051</v>
      </c>
      <c r="L494" s="16">
        <f t="shared" si="5"/>
        <v>763.8513949</v>
      </c>
      <c r="N494" s="17" t="str">
        <f t="shared" si="6"/>
        <v>T</v>
      </c>
      <c r="O494" s="17" t="str">
        <f t="shared" si="7"/>
        <v>F</v>
      </c>
      <c r="P494" s="8">
        <f t="shared" si="8"/>
        <v>1</v>
      </c>
      <c r="R494" s="17" t="str">
        <f t="shared" si="9"/>
        <v>F</v>
      </c>
      <c r="S494" s="3" t="str">
        <f t="shared" si="10"/>
        <v>T</v>
      </c>
      <c r="T494" s="8">
        <f t="shared" si="11"/>
        <v>0</v>
      </c>
      <c r="V494" s="4">
        <f t="shared" si="12"/>
        <v>1</v>
      </c>
      <c r="W494" s="8">
        <f t="shared" si="13"/>
        <v>-7.28</v>
      </c>
      <c r="X494" s="8">
        <f t="shared" si="14"/>
        <v>-7.28</v>
      </c>
      <c r="Y494" s="8">
        <f t="shared" si="15"/>
        <v>84.15</v>
      </c>
    </row>
    <row r="495">
      <c r="A495" s="2">
        <v>488.0</v>
      </c>
      <c r="B495" s="15">
        <f>IFERROR(__xludf.DUMMYFUNCTION("""COMPUTED_VALUE"""),43090.64583333333)</f>
        <v>43090.64583</v>
      </c>
      <c r="C495" s="8">
        <f>IFERROR(__xludf.DUMMYFUNCTION("""COMPUTED_VALUE"""),1701.9)</f>
        <v>1701.9</v>
      </c>
      <c r="E495" s="15">
        <f>IFERROR(__xludf.DUMMYFUNCTION("""COMPUTED_VALUE"""),43090.64583333333)</f>
        <v>43090.64583</v>
      </c>
      <c r="F495" s="8">
        <f>IFERROR(__xludf.DUMMYFUNCTION("""COMPUTED_VALUE"""),934.15)</f>
        <v>934.15</v>
      </c>
      <c r="H495" s="4">
        <f t="shared" si="1"/>
        <v>767.75</v>
      </c>
      <c r="I495" s="16">
        <f t="shared" si="2"/>
        <v>772.202</v>
      </c>
      <c r="J495" s="16">
        <f t="shared" si="3"/>
        <v>10.86860939</v>
      </c>
      <c r="K495" s="16">
        <f t="shared" si="4"/>
        <v>783.0706094</v>
      </c>
      <c r="L495" s="16">
        <f t="shared" si="5"/>
        <v>761.3333906</v>
      </c>
      <c r="N495" s="17" t="str">
        <f t="shared" si="6"/>
        <v>F</v>
      </c>
      <c r="O495" s="17" t="str">
        <f t="shared" si="7"/>
        <v>F</v>
      </c>
      <c r="P495" s="8">
        <f t="shared" si="8"/>
        <v>1</v>
      </c>
      <c r="R495" s="17" t="str">
        <f t="shared" si="9"/>
        <v>F</v>
      </c>
      <c r="S495" s="3" t="str">
        <f t="shared" si="10"/>
        <v>T</v>
      </c>
      <c r="T495" s="8">
        <f t="shared" si="11"/>
        <v>0</v>
      </c>
      <c r="V495" s="4">
        <f t="shared" si="12"/>
        <v>1</v>
      </c>
      <c r="W495" s="8">
        <f t="shared" si="13"/>
        <v>8.13</v>
      </c>
      <c r="X495" s="8">
        <f t="shared" si="14"/>
        <v>8.13</v>
      </c>
      <c r="Y495" s="8">
        <f t="shared" si="15"/>
        <v>92.28</v>
      </c>
    </row>
    <row r="496">
      <c r="A496" s="2">
        <v>489.0</v>
      </c>
      <c r="B496" s="15">
        <f>IFERROR(__xludf.DUMMYFUNCTION("""COMPUTED_VALUE"""),43091.64583333333)</f>
        <v>43091.64583</v>
      </c>
      <c r="C496" s="8">
        <f>IFERROR(__xludf.DUMMYFUNCTION("""COMPUTED_VALUE"""),1709.35)</f>
        <v>1709.35</v>
      </c>
      <c r="E496" s="15">
        <f>IFERROR(__xludf.DUMMYFUNCTION("""COMPUTED_VALUE"""),43091.64583333333)</f>
        <v>43091.64583</v>
      </c>
      <c r="F496" s="8">
        <f>IFERROR(__xludf.DUMMYFUNCTION("""COMPUTED_VALUE"""),938.33)</f>
        <v>938.33</v>
      </c>
      <c r="H496" s="4">
        <f t="shared" si="1"/>
        <v>771.02</v>
      </c>
      <c r="I496" s="16">
        <f t="shared" si="2"/>
        <v>769.152</v>
      </c>
      <c r="J496" s="16">
        <f t="shared" si="3"/>
        <v>7.574342876</v>
      </c>
      <c r="K496" s="16">
        <f t="shared" si="4"/>
        <v>776.7263429</v>
      </c>
      <c r="L496" s="16">
        <f t="shared" si="5"/>
        <v>761.5776571</v>
      </c>
      <c r="N496" s="17" t="str">
        <f t="shared" si="6"/>
        <v>F</v>
      </c>
      <c r="O496" s="17" t="str">
        <f t="shared" si="7"/>
        <v>T</v>
      </c>
      <c r="P496" s="8">
        <f t="shared" si="8"/>
        <v>0</v>
      </c>
      <c r="R496" s="17" t="str">
        <f t="shared" si="9"/>
        <v>F</v>
      </c>
      <c r="S496" s="3" t="str">
        <f t="shared" si="10"/>
        <v>F</v>
      </c>
      <c r="T496" s="8">
        <f t="shared" si="11"/>
        <v>0</v>
      </c>
      <c r="V496" s="4">
        <f t="shared" si="12"/>
        <v>0</v>
      </c>
      <c r="W496" s="8">
        <f t="shared" si="13"/>
        <v>3.27</v>
      </c>
      <c r="X496" s="8">
        <f t="shared" si="14"/>
        <v>3.27</v>
      </c>
      <c r="Y496" s="8">
        <f t="shared" si="15"/>
        <v>95.55</v>
      </c>
    </row>
    <row r="497">
      <c r="A497" s="2">
        <v>490.0</v>
      </c>
      <c r="B497" s="15">
        <f>IFERROR(__xludf.DUMMYFUNCTION("""COMPUTED_VALUE"""),43095.64583333333)</f>
        <v>43095.64583</v>
      </c>
      <c r="C497" s="8">
        <f>IFERROR(__xludf.DUMMYFUNCTION("""COMPUTED_VALUE"""),1713.2)</f>
        <v>1713.2</v>
      </c>
      <c r="E497" s="15">
        <f>IFERROR(__xludf.DUMMYFUNCTION("""COMPUTED_VALUE"""),43095.64583333333)</f>
        <v>43095.64583</v>
      </c>
      <c r="F497" s="8">
        <f>IFERROR(__xludf.DUMMYFUNCTION("""COMPUTED_VALUE"""),934.18)</f>
        <v>934.18</v>
      </c>
      <c r="H497" s="4">
        <f t="shared" si="1"/>
        <v>779.02</v>
      </c>
      <c r="I497" s="16">
        <f t="shared" si="2"/>
        <v>768.862</v>
      </c>
      <c r="J497" s="16">
        <f t="shared" si="3"/>
        <v>7.041705759</v>
      </c>
      <c r="K497" s="16">
        <f t="shared" si="4"/>
        <v>775.9037058</v>
      </c>
      <c r="L497" s="16">
        <f t="shared" si="5"/>
        <v>761.8202942</v>
      </c>
      <c r="N497" s="17" t="str">
        <f t="shared" si="6"/>
        <v>F</v>
      </c>
      <c r="O497" s="17" t="str">
        <f t="shared" si="7"/>
        <v>T</v>
      </c>
      <c r="P497" s="8">
        <f t="shared" si="8"/>
        <v>0</v>
      </c>
      <c r="R497" s="17" t="str">
        <f t="shared" si="9"/>
        <v>T</v>
      </c>
      <c r="S497" s="3" t="str">
        <f t="shared" si="10"/>
        <v>F</v>
      </c>
      <c r="T497" s="8">
        <f t="shared" si="11"/>
        <v>-1</v>
      </c>
      <c r="V497" s="4">
        <f t="shared" si="12"/>
        <v>-1</v>
      </c>
      <c r="W497" s="8">
        <f t="shared" si="13"/>
        <v>8</v>
      </c>
      <c r="X497" s="8">
        <f t="shared" si="14"/>
        <v>0</v>
      </c>
      <c r="Y497" s="8">
        <f t="shared" si="15"/>
        <v>95.55</v>
      </c>
    </row>
    <row r="498">
      <c r="A498" s="2">
        <v>491.0</v>
      </c>
      <c r="B498" s="15">
        <f>IFERROR(__xludf.DUMMYFUNCTION("""COMPUTED_VALUE"""),43096.64583333333)</f>
        <v>43096.64583</v>
      </c>
      <c r="C498" s="8">
        <f>IFERROR(__xludf.DUMMYFUNCTION("""COMPUTED_VALUE"""),1707.9)</f>
        <v>1707.9</v>
      </c>
      <c r="E498" s="15">
        <f>IFERROR(__xludf.DUMMYFUNCTION("""COMPUTED_VALUE"""),43096.64583333333)</f>
        <v>43096.64583</v>
      </c>
      <c r="F498" s="8">
        <f>IFERROR(__xludf.DUMMYFUNCTION("""COMPUTED_VALUE"""),928.38)</f>
        <v>928.38</v>
      </c>
      <c r="H498" s="4">
        <f t="shared" si="1"/>
        <v>779.52</v>
      </c>
      <c r="I498" s="16">
        <f t="shared" si="2"/>
        <v>771.386</v>
      </c>
      <c r="J498" s="16">
        <f t="shared" si="3"/>
        <v>8.310131166</v>
      </c>
      <c r="K498" s="16">
        <f t="shared" si="4"/>
        <v>779.6961312</v>
      </c>
      <c r="L498" s="16">
        <f t="shared" si="5"/>
        <v>763.0758688</v>
      </c>
      <c r="N498" s="17" t="str">
        <f t="shared" si="6"/>
        <v>F</v>
      </c>
      <c r="O498" s="17" t="str">
        <f t="shared" si="7"/>
        <v>T</v>
      </c>
      <c r="P498" s="8">
        <f t="shared" si="8"/>
        <v>0</v>
      </c>
      <c r="R498" s="17" t="str">
        <f t="shared" si="9"/>
        <v>F</v>
      </c>
      <c r="S498" s="3" t="str">
        <f t="shared" si="10"/>
        <v>F</v>
      </c>
      <c r="T498" s="8">
        <f t="shared" si="11"/>
        <v>-1</v>
      </c>
      <c r="V498" s="4">
        <f t="shared" si="12"/>
        <v>-1</v>
      </c>
      <c r="W498" s="8">
        <f t="shared" si="13"/>
        <v>0.5</v>
      </c>
      <c r="X498" s="8">
        <f t="shared" si="14"/>
        <v>-0.5</v>
      </c>
      <c r="Y498" s="8">
        <f t="shared" si="15"/>
        <v>95.05</v>
      </c>
    </row>
    <row r="499">
      <c r="A499" s="2">
        <v>492.0</v>
      </c>
      <c r="B499" s="15">
        <f>IFERROR(__xludf.DUMMYFUNCTION("""COMPUTED_VALUE"""),43097.64583333333)</f>
        <v>43097.64583</v>
      </c>
      <c r="C499" s="8">
        <f>IFERROR(__xludf.DUMMYFUNCTION("""COMPUTED_VALUE"""),1696.15)</f>
        <v>1696.15</v>
      </c>
      <c r="E499" s="15">
        <f>IFERROR(__xludf.DUMMYFUNCTION("""COMPUTED_VALUE"""),43097.64583333333)</f>
        <v>43097.64583</v>
      </c>
      <c r="F499" s="8">
        <f>IFERROR(__xludf.DUMMYFUNCTION("""COMPUTED_VALUE"""),939.03)</f>
        <v>939.03</v>
      </c>
      <c r="H499" s="4">
        <f t="shared" si="1"/>
        <v>757.12</v>
      </c>
      <c r="I499" s="16">
        <f t="shared" si="2"/>
        <v>770.886</v>
      </c>
      <c r="J499" s="16">
        <f t="shared" si="3"/>
        <v>9.220400208</v>
      </c>
      <c r="K499" s="16">
        <f t="shared" si="4"/>
        <v>780.1064002</v>
      </c>
      <c r="L499" s="16">
        <f t="shared" si="5"/>
        <v>761.6655998</v>
      </c>
      <c r="N499" s="17" t="str">
        <f t="shared" si="6"/>
        <v>T</v>
      </c>
      <c r="O499" s="17" t="str">
        <f t="shared" si="7"/>
        <v>F</v>
      </c>
      <c r="P499" s="8">
        <f t="shared" si="8"/>
        <v>1</v>
      </c>
      <c r="R499" s="17" t="str">
        <f t="shared" si="9"/>
        <v>F</v>
      </c>
      <c r="S499" s="3" t="str">
        <f t="shared" si="10"/>
        <v>T</v>
      </c>
      <c r="T499" s="8">
        <f t="shared" si="11"/>
        <v>0</v>
      </c>
      <c r="V499" s="4">
        <f t="shared" si="12"/>
        <v>1</v>
      </c>
      <c r="W499" s="8">
        <f t="shared" si="13"/>
        <v>-22.4</v>
      </c>
      <c r="X499" s="8">
        <f t="shared" si="14"/>
        <v>22.4</v>
      </c>
      <c r="Y499" s="8">
        <f t="shared" si="15"/>
        <v>117.45</v>
      </c>
    </row>
    <row r="500">
      <c r="A500" s="2">
        <v>493.0</v>
      </c>
      <c r="B500" s="15">
        <f>IFERROR(__xludf.DUMMYFUNCTION("""COMPUTED_VALUE"""),43098.64583333333)</f>
        <v>43098.64583</v>
      </c>
      <c r="C500" s="8">
        <f>IFERROR(__xludf.DUMMYFUNCTION("""COMPUTED_VALUE"""),1710.4)</f>
        <v>1710.4</v>
      </c>
      <c r="E500" s="15">
        <f>IFERROR(__xludf.DUMMYFUNCTION("""COMPUTED_VALUE"""),43098.64583333333)</f>
        <v>43098.64583</v>
      </c>
      <c r="F500" s="8">
        <f>IFERROR(__xludf.DUMMYFUNCTION("""COMPUTED_VALUE"""),936.2)</f>
        <v>936.2</v>
      </c>
      <c r="H500" s="4">
        <f t="shared" si="1"/>
        <v>774.2</v>
      </c>
      <c r="I500" s="16">
        <f t="shared" si="2"/>
        <v>772.176</v>
      </c>
      <c r="J500" s="16">
        <f t="shared" si="3"/>
        <v>9.122646546</v>
      </c>
      <c r="K500" s="16">
        <f t="shared" si="4"/>
        <v>781.2986465</v>
      </c>
      <c r="L500" s="16">
        <f t="shared" si="5"/>
        <v>763.0533535</v>
      </c>
      <c r="N500" s="17" t="str">
        <f t="shared" si="6"/>
        <v>F</v>
      </c>
      <c r="O500" s="17" t="str">
        <f t="shared" si="7"/>
        <v>T</v>
      </c>
      <c r="P500" s="8">
        <f t="shared" si="8"/>
        <v>0</v>
      </c>
      <c r="R500" s="17" t="str">
        <f t="shared" si="9"/>
        <v>F</v>
      </c>
      <c r="S500" s="3" t="str">
        <f t="shared" si="10"/>
        <v>F</v>
      </c>
      <c r="T500" s="8">
        <f t="shared" si="11"/>
        <v>0</v>
      </c>
      <c r="V500" s="4">
        <f t="shared" si="12"/>
        <v>0</v>
      </c>
      <c r="W500" s="8">
        <f t="shared" si="13"/>
        <v>17.08</v>
      </c>
      <c r="X500" s="8">
        <f t="shared" si="14"/>
        <v>17.08</v>
      </c>
      <c r="Y500" s="8">
        <f t="shared" si="15"/>
        <v>134.53</v>
      </c>
    </row>
    <row r="501">
      <c r="A501" s="2">
        <v>494.0</v>
      </c>
      <c r="B501" s="15">
        <f>IFERROR(__xludf.DUMMYFUNCTION("""COMPUTED_VALUE"""),43101.64583333333)</f>
        <v>43101.64583</v>
      </c>
      <c r="C501" s="8">
        <f>IFERROR(__xludf.DUMMYFUNCTION("""COMPUTED_VALUE"""),1683.75)</f>
        <v>1683.75</v>
      </c>
      <c r="E501" s="15">
        <f>IFERROR(__xludf.DUMMYFUNCTION("""COMPUTED_VALUE"""),43101.64583333333)</f>
        <v>43101.64583</v>
      </c>
      <c r="F501" s="8">
        <f>IFERROR(__xludf.DUMMYFUNCTION("""COMPUTED_VALUE"""),927.25)</f>
        <v>927.25</v>
      </c>
      <c r="H501" s="4">
        <f t="shared" si="1"/>
        <v>756.5</v>
      </c>
      <c r="I501" s="16">
        <f t="shared" si="2"/>
        <v>769.272</v>
      </c>
      <c r="J501" s="16">
        <f t="shared" si="3"/>
        <v>11.56638751</v>
      </c>
      <c r="K501" s="16">
        <f t="shared" si="4"/>
        <v>780.8383875</v>
      </c>
      <c r="L501" s="16">
        <f t="shared" si="5"/>
        <v>757.7056125</v>
      </c>
      <c r="N501" s="17" t="str">
        <f t="shared" si="6"/>
        <v>T</v>
      </c>
      <c r="O501" s="17" t="str">
        <f t="shared" si="7"/>
        <v>F</v>
      </c>
      <c r="P501" s="8">
        <f t="shared" si="8"/>
        <v>1</v>
      </c>
      <c r="R501" s="17" t="str">
        <f t="shared" si="9"/>
        <v>F</v>
      </c>
      <c r="S501" s="3" t="str">
        <f t="shared" si="10"/>
        <v>T</v>
      </c>
      <c r="T501" s="8">
        <f t="shared" si="11"/>
        <v>0</v>
      </c>
      <c r="V501" s="4">
        <f t="shared" si="12"/>
        <v>1</v>
      </c>
      <c r="W501" s="8">
        <f t="shared" si="13"/>
        <v>-17.7</v>
      </c>
      <c r="X501" s="8">
        <f t="shared" si="14"/>
        <v>0</v>
      </c>
      <c r="Y501" s="8">
        <f t="shared" si="15"/>
        <v>134.53</v>
      </c>
    </row>
    <row r="502">
      <c r="A502" s="2">
        <v>495.0</v>
      </c>
      <c r="B502" s="15">
        <f>IFERROR(__xludf.DUMMYFUNCTION("""COMPUTED_VALUE"""),43102.64583333333)</f>
        <v>43102.64583</v>
      </c>
      <c r="C502" s="8">
        <f>IFERROR(__xludf.DUMMYFUNCTION("""COMPUTED_VALUE"""),1703.25)</f>
        <v>1703.25</v>
      </c>
      <c r="E502" s="15">
        <f>IFERROR(__xludf.DUMMYFUNCTION("""COMPUTED_VALUE"""),43102.64583333333)</f>
        <v>43102.64583</v>
      </c>
      <c r="F502" s="8">
        <f>IFERROR(__xludf.DUMMYFUNCTION("""COMPUTED_VALUE"""),936.18)</f>
        <v>936.18</v>
      </c>
      <c r="H502" s="4">
        <f t="shared" si="1"/>
        <v>767.07</v>
      </c>
      <c r="I502" s="16">
        <f t="shared" si="2"/>
        <v>766.882</v>
      </c>
      <c r="J502" s="16">
        <f t="shared" si="3"/>
        <v>10.20281922</v>
      </c>
      <c r="K502" s="16">
        <f t="shared" si="4"/>
        <v>777.0848192</v>
      </c>
      <c r="L502" s="16">
        <f t="shared" si="5"/>
        <v>756.6791808</v>
      </c>
      <c r="N502" s="17" t="str">
        <f t="shared" si="6"/>
        <v>F</v>
      </c>
      <c r="O502" s="17" t="str">
        <f t="shared" si="7"/>
        <v>T</v>
      </c>
      <c r="P502" s="8">
        <f t="shared" si="8"/>
        <v>0</v>
      </c>
      <c r="R502" s="17" t="str">
        <f t="shared" si="9"/>
        <v>F</v>
      </c>
      <c r="S502" s="3" t="str">
        <f t="shared" si="10"/>
        <v>F</v>
      </c>
      <c r="T502" s="8">
        <f t="shared" si="11"/>
        <v>0</v>
      </c>
      <c r="V502" s="4">
        <f t="shared" si="12"/>
        <v>0</v>
      </c>
      <c r="W502" s="8">
        <f t="shared" si="13"/>
        <v>10.57</v>
      </c>
      <c r="X502" s="8">
        <f t="shared" si="14"/>
        <v>10.57</v>
      </c>
      <c r="Y502" s="8">
        <f t="shared" si="15"/>
        <v>145.1</v>
      </c>
    </row>
    <row r="503">
      <c r="A503" s="2">
        <v>496.0</v>
      </c>
      <c r="B503" s="15">
        <f>IFERROR(__xludf.DUMMYFUNCTION("""COMPUTED_VALUE"""),43103.64583333333)</f>
        <v>43103.64583</v>
      </c>
      <c r="C503" s="8">
        <f>IFERROR(__xludf.DUMMYFUNCTION("""COMPUTED_VALUE"""),1700.8)</f>
        <v>1700.8</v>
      </c>
      <c r="E503" s="15">
        <f>IFERROR(__xludf.DUMMYFUNCTION("""COMPUTED_VALUE"""),43103.64583333333)</f>
        <v>43103.64583</v>
      </c>
      <c r="F503" s="8">
        <f>IFERROR(__xludf.DUMMYFUNCTION("""COMPUTED_VALUE"""),926.33)</f>
        <v>926.33</v>
      </c>
      <c r="H503" s="4">
        <f t="shared" si="1"/>
        <v>774.47</v>
      </c>
      <c r="I503" s="16">
        <f t="shared" si="2"/>
        <v>765.872</v>
      </c>
      <c r="J503" s="16">
        <f t="shared" si="3"/>
        <v>8.791306501</v>
      </c>
      <c r="K503" s="16">
        <f t="shared" si="4"/>
        <v>774.6633065</v>
      </c>
      <c r="L503" s="16">
        <f t="shared" si="5"/>
        <v>757.0806935</v>
      </c>
      <c r="N503" s="17" t="str">
        <f t="shared" si="6"/>
        <v>F</v>
      </c>
      <c r="O503" s="17" t="str">
        <f t="shared" si="7"/>
        <v>T</v>
      </c>
      <c r="P503" s="8">
        <f t="shared" si="8"/>
        <v>0</v>
      </c>
      <c r="R503" s="17" t="str">
        <f t="shared" si="9"/>
        <v>F</v>
      </c>
      <c r="S503" s="3" t="str">
        <f t="shared" si="10"/>
        <v>F</v>
      </c>
      <c r="T503" s="8">
        <f t="shared" si="11"/>
        <v>0</v>
      </c>
      <c r="V503" s="4">
        <f t="shared" si="12"/>
        <v>0</v>
      </c>
      <c r="W503" s="8">
        <f t="shared" si="13"/>
        <v>7.4</v>
      </c>
      <c r="X503" s="8">
        <f t="shared" si="14"/>
        <v>0</v>
      </c>
      <c r="Y503" s="8">
        <f t="shared" si="15"/>
        <v>145.1</v>
      </c>
    </row>
    <row r="504">
      <c r="A504" s="2">
        <v>497.0</v>
      </c>
      <c r="B504" s="15">
        <f>IFERROR(__xludf.DUMMYFUNCTION("""COMPUTED_VALUE"""),43104.64583333333)</f>
        <v>43104.64583</v>
      </c>
      <c r="C504" s="8">
        <f>IFERROR(__xludf.DUMMYFUNCTION("""COMPUTED_VALUE"""),1703.2)</f>
        <v>1703.2</v>
      </c>
      <c r="E504" s="15">
        <f>IFERROR(__xludf.DUMMYFUNCTION("""COMPUTED_VALUE"""),43104.64583333333)</f>
        <v>43104.64583</v>
      </c>
      <c r="F504" s="8">
        <f>IFERROR(__xludf.DUMMYFUNCTION("""COMPUTED_VALUE"""),929.95)</f>
        <v>929.95</v>
      </c>
      <c r="H504" s="4">
        <f t="shared" si="1"/>
        <v>773.25</v>
      </c>
      <c r="I504" s="16">
        <f t="shared" si="2"/>
        <v>769.098</v>
      </c>
      <c r="J504" s="16">
        <f t="shared" si="3"/>
        <v>7.664043972</v>
      </c>
      <c r="K504" s="16">
        <f t="shared" si="4"/>
        <v>776.762044</v>
      </c>
      <c r="L504" s="16">
        <f t="shared" si="5"/>
        <v>761.433956</v>
      </c>
      <c r="N504" s="17" t="str">
        <f t="shared" si="6"/>
        <v>F</v>
      </c>
      <c r="O504" s="17" t="str">
        <f t="shared" si="7"/>
        <v>T</v>
      </c>
      <c r="P504" s="8">
        <f t="shared" si="8"/>
        <v>0</v>
      </c>
      <c r="R504" s="17" t="str">
        <f t="shared" si="9"/>
        <v>F</v>
      </c>
      <c r="S504" s="3" t="str">
        <f t="shared" si="10"/>
        <v>F</v>
      </c>
      <c r="T504" s="8">
        <f t="shared" si="11"/>
        <v>0</v>
      </c>
      <c r="V504" s="4">
        <f t="shared" si="12"/>
        <v>0</v>
      </c>
      <c r="W504" s="8">
        <f t="shared" si="13"/>
        <v>-1.22</v>
      </c>
      <c r="X504" s="8">
        <f t="shared" si="14"/>
        <v>0</v>
      </c>
      <c r="Y504" s="8">
        <f t="shared" si="15"/>
        <v>145.1</v>
      </c>
    </row>
    <row r="505">
      <c r="A505" s="2">
        <v>498.0</v>
      </c>
      <c r="B505" s="15">
        <f>IFERROR(__xludf.DUMMYFUNCTION("""COMPUTED_VALUE"""),43105.64583333333)</f>
        <v>43105.64583</v>
      </c>
      <c r="C505" s="8">
        <f>IFERROR(__xludf.DUMMYFUNCTION("""COMPUTED_VALUE"""),1725.2)</f>
        <v>1725.2</v>
      </c>
      <c r="E505" s="15">
        <f>IFERROR(__xludf.DUMMYFUNCTION("""COMPUTED_VALUE"""),43105.64583333333)</f>
        <v>43105.64583</v>
      </c>
      <c r="F505" s="8">
        <f>IFERROR(__xludf.DUMMYFUNCTION("""COMPUTED_VALUE"""),931.8)</f>
        <v>931.8</v>
      </c>
      <c r="H505" s="4">
        <f t="shared" si="1"/>
        <v>793.4</v>
      </c>
      <c r="I505" s="16">
        <f t="shared" si="2"/>
        <v>772.938</v>
      </c>
      <c r="J505" s="16">
        <f t="shared" si="3"/>
        <v>13.47014365</v>
      </c>
      <c r="K505" s="16">
        <f t="shared" si="4"/>
        <v>786.4081437</v>
      </c>
      <c r="L505" s="16">
        <f t="shared" si="5"/>
        <v>759.4678563</v>
      </c>
      <c r="N505" s="17" t="str">
        <f t="shared" si="6"/>
        <v>F</v>
      </c>
      <c r="O505" s="17" t="str">
        <f t="shared" si="7"/>
        <v>T</v>
      </c>
      <c r="P505" s="8">
        <f t="shared" si="8"/>
        <v>0</v>
      </c>
      <c r="R505" s="17" t="str">
        <f t="shared" si="9"/>
        <v>T</v>
      </c>
      <c r="S505" s="3" t="str">
        <f t="shared" si="10"/>
        <v>F</v>
      </c>
      <c r="T505" s="8">
        <f t="shared" si="11"/>
        <v>-1</v>
      </c>
      <c r="V505" s="4">
        <f t="shared" si="12"/>
        <v>-1</v>
      </c>
      <c r="W505" s="8">
        <f t="shared" si="13"/>
        <v>20.15</v>
      </c>
      <c r="X505" s="8">
        <f t="shared" si="14"/>
        <v>0</v>
      </c>
      <c r="Y505" s="8">
        <f t="shared" si="15"/>
        <v>145.1</v>
      </c>
    </row>
    <row r="506">
      <c r="A506" s="2">
        <v>499.0</v>
      </c>
      <c r="B506" s="15">
        <f>IFERROR(__xludf.DUMMYFUNCTION("""COMPUTED_VALUE"""),43108.64583333333)</f>
        <v>43108.64583</v>
      </c>
      <c r="C506" s="8">
        <f>IFERROR(__xludf.DUMMYFUNCTION("""COMPUTED_VALUE"""),1740.95)</f>
        <v>1740.95</v>
      </c>
      <c r="E506" s="15">
        <f>IFERROR(__xludf.DUMMYFUNCTION("""COMPUTED_VALUE"""),43108.64583333333)</f>
        <v>43108.64583</v>
      </c>
      <c r="F506" s="8">
        <f>IFERROR(__xludf.DUMMYFUNCTION("""COMPUTED_VALUE"""),930.3)</f>
        <v>930.3</v>
      </c>
      <c r="H506" s="4">
        <f t="shared" si="1"/>
        <v>810.65</v>
      </c>
      <c r="I506" s="16">
        <f t="shared" si="2"/>
        <v>783.768</v>
      </c>
      <c r="J506" s="16">
        <f t="shared" si="3"/>
        <v>17.96748229</v>
      </c>
      <c r="K506" s="16">
        <f t="shared" si="4"/>
        <v>801.7354823</v>
      </c>
      <c r="L506" s="16">
        <f t="shared" si="5"/>
        <v>765.8005177</v>
      </c>
      <c r="N506" s="17" t="str">
        <f t="shared" si="6"/>
        <v>F</v>
      </c>
      <c r="O506" s="17" t="str">
        <f t="shared" si="7"/>
        <v>T</v>
      </c>
      <c r="P506" s="8">
        <f t="shared" si="8"/>
        <v>0</v>
      </c>
      <c r="R506" s="17" t="str">
        <f t="shared" si="9"/>
        <v>T</v>
      </c>
      <c r="S506" s="3" t="str">
        <f t="shared" si="10"/>
        <v>F</v>
      </c>
      <c r="T506" s="8">
        <f t="shared" si="11"/>
        <v>-1</v>
      </c>
      <c r="V506" s="4">
        <f t="shared" si="12"/>
        <v>-1</v>
      </c>
      <c r="W506" s="8">
        <f t="shared" si="13"/>
        <v>17.25</v>
      </c>
      <c r="X506" s="8">
        <f t="shared" si="14"/>
        <v>-17.25</v>
      </c>
      <c r="Y506" s="8">
        <f t="shared" si="15"/>
        <v>127.85</v>
      </c>
    </row>
    <row r="507">
      <c r="A507" s="2">
        <v>500.0</v>
      </c>
      <c r="B507" s="15">
        <f>IFERROR(__xludf.DUMMYFUNCTION("""COMPUTED_VALUE"""),43109.64583333333)</f>
        <v>43109.64583</v>
      </c>
      <c r="C507" s="8">
        <f>IFERROR(__xludf.DUMMYFUNCTION("""COMPUTED_VALUE"""),1735.05)</f>
        <v>1735.05</v>
      </c>
      <c r="E507" s="15">
        <f>IFERROR(__xludf.DUMMYFUNCTION("""COMPUTED_VALUE"""),43109.64583333333)</f>
        <v>43109.64583</v>
      </c>
      <c r="F507" s="8">
        <f>IFERROR(__xludf.DUMMYFUNCTION("""COMPUTED_VALUE"""),931.85)</f>
        <v>931.85</v>
      </c>
      <c r="H507" s="4">
        <f t="shared" si="1"/>
        <v>803.2</v>
      </c>
      <c r="I507" s="16">
        <f t="shared" si="2"/>
        <v>790.994</v>
      </c>
      <c r="J507" s="16">
        <f t="shared" si="3"/>
        <v>16.80048898</v>
      </c>
      <c r="K507" s="16">
        <f t="shared" si="4"/>
        <v>807.794489</v>
      </c>
      <c r="L507" s="16">
        <f t="shared" si="5"/>
        <v>774.193511</v>
      </c>
      <c r="N507" s="17" t="str">
        <f t="shared" si="6"/>
        <v>F</v>
      </c>
      <c r="O507" s="17" t="str">
        <f t="shared" si="7"/>
        <v>T</v>
      </c>
      <c r="P507" s="8">
        <f t="shared" si="8"/>
        <v>0</v>
      </c>
      <c r="R507" s="17" t="str">
        <f t="shared" si="9"/>
        <v>F</v>
      </c>
      <c r="S507" s="3" t="str">
        <f t="shared" si="10"/>
        <v>F</v>
      </c>
      <c r="T507" s="8">
        <f t="shared" si="11"/>
        <v>-1</v>
      </c>
      <c r="V507" s="4">
        <f t="shared" si="12"/>
        <v>-1</v>
      </c>
      <c r="W507" s="8">
        <f t="shared" si="13"/>
        <v>-7.45</v>
      </c>
      <c r="X507" s="8">
        <f t="shared" si="14"/>
        <v>7.45</v>
      </c>
      <c r="Y507" s="8">
        <f t="shared" si="15"/>
        <v>135.3</v>
      </c>
    </row>
    <row r="508">
      <c r="A508" s="2">
        <v>501.0</v>
      </c>
      <c r="B508" s="15">
        <f>IFERROR(__xludf.DUMMYFUNCTION("""COMPUTED_VALUE"""),43110.64583333333)</f>
        <v>43110.64583</v>
      </c>
      <c r="C508" s="8">
        <f>IFERROR(__xludf.DUMMYFUNCTION("""COMPUTED_VALUE"""),1726.45)</f>
        <v>1726.45</v>
      </c>
      <c r="E508" s="15">
        <f>IFERROR(__xludf.DUMMYFUNCTION("""COMPUTED_VALUE"""),43110.64583333333)</f>
        <v>43110.64583</v>
      </c>
      <c r="F508" s="8">
        <f>IFERROR(__xludf.DUMMYFUNCTION("""COMPUTED_VALUE"""),932.1)</f>
        <v>932.1</v>
      </c>
      <c r="H508" s="4">
        <f t="shared" si="1"/>
        <v>794.35</v>
      </c>
      <c r="I508" s="16">
        <f t="shared" si="2"/>
        <v>794.97</v>
      </c>
      <c r="J508" s="16">
        <f t="shared" si="3"/>
        <v>14.03747663</v>
      </c>
      <c r="K508" s="16">
        <f t="shared" si="4"/>
        <v>809.0074766</v>
      </c>
      <c r="L508" s="16">
        <f t="shared" si="5"/>
        <v>780.9325234</v>
      </c>
      <c r="N508" s="17" t="str">
        <f t="shared" si="6"/>
        <v>F</v>
      </c>
      <c r="O508" s="17" t="str">
        <f t="shared" si="7"/>
        <v>F</v>
      </c>
      <c r="P508" s="8">
        <f t="shared" si="8"/>
        <v>0</v>
      </c>
      <c r="R508" s="17" t="str">
        <f t="shared" si="9"/>
        <v>F</v>
      </c>
      <c r="S508" s="3" t="str">
        <f t="shared" si="10"/>
        <v>T</v>
      </c>
      <c r="T508" s="8">
        <f t="shared" si="11"/>
        <v>0</v>
      </c>
      <c r="V508" s="4">
        <f t="shared" si="12"/>
        <v>0</v>
      </c>
      <c r="W508" s="8">
        <f t="shared" si="13"/>
        <v>-8.85</v>
      </c>
      <c r="X508" s="8">
        <f t="shared" si="14"/>
        <v>8.85</v>
      </c>
      <c r="Y508" s="8">
        <f t="shared" si="15"/>
        <v>144.15</v>
      </c>
    </row>
    <row r="509">
      <c r="A509" s="2">
        <v>502.0</v>
      </c>
      <c r="B509" s="15">
        <f>IFERROR(__xludf.DUMMYFUNCTION("""COMPUTED_VALUE"""),43111.64583333333)</f>
        <v>43111.64583</v>
      </c>
      <c r="C509" s="8">
        <f>IFERROR(__xludf.DUMMYFUNCTION("""COMPUTED_VALUE"""),1741.35)</f>
        <v>1741.35</v>
      </c>
      <c r="E509" s="15">
        <f>IFERROR(__xludf.DUMMYFUNCTION("""COMPUTED_VALUE"""),43111.64583333333)</f>
        <v>43111.64583</v>
      </c>
      <c r="F509" s="8">
        <f>IFERROR(__xludf.DUMMYFUNCTION("""COMPUTED_VALUE"""),936.28)</f>
        <v>936.28</v>
      </c>
      <c r="H509" s="4">
        <f t="shared" si="1"/>
        <v>805.07</v>
      </c>
      <c r="I509" s="16">
        <f t="shared" si="2"/>
        <v>801.334</v>
      </c>
      <c r="J509" s="16">
        <f t="shared" si="3"/>
        <v>7.347654728</v>
      </c>
      <c r="K509" s="16">
        <f t="shared" si="4"/>
        <v>808.6816547</v>
      </c>
      <c r="L509" s="16">
        <f t="shared" si="5"/>
        <v>793.9863453</v>
      </c>
      <c r="N509" s="17" t="str">
        <f t="shared" si="6"/>
        <v>F</v>
      </c>
      <c r="O509" s="17" t="str">
        <f t="shared" si="7"/>
        <v>T</v>
      </c>
      <c r="P509" s="8">
        <f t="shared" si="8"/>
        <v>0</v>
      </c>
      <c r="R509" s="17" t="str">
        <f t="shared" si="9"/>
        <v>F</v>
      </c>
      <c r="S509" s="3" t="str">
        <f t="shared" si="10"/>
        <v>F</v>
      </c>
      <c r="T509" s="8">
        <f t="shared" si="11"/>
        <v>0</v>
      </c>
      <c r="V509" s="4">
        <f t="shared" si="12"/>
        <v>0</v>
      </c>
      <c r="W509" s="8">
        <f t="shared" si="13"/>
        <v>10.72</v>
      </c>
      <c r="X509" s="8">
        <f t="shared" si="14"/>
        <v>0</v>
      </c>
      <c r="Y509" s="8">
        <f t="shared" si="15"/>
        <v>144.15</v>
      </c>
    </row>
    <row r="510">
      <c r="A510" s="2">
        <v>503.0</v>
      </c>
      <c r="B510" s="15">
        <f>IFERROR(__xludf.DUMMYFUNCTION("""COMPUTED_VALUE"""),43112.64583333333)</f>
        <v>43112.64583</v>
      </c>
      <c r="C510" s="8">
        <f>IFERROR(__xludf.DUMMYFUNCTION("""COMPUTED_VALUE"""),1760.95)</f>
        <v>1760.95</v>
      </c>
      <c r="E510" s="15">
        <f>IFERROR(__xludf.DUMMYFUNCTION("""COMPUTED_VALUE"""),43112.64583333333)</f>
        <v>43112.64583</v>
      </c>
      <c r="F510" s="8">
        <f>IFERROR(__xludf.DUMMYFUNCTION("""COMPUTED_VALUE"""),932.65)</f>
        <v>932.65</v>
      </c>
      <c r="H510" s="4">
        <f t="shared" si="1"/>
        <v>828.3</v>
      </c>
      <c r="I510" s="16">
        <f t="shared" si="2"/>
        <v>808.314</v>
      </c>
      <c r="J510" s="16">
        <f t="shared" si="3"/>
        <v>12.61513892</v>
      </c>
      <c r="K510" s="16">
        <f t="shared" si="4"/>
        <v>820.9291389</v>
      </c>
      <c r="L510" s="16">
        <f t="shared" si="5"/>
        <v>795.6988611</v>
      </c>
      <c r="N510" s="17" t="str">
        <f t="shared" si="6"/>
        <v>F</v>
      </c>
      <c r="O510" s="17" t="str">
        <f t="shared" si="7"/>
        <v>T</v>
      </c>
      <c r="P510" s="8">
        <f t="shared" si="8"/>
        <v>0</v>
      </c>
      <c r="R510" s="17" t="str">
        <f t="shared" si="9"/>
        <v>T</v>
      </c>
      <c r="S510" s="3" t="str">
        <f t="shared" si="10"/>
        <v>F</v>
      </c>
      <c r="T510" s="8">
        <f t="shared" si="11"/>
        <v>-1</v>
      </c>
      <c r="V510" s="4">
        <f t="shared" si="12"/>
        <v>-1</v>
      </c>
      <c r="W510" s="8">
        <f t="shared" si="13"/>
        <v>23.23</v>
      </c>
      <c r="X510" s="8">
        <f t="shared" si="14"/>
        <v>0</v>
      </c>
      <c r="Y510" s="8">
        <f t="shared" si="15"/>
        <v>144.15</v>
      </c>
    </row>
    <row r="511">
      <c r="A511" s="2">
        <v>504.0</v>
      </c>
      <c r="B511" s="15">
        <f>IFERROR(__xludf.DUMMYFUNCTION("""COMPUTED_VALUE"""),43115.64583333333)</f>
        <v>43115.64583</v>
      </c>
      <c r="C511" s="8">
        <f>IFERROR(__xludf.DUMMYFUNCTION("""COMPUTED_VALUE"""),1871.2)</f>
        <v>1871.2</v>
      </c>
      <c r="E511" s="15">
        <f>IFERROR(__xludf.DUMMYFUNCTION("""COMPUTED_VALUE"""),43115.64583333333)</f>
        <v>43115.64583</v>
      </c>
      <c r="F511" s="8">
        <f>IFERROR(__xludf.DUMMYFUNCTION("""COMPUTED_VALUE"""),948.88)</f>
        <v>948.88</v>
      </c>
      <c r="H511" s="4">
        <f t="shared" si="1"/>
        <v>922.32</v>
      </c>
      <c r="I511" s="16">
        <f t="shared" si="2"/>
        <v>830.648</v>
      </c>
      <c r="J511" s="16">
        <f t="shared" si="3"/>
        <v>52.75992864</v>
      </c>
      <c r="K511" s="16">
        <f t="shared" si="4"/>
        <v>883.4079286</v>
      </c>
      <c r="L511" s="16">
        <f t="shared" si="5"/>
        <v>777.8880714</v>
      </c>
      <c r="N511" s="17" t="str">
        <f t="shared" si="6"/>
        <v>F</v>
      </c>
      <c r="O511" s="17" t="str">
        <f t="shared" si="7"/>
        <v>T</v>
      </c>
      <c r="P511" s="8">
        <f t="shared" si="8"/>
        <v>0</v>
      </c>
      <c r="R511" s="17" t="str">
        <f t="shared" si="9"/>
        <v>T</v>
      </c>
      <c r="S511" s="3" t="str">
        <f t="shared" si="10"/>
        <v>F</v>
      </c>
      <c r="T511" s="8">
        <f t="shared" si="11"/>
        <v>-1</v>
      </c>
      <c r="V511" s="4">
        <f t="shared" si="12"/>
        <v>-1</v>
      </c>
      <c r="W511" s="8">
        <f t="shared" si="13"/>
        <v>94.02</v>
      </c>
      <c r="X511" s="8">
        <f t="shared" si="14"/>
        <v>-94.02</v>
      </c>
      <c r="Y511" s="8">
        <f t="shared" si="15"/>
        <v>50.13</v>
      </c>
    </row>
    <row r="512">
      <c r="A512" s="2">
        <v>505.0</v>
      </c>
      <c r="B512" s="15">
        <f>IFERROR(__xludf.DUMMYFUNCTION("""COMPUTED_VALUE"""),43116.64583333333)</f>
        <v>43116.64583</v>
      </c>
      <c r="C512" s="8">
        <f>IFERROR(__xludf.DUMMYFUNCTION("""COMPUTED_VALUE"""),1845.95)</f>
        <v>1845.95</v>
      </c>
      <c r="E512" s="15">
        <f>IFERROR(__xludf.DUMMYFUNCTION("""COMPUTED_VALUE"""),43116.64583333333)</f>
        <v>43116.64583</v>
      </c>
      <c r="F512" s="8">
        <f>IFERROR(__xludf.DUMMYFUNCTION("""COMPUTED_VALUE"""),950.08)</f>
        <v>950.08</v>
      </c>
      <c r="H512" s="4">
        <f t="shared" si="1"/>
        <v>895.87</v>
      </c>
      <c r="I512" s="16">
        <f t="shared" si="2"/>
        <v>849.182</v>
      </c>
      <c r="J512" s="16">
        <f t="shared" si="3"/>
        <v>56.82739454</v>
      </c>
      <c r="K512" s="16">
        <f t="shared" si="4"/>
        <v>906.0093945</v>
      </c>
      <c r="L512" s="16">
        <f t="shared" si="5"/>
        <v>792.3546055</v>
      </c>
      <c r="N512" s="17" t="str">
        <f t="shared" si="6"/>
        <v>F</v>
      </c>
      <c r="O512" s="17" t="str">
        <f t="shared" si="7"/>
        <v>T</v>
      </c>
      <c r="P512" s="8">
        <f t="shared" si="8"/>
        <v>0</v>
      </c>
      <c r="R512" s="17" t="str">
        <f t="shared" si="9"/>
        <v>F</v>
      </c>
      <c r="S512" s="3" t="str">
        <f t="shared" si="10"/>
        <v>F</v>
      </c>
      <c r="T512" s="8">
        <f t="shared" si="11"/>
        <v>-1</v>
      </c>
      <c r="V512" s="4">
        <f t="shared" si="12"/>
        <v>-1</v>
      </c>
      <c r="W512" s="8">
        <f t="shared" si="13"/>
        <v>-26.45</v>
      </c>
      <c r="X512" s="8">
        <f t="shared" si="14"/>
        <v>26.45</v>
      </c>
      <c r="Y512" s="8">
        <f t="shared" si="15"/>
        <v>76.58</v>
      </c>
    </row>
    <row r="513">
      <c r="A513" s="2">
        <v>506.0</v>
      </c>
      <c r="B513" s="15">
        <f>IFERROR(__xludf.DUMMYFUNCTION("""COMPUTED_VALUE"""),43117.64583333333)</f>
        <v>43117.64583</v>
      </c>
      <c r="C513" s="8">
        <f>IFERROR(__xludf.DUMMYFUNCTION("""COMPUTED_VALUE"""),1858.35)</f>
        <v>1858.35</v>
      </c>
      <c r="E513" s="15">
        <f>IFERROR(__xludf.DUMMYFUNCTION("""COMPUTED_VALUE"""),43117.64583333333)</f>
        <v>43117.64583</v>
      </c>
      <c r="F513" s="8">
        <f>IFERROR(__xludf.DUMMYFUNCTION("""COMPUTED_VALUE"""),945.25)</f>
        <v>945.25</v>
      </c>
      <c r="H513" s="4">
        <f t="shared" si="1"/>
        <v>913.1</v>
      </c>
      <c r="I513" s="16">
        <f t="shared" si="2"/>
        <v>872.932</v>
      </c>
      <c r="J513" s="16">
        <f t="shared" si="3"/>
        <v>52.85844559</v>
      </c>
      <c r="K513" s="16">
        <f t="shared" si="4"/>
        <v>925.7904456</v>
      </c>
      <c r="L513" s="16">
        <f t="shared" si="5"/>
        <v>820.0735544</v>
      </c>
      <c r="N513" s="17" t="str">
        <f t="shared" si="6"/>
        <v>F</v>
      </c>
      <c r="O513" s="17" t="str">
        <f t="shared" si="7"/>
        <v>T</v>
      </c>
      <c r="P513" s="8">
        <f t="shared" si="8"/>
        <v>0</v>
      </c>
      <c r="R513" s="17" t="str">
        <f t="shared" si="9"/>
        <v>F</v>
      </c>
      <c r="S513" s="3" t="str">
        <f t="shared" si="10"/>
        <v>F</v>
      </c>
      <c r="T513" s="8">
        <f t="shared" si="11"/>
        <v>-1</v>
      </c>
      <c r="V513" s="4">
        <f t="shared" si="12"/>
        <v>-1</v>
      </c>
      <c r="W513" s="8">
        <f t="shared" si="13"/>
        <v>17.23</v>
      </c>
      <c r="X513" s="8">
        <f t="shared" si="14"/>
        <v>-17.23</v>
      </c>
      <c r="Y513" s="8">
        <f t="shared" si="15"/>
        <v>59.35</v>
      </c>
    </row>
    <row r="514">
      <c r="A514" s="2">
        <v>507.0</v>
      </c>
      <c r="B514" s="15">
        <f>IFERROR(__xludf.DUMMYFUNCTION("""COMPUTED_VALUE"""),43118.64583333333)</f>
        <v>43118.64583</v>
      </c>
      <c r="C514" s="8">
        <f>IFERROR(__xludf.DUMMYFUNCTION("""COMPUTED_VALUE"""),1896.8)</f>
        <v>1896.8</v>
      </c>
      <c r="E514" s="15">
        <f>IFERROR(__xludf.DUMMYFUNCTION("""COMPUTED_VALUE"""),43118.64583333333)</f>
        <v>43118.64583</v>
      </c>
      <c r="F514" s="8">
        <f>IFERROR(__xludf.DUMMYFUNCTION("""COMPUTED_VALUE"""),967.15)</f>
        <v>967.15</v>
      </c>
      <c r="H514" s="4">
        <f t="shared" si="1"/>
        <v>929.65</v>
      </c>
      <c r="I514" s="16">
        <f t="shared" si="2"/>
        <v>897.848</v>
      </c>
      <c r="J514" s="16">
        <f t="shared" si="3"/>
        <v>40.8769687</v>
      </c>
      <c r="K514" s="16">
        <f t="shared" si="4"/>
        <v>938.7249687</v>
      </c>
      <c r="L514" s="16">
        <f t="shared" si="5"/>
        <v>856.9710313</v>
      </c>
      <c r="N514" s="17" t="str">
        <f t="shared" si="6"/>
        <v>F</v>
      </c>
      <c r="O514" s="17" t="str">
        <f t="shared" si="7"/>
        <v>T</v>
      </c>
      <c r="P514" s="8">
        <f t="shared" si="8"/>
        <v>0</v>
      </c>
      <c r="R514" s="17" t="str">
        <f t="shared" si="9"/>
        <v>F</v>
      </c>
      <c r="S514" s="3" t="str">
        <f t="shared" si="10"/>
        <v>F</v>
      </c>
      <c r="T514" s="8">
        <f t="shared" si="11"/>
        <v>-1</v>
      </c>
      <c r="V514" s="4">
        <f t="shared" si="12"/>
        <v>-1</v>
      </c>
      <c r="W514" s="8">
        <f t="shared" si="13"/>
        <v>16.55</v>
      </c>
      <c r="X514" s="8">
        <f t="shared" si="14"/>
        <v>-16.55</v>
      </c>
      <c r="Y514" s="8">
        <f t="shared" si="15"/>
        <v>42.8</v>
      </c>
    </row>
    <row r="515">
      <c r="A515" s="2">
        <v>508.0</v>
      </c>
      <c r="B515" s="15">
        <f>IFERROR(__xludf.DUMMYFUNCTION("""COMPUTED_VALUE"""),43119.64583333333)</f>
        <v>43119.64583</v>
      </c>
      <c r="C515" s="8">
        <f>IFERROR(__xludf.DUMMYFUNCTION("""COMPUTED_VALUE"""),1901.25)</f>
        <v>1901.25</v>
      </c>
      <c r="E515" s="15">
        <f>IFERROR(__xludf.DUMMYFUNCTION("""COMPUTED_VALUE"""),43119.64583333333)</f>
        <v>43119.64583</v>
      </c>
      <c r="F515" s="8">
        <f>IFERROR(__xludf.DUMMYFUNCTION("""COMPUTED_VALUE"""),976.1)</f>
        <v>976.1</v>
      </c>
      <c r="H515" s="4">
        <f t="shared" si="1"/>
        <v>925.15</v>
      </c>
      <c r="I515" s="16">
        <f t="shared" si="2"/>
        <v>917.218</v>
      </c>
      <c r="J515" s="16">
        <f t="shared" si="3"/>
        <v>13.3809256</v>
      </c>
      <c r="K515" s="16">
        <f t="shared" si="4"/>
        <v>930.5989256</v>
      </c>
      <c r="L515" s="16">
        <f t="shared" si="5"/>
        <v>903.8370744</v>
      </c>
      <c r="N515" s="17" t="str">
        <f t="shared" si="6"/>
        <v>F</v>
      </c>
      <c r="O515" s="17" t="str">
        <f t="shared" si="7"/>
        <v>T</v>
      </c>
      <c r="P515" s="8">
        <f t="shared" si="8"/>
        <v>0</v>
      </c>
      <c r="R515" s="17" t="str">
        <f t="shared" si="9"/>
        <v>F</v>
      </c>
      <c r="S515" s="3" t="str">
        <f t="shared" si="10"/>
        <v>F</v>
      </c>
      <c r="T515" s="8">
        <f t="shared" si="11"/>
        <v>-1</v>
      </c>
      <c r="V515" s="4">
        <f t="shared" si="12"/>
        <v>-1</v>
      </c>
      <c r="W515" s="8">
        <f t="shared" si="13"/>
        <v>-4.5</v>
      </c>
      <c r="X515" s="8">
        <f t="shared" si="14"/>
        <v>4.5</v>
      </c>
      <c r="Y515" s="8">
        <f t="shared" si="15"/>
        <v>47.3</v>
      </c>
    </row>
    <row r="516">
      <c r="A516" s="2">
        <v>509.0</v>
      </c>
      <c r="B516" s="15">
        <f>IFERROR(__xludf.DUMMYFUNCTION("""COMPUTED_VALUE"""),43122.64583333333)</f>
        <v>43122.64583</v>
      </c>
      <c r="C516" s="8">
        <f>IFERROR(__xludf.DUMMYFUNCTION("""COMPUTED_VALUE"""),1872.0)</f>
        <v>1872</v>
      </c>
      <c r="E516" s="15">
        <f>IFERROR(__xludf.DUMMYFUNCTION("""COMPUTED_VALUE"""),43122.64583333333)</f>
        <v>43122.64583</v>
      </c>
      <c r="F516" s="8">
        <f>IFERROR(__xludf.DUMMYFUNCTION("""COMPUTED_VALUE"""),981.68)</f>
        <v>981.68</v>
      </c>
      <c r="H516" s="4">
        <f t="shared" si="1"/>
        <v>890.32</v>
      </c>
      <c r="I516" s="16">
        <f t="shared" si="2"/>
        <v>910.818</v>
      </c>
      <c r="J516" s="16">
        <f t="shared" si="3"/>
        <v>17.38439444</v>
      </c>
      <c r="K516" s="16">
        <f t="shared" si="4"/>
        <v>928.2023944</v>
      </c>
      <c r="L516" s="16">
        <f t="shared" si="5"/>
        <v>893.4336056</v>
      </c>
      <c r="N516" s="17" t="str">
        <f t="shared" si="6"/>
        <v>T</v>
      </c>
      <c r="O516" s="17" t="str">
        <f t="shared" si="7"/>
        <v>F</v>
      </c>
      <c r="P516" s="8">
        <f t="shared" si="8"/>
        <v>1</v>
      </c>
      <c r="R516" s="17" t="str">
        <f t="shared" si="9"/>
        <v>F</v>
      </c>
      <c r="S516" s="3" t="str">
        <f t="shared" si="10"/>
        <v>T</v>
      </c>
      <c r="T516" s="8">
        <f t="shared" si="11"/>
        <v>0</v>
      </c>
      <c r="V516" s="4">
        <f t="shared" si="12"/>
        <v>1</v>
      </c>
      <c r="W516" s="8">
        <f t="shared" si="13"/>
        <v>-34.83</v>
      </c>
      <c r="X516" s="8">
        <f t="shared" si="14"/>
        <v>34.83</v>
      </c>
      <c r="Y516" s="8">
        <f t="shared" si="15"/>
        <v>82.13</v>
      </c>
    </row>
    <row r="517">
      <c r="A517" s="2">
        <v>510.0</v>
      </c>
      <c r="B517" s="15">
        <f>IFERROR(__xludf.DUMMYFUNCTION("""COMPUTED_VALUE"""),43123.64583333333)</f>
        <v>43123.64583</v>
      </c>
      <c r="C517" s="8">
        <f>IFERROR(__xludf.DUMMYFUNCTION("""COMPUTED_VALUE"""),1884.65)</f>
        <v>1884.65</v>
      </c>
      <c r="E517" s="15">
        <f>IFERROR(__xludf.DUMMYFUNCTION("""COMPUTED_VALUE"""),43123.64583333333)</f>
        <v>43123.64583</v>
      </c>
      <c r="F517" s="8">
        <f>IFERROR(__xludf.DUMMYFUNCTION("""COMPUTED_VALUE"""),975.65)</f>
        <v>975.65</v>
      </c>
      <c r="H517" s="4">
        <f t="shared" si="1"/>
        <v>909</v>
      </c>
      <c r="I517" s="16">
        <f t="shared" si="2"/>
        <v>913.444</v>
      </c>
      <c r="J517" s="16">
        <f t="shared" si="3"/>
        <v>15.44548251</v>
      </c>
      <c r="K517" s="16">
        <f t="shared" si="4"/>
        <v>928.8894825</v>
      </c>
      <c r="L517" s="16">
        <f t="shared" si="5"/>
        <v>897.9985175</v>
      </c>
      <c r="N517" s="17" t="str">
        <f t="shared" si="6"/>
        <v>F</v>
      </c>
      <c r="O517" s="17" t="str">
        <f t="shared" si="7"/>
        <v>F</v>
      </c>
      <c r="P517" s="8">
        <f t="shared" si="8"/>
        <v>1</v>
      </c>
      <c r="R517" s="17" t="str">
        <f t="shared" si="9"/>
        <v>F</v>
      </c>
      <c r="S517" s="3" t="str">
        <f t="shared" si="10"/>
        <v>T</v>
      </c>
      <c r="T517" s="8">
        <f t="shared" si="11"/>
        <v>0</v>
      </c>
      <c r="V517" s="4">
        <f t="shared" si="12"/>
        <v>1</v>
      </c>
      <c r="W517" s="8">
        <f t="shared" si="13"/>
        <v>18.68</v>
      </c>
      <c r="X517" s="8">
        <f t="shared" si="14"/>
        <v>18.68</v>
      </c>
      <c r="Y517" s="8">
        <f t="shared" si="15"/>
        <v>100.81</v>
      </c>
    </row>
    <row r="518">
      <c r="A518" s="2">
        <v>511.0</v>
      </c>
      <c r="B518" s="15">
        <f>IFERROR(__xludf.DUMMYFUNCTION("""COMPUTED_VALUE"""),43124.64583333333)</f>
        <v>43124.64583</v>
      </c>
      <c r="C518" s="8">
        <f>IFERROR(__xludf.DUMMYFUNCTION("""COMPUTED_VALUE"""),1911.2)</f>
        <v>1911.2</v>
      </c>
      <c r="E518" s="15">
        <f>IFERROR(__xludf.DUMMYFUNCTION("""COMPUTED_VALUE"""),43124.64583333333)</f>
        <v>43124.64583</v>
      </c>
      <c r="F518" s="8">
        <f>IFERROR(__xludf.DUMMYFUNCTION("""COMPUTED_VALUE"""),978.83)</f>
        <v>978.83</v>
      </c>
      <c r="H518" s="4">
        <f t="shared" si="1"/>
        <v>932.37</v>
      </c>
      <c r="I518" s="16">
        <f t="shared" si="2"/>
        <v>917.298</v>
      </c>
      <c r="J518" s="16">
        <f t="shared" si="3"/>
        <v>17.59304039</v>
      </c>
      <c r="K518" s="16">
        <f t="shared" si="4"/>
        <v>934.8910404</v>
      </c>
      <c r="L518" s="16">
        <f t="shared" si="5"/>
        <v>899.7049596</v>
      </c>
      <c r="N518" s="17" t="str">
        <f t="shared" si="6"/>
        <v>F</v>
      </c>
      <c r="O518" s="17" t="str">
        <f t="shared" si="7"/>
        <v>T</v>
      </c>
      <c r="P518" s="8">
        <f t="shared" si="8"/>
        <v>0</v>
      </c>
      <c r="R518" s="17" t="str">
        <f t="shared" si="9"/>
        <v>F</v>
      </c>
      <c r="S518" s="3" t="str">
        <f t="shared" si="10"/>
        <v>F</v>
      </c>
      <c r="T518" s="8">
        <f t="shared" si="11"/>
        <v>0</v>
      </c>
      <c r="V518" s="4">
        <f t="shared" si="12"/>
        <v>0</v>
      </c>
      <c r="W518" s="8">
        <f t="shared" si="13"/>
        <v>23.37</v>
      </c>
      <c r="X518" s="8">
        <f t="shared" si="14"/>
        <v>23.37</v>
      </c>
      <c r="Y518" s="8">
        <f t="shared" si="15"/>
        <v>124.18</v>
      </c>
    </row>
    <row r="519">
      <c r="A519" s="2">
        <v>512.0</v>
      </c>
      <c r="B519" s="15">
        <f>IFERROR(__xludf.DUMMYFUNCTION("""COMPUTED_VALUE"""),43125.64583333333)</f>
        <v>43125.64583</v>
      </c>
      <c r="C519" s="8">
        <f>IFERROR(__xludf.DUMMYFUNCTION("""COMPUTED_VALUE"""),1908.3)</f>
        <v>1908.3</v>
      </c>
      <c r="E519" s="15">
        <f>IFERROR(__xludf.DUMMYFUNCTION("""COMPUTED_VALUE"""),43125.64583333333)</f>
        <v>43125.64583</v>
      </c>
      <c r="F519" s="8">
        <f>IFERROR(__xludf.DUMMYFUNCTION("""COMPUTED_VALUE"""),987.48)</f>
        <v>987.48</v>
      </c>
      <c r="H519" s="4">
        <f t="shared" si="1"/>
        <v>920.82</v>
      </c>
      <c r="I519" s="16">
        <f t="shared" si="2"/>
        <v>915.532</v>
      </c>
      <c r="J519" s="16">
        <f t="shared" si="3"/>
        <v>16.44915712</v>
      </c>
      <c r="K519" s="16">
        <f t="shared" si="4"/>
        <v>931.9811571</v>
      </c>
      <c r="L519" s="16">
        <f t="shared" si="5"/>
        <v>899.0828429</v>
      </c>
      <c r="N519" s="17" t="str">
        <f t="shared" si="6"/>
        <v>F</v>
      </c>
      <c r="O519" s="17" t="str">
        <f t="shared" si="7"/>
        <v>T</v>
      </c>
      <c r="P519" s="8">
        <f t="shared" si="8"/>
        <v>0</v>
      </c>
      <c r="R519" s="17" t="str">
        <f t="shared" si="9"/>
        <v>F</v>
      </c>
      <c r="S519" s="3" t="str">
        <f t="shared" si="10"/>
        <v>F</v>
      </c>
      <c r="T519" s="8">
        <f t="shared" si="11"/>
        <v>0</v>
      </c>
      <c r="V519" s="4">
        <f t="shared" si="12"/>
        <v>0</v>
      </c>
      <c r="W519" s="8">
        <f t="shared" si="13"/>
        <v>-11.55</v>
      </c>
      <c r="X519" s="8">
        <f t="shared" si="14"/>
        <v>0</v>
      </c>
      <c r="Y519" s="8">
        <f t="shared" si="15"/>
        <v>124.18</v>
      </c>
    </row>
    <row r="520">
      <c r="A520" s="2">
        <v>513.0</v>
      </c>
      <c r="B520" s="15">
        <f>IFERROR(__xludf.DUMMYFUNCTION("""COMPUTED_VALUE"""),43129.64583333333)</f>
        <v>43129.64583</v>
      </c>
      <c r="C520" s="8">
        <f>IFERROR(__xludf.DUMMYFUNCTION("""COMPUTED_VALUE"""),1967.6)</f>
        <v>1967.6</v>
      </c>
      <c r="E520" s="15">
        <f>IFERROR(__xludf.DUMMYFUNCTION("""COMPUTED_VALUE"""),43129.64583333333)</f>
        <v>43129.64583</v>
      </c>
      <c r="F520" s="8">
        <f>IFERROR(__xludf.DUMMYFUNCTION("""COMPUTED_VALUE"""),999.83)</f>
        <v>999.83</v>
      </c>
      <c r="H520" s="4">
        <f t="shared" si="1"/>
        <v>967.77</v>
      </c>
      <c r="I520" s="16">
        <f t="shared" si="2"/>
        <v>924.056</v>
      </c>
      <c r="J520" s="16">
        <f t="shared" si="3"/>
        <v>28.96251422</v>
      </c>
      <c r="K520" s="16">
        <f t="shared" si="4"/>
        <v>953.0185142</v>
      </c>
      <c r="L520" s="16">
        <f t="shared" si="5"/>
        <v>895.0934858</v>
      </c>
      <c r="N520" s="17" t="str">
        <f t="shared" si="6"/>
        <v>F</v>
      </c>
      <c r="O520" s="17" t="str">
        <f t="shared" si="7"/>
        <v>T</v>
      </c>
      <c r="P520" s="8">
        <f t="shared" si="8"/>
        <v>0</v>
      </c>
      <c r="R520" s="17" t="str">
        <f t="shared" si="9"/>
        <v>T</v>
      </c>
      <c r="S520" s="3" t="str">
        <f t="shared" si="10"/>
        <v>F</v>
      </c>
      <c r="T520" s="8">
        <f t="shared" si="11"/>
        <v>-1</v>
      </c>
      <c r="V520" s="4">
        <f t="shared" si="12"/>
        <v>-1</v>
      </c>
      <c r="W520" s="8">
        <f t="shared" si="13"/>
        <v>46.95</v>
      </c>
      <c r="X520" s="8">
        <f t="shared" si="14"/>
        <v>0</v>
      </c>
      <c r="Y520" s="8">
        <f t="shared" si="15"/>
        <v>124.18</v>
      </c>
    </row>
    <row r="521">
      <c r="A521" s="2">
        <v>514.0</v>
      </c>
      <c r="B521" s="15">
        <f>IFERROR(__xludf.DUMMYFUNCTION("""COMPUTED_VALUE"""),43130.64583333333)</f>
        <v>43130.64583</v>
      </c>
      <c r="C521" s="8">
        <f>IFERROR(__xludf.DUMMYFUNCTION("""COMPUTED_VALUE"""),1937.5)</f>
        <v>1937.5</v>
      </c>
      <c r="E521" s="15">
        <f>IFERROR(__xludf.DUMMYFUNCTION("""COMPUTED_VALUE"""),43130.64583333333)</f>
        <v>43130.64583</v>
      </c>
      <c r="F521" s="8">
        <f>IFERROR(__xludf.DUMMYFUNCTION("""COMPUTED_VALUE"""),997.75)</f>
        <v>997.75</v>
      </c>
      <c r="H521" s="4">
        <f t="shared" si="1"/>
        <v>939.75</v>
      </c>
      <c r="I521" s="16">
        <f t="shared" si="2"/>
        <v>933.942</v>
      </c>
      <c r="J521" s="16">
        <f t="shared" si="3"/>
        <v>22.21951777</v>
      </c>
      <c r="K521" s="16">
        <f t="shared" si="4"/>
        <v>956.1615178</v>
      </c>
      <c r="L521" s="16">
        <f t="shared" si="5"/>
        <v>911.7224822</v>
      </c>
      <c r="N521" s="17" t="str">
        <f t="shared" si="6"/>
        <v>F</v>
      </c>
      <c r="O521" s="17" t="str">
        <f t="shared" si="7"/>
        <v>T</v>
      </c>
      <c r="P521" s="8">
        <f t="shared" si="8"/>
        <v>0</v>
      </c>
      <c r="R521" s="17" t="str">
        <f t="shared" si="9"/>
        <v>F</v>
      </c>
      <c r="S521" s="3" t="str">
        <f t="shared" si="10"/>
        <v>F</v>
      </c>
      <c r="T521" s="8">
        <f t="shared" si="11"/>
        <v>-1</v>
      </c>
      <c r="V521" s="4">
        <f t="shared" si="12"/>
        <v>-1</v>
      </c>
      <c r="W521" s="8">
        <f t="shared" si="13"/>
        <v>-28.02</v>
      </c>
      <c r="X521" s="8">
        <f t="shared" si="14"/>
        <v>28.02</v>
      </c>
      <c r="Y521" s="8">
        <f t="shared" si="15"/>
        <v>152.2</v>
      </c>
    </row>
    <row r="522">
      <c r="A522" s="2">
        <v>515.0</v>
      </c>
      <c r="B522" s="15">
        <f>IFERROR(__xludf.DUMMYFUNCTION("""COMPUTED_VALUE"""),43131.64583333333)</f>
        <v>43131.64583</v>
      </c>
      <c r="C522" s="8">
        <f>IFERROR(__xludf.DUMMYFUNCTION("""COMPUTED_VALUE"""),1956.3)</f>
        <v>1956.3</v>
      </c>
      <c r="E522" s="15">
        <f>IFERROR(__xludf.DUMMYFUNCTION("""COMPUTED_VALUE"""),43131.64583333333)</f>
        <v>43131.64583</v>
      </c>
      <c r="F522" s="8">
        <f>IFERROR(__xludf.DUMMYFUNCTION("""COMPUTED_VALUE"""),1002.85)</f>
        <v>1002.85</v>
      </c>
      <c r="H522" s="4">
        <f t="shared" si="1"/>
        <v>953.45</v>
      </c>
      <c r="I522" s="16">
        <f t="shared" si="2"/>
        <v>942.832</v>
      </c>
      <c r="J522" s="16">
        <f t="shared" si="3"/>
        <v>18.29020284</v>
      </c>
      <c r="K522" s="16">
        <f t="shared" si="4"/>
        <v>961.1222028</v>
      </c>
      <c r="L522" s="16">
        <f t="shared" si="5"/>
        <v>924.5417972</v>
      </c>
      <c r="N522" s="17" t="str">
        <f t="shared" si="6"/>
        <v>F</v>
      </c>
      <c r="O522" s="17" t="str">
        <f t="shared" si="7"/>
        <v>T</v>
      </c>
      <c r="P522" s="8">
        <f t="shared" si="8"/>
        <v>0</v>
      </c>
      <c r="R522" s="17" t="str">
        <f t="shared" si="9"/>
        <v>F</v>
      </c>
      <c r="S522" s="3" t="str">
        <f t="shared" si="10"/>
        <v>F</v>
      </c>
      <c r="T522" s="8">
        <f t="shared" si="11"/>
        <v>-1</v>
      </c>
      <c r="V522" s="4">
        <f t="shared" si="12"/>
        <v>-1</v>
      </c>
      <c r="W522" s="8">
        <f t="shared" si="13"/>
        <v>13.7</v>
      </c>
      <c r="X522" s="8">
        <f t="shared" si="14"/>
        <v>-13.7</v>
      </c>
      <c r="Y522" s="8">
        <f t="shared" si="15"/>
        <v>138.5</v>
      </c>
    </row>
    <row r="523">
      <c r="A523" s="2">
        <v>516.0</v>
      </c>
      <c r="B523" s="15">
        <f>IFERROR(__xludf.DUMMYFUNCTION("""COMPUTED_VALUE"""),43132.64583333333)</f>
        <v>43132.64583</v>
      </c>
      <c r="C523" s="8">
        <f>IFERROR(__xludf.DUMMYFUNCTION("""COMPUTED_VALUE"""),1967.55)</f>
        <v>1967.55</v>
      </c>
      <c r="E523" s="15">
        <f>IFERROR(__xludf.DUMMYFUNCTION("""COMPUTED_VALUE"""),43132.64583333333)</f>
        <v>43132.64583</v>
      </c>
      <c r="F523" s="8">
        <f>IFERROR(__xludf.DUMMYFUNCTION("""COMPUTED_VALUE"""),995.58)</f>
        <v>995.58</v>
      </c>
      <c r="H523" s="4">
        <f t="shared" si="1"/>
        <v>971.97</v>
      </c>
      <c r="I523" s="16">
        <f t="shared" si="2"/>
        <v>950.752</v>
      </c>
      <c r="J523" s="16">
        <f t="shared" si="3"/>
        <v>21.00037904</v>
      </c>
      <c r="K523" s="16">
        <f t="shared" si="4"/>
        <v>971.752379</v>
      </c>
      <c r="L523" s="16">
        <f t="shared" si="5"/>
        <v>929.751621</v>
      </c>
      <c r="N523" s="17" t="str">
        <f t="shared" si="6"/>
        <v>F</v>
      </c>
      <c r="O523" s="17" t="str">
        <f t="shared" si="7"/>
        <v>T</v>
      </c>
      <c r="P523" s="8">
        <f t="shared" si="8"/>
        <v>0</v>
      </c>
      <c r="R523" s="17" t="str">
        <f t="shared" si="9"/>
        <v>T</v>
      </c>
      <c r="S523" s="3" t="str">
        <f t="shared" si="10"/>
        <v>F</v>
      </c>
      <c r="T523" s="8">
        <f t="shared" si="11"/>
        <v>-1</v>
      </c>
      <c r="V523" s="4">
        <f t="shared" si="12"/>
        <v>-1</v>
      </c>
      <c r="W523" s="8">
        <f t="shared" si="13"/>
        <v>18.52</v>
      </c>
      <c r="X523" s="8">
        <f t="shared" si="14"/>
        <v>-18.52</v>
      </c>
      <c r="Y523" s="8">
        <f t="shared" si="15"/>
        <v>119.98</v>
      </c>
    </row>
    <row r="524">
      <c r="A524" s="2">
        <v>517.0</v>
      </c>
      <c r="B524" s="15">
        <f>IFERROR(__xludf.DUMMYFUNCTION("""COMPUTED_VALUE"""),43133.64583333333)</f>
        <v>43133.64583</v>
      </c>
      <c r="C524" s="8">
        <f>IFERROR(__xludf.DUMMYFUNCTION("""COMPUTED_VALUE"""),1903.85)</f>
        <v>1903.85</v>
      </c>
      <c r="E524" s="15">
        <f>IFERROR(__xludf.DUMMYFUNCTION("""COMPUTED_VALUE"""),43133.64583333333)</f>
        <v>43133.64583</v>
      </c>
      <c r="F524" s="8">
        <f>IFERROR(__xludf.DUMMYFUNCTION("""COMPUTED_VALUE"""),974.0)</f>
        <v>974</v>
      </c>
      <c r="H524" s="4">
        <f t="shared" si="1"/>
        <v>929.85</v>
      </c>
      <c r="I524" s="16">
        <f t="shared" si="2"/>
        <v>952.558</v>
      </c>
      <c r="J524" s="16">
        <f t="shared" si="3"/>
        <v>17.94940445</v>
      </c>
      <c r="K524" s="16">
        <f t="shared" si="4"/>
        <v>970.5074044</v>
      </c>
      <c r="L524" s="16">
        <f t="shared" si="5"/>
        <v>934.6085956</v>
      </c>
      <c r="N524" s="17" t="str">
        <f t="shared" si="6"/>
        <v>T</v>
      </c>
      <c r="O524" s="17" t="str">
        <f t="shared" si="7"/>
        <v>F</v>
      </c>
      <c r="P524" s="8">
        <f t="shared" si="8"/>
        <v>1</v>
      </c>
      <c r="R524" s="17" t="str">
        <f t="shared" si="9"/>
        <v>F</v>
      </c>
      <c r="S524" s="3" t="str">
        <f t="shared" si="10"/>
        <v>T</v>
      </c>
      <c r="T524" s="8">
        <f t="shared" si="11"/>
        <v>0</v>
      </c>
      <c r="V524" s="4">
        <f t="shared" si="12"/>
        <v>1</v>
      </c>
      <c r="W524" s="8">
        <f t="shared" si="13"/>
        <v>-42.12</v>
      </c>
      <c r="X524" s="8">
        <f t="shared" si="14"/>
        <v>42.12</v>
      </c>
      <c r="Y524" s="8">
        <f t="shared" si="15"/>
        <v>162.1</v>
      </c>
    </row>
    <row r="525">
      <c r="A525" s="2">
        <v>518.0</v>
      </c>
      <c r="B525" s="15">
        <f>IFERROR(__xludf.DUMMYFUNCTION("""COMPUTED_VALUE"""),43136.64583333333)</f>
        <v>43136.64583</v>
      </c>
      <c r="C525" s="8">
        <f>IFERROR(__xludf.DUMMYFUNCTION("""COMPUTED_VALUE"""),1823.35)</f>
        <v>1823.35</v>
      </c>
      <c r="E525" s="15">
        <f>IFERROR(__xludf.DUMMYFUNCTION("""COMPUTED_VALUE"""),43136.64583333333)</f>
        <v>43136.64583</v>
      </c>
      <c r="F525" s="8">
        <f>IFERROR(__xludf.DUMMYFUNCTION("""COMPUTED_VALUE"""),956.93)</f>
        <v>956.93</v>
      </c>
      <c r="H525" s="4">
        <f t="shared" si="1"/>
        <v>866.42</v>
      </c>
      <c r="I525" s="16">
        <f t="shared" si="2"/>
        <v>932.288</v>
      </c>
      <c r="J525" s="16">
        <f t="shared" si="3"/>
        <v>40.07090615</v>
      </c>
      <c r="K525" s="16">
        <f t="shared" si="4"/>
        <v>972.3589062</v>
      </c>
      <c r="L525" s="16">
        <f t="shared" si="5"/>
        <v>892.2170938</v>
      </c>
      <c r="N525" s="17" t="str">
        <f t="shared" si="6"/>
        <v>T</v>
      </c>
      <c r="O525" s="17" t="str">
        <f t="shared" si="7"/>
        <v>F</v>
      </c>
      <c r="P525" s="8">
        <f t="shared" si="8"/>
        <v>1</v>
      </c>
      <c r="R525" s="17" t="str">
        <f t="shared" si="9"/>
        <v>F</v>
      </c>
      <c r="S525" s="3" t="str">
        <f t="shared" si="10"/>
        <v>T</v>
      </c>
      <c r="T525" s="8">
        <f t="shared" si="11"/>
        <v>0</v>
      </c>
      <c r="V525" s="4">
        <f t="shared" si="12"/>
        <v>1</v>
      </c>
      <c r="W525" s="8">
        <f t="shared" si="13"/>
        <v>-63.43</v>
      </c>
      <c r="X525" s="8">
        <f t="shared" si="14"/>
        <v>-63.43</v>
      </c>
      <c r="Y525" s="8">
        <f t="shared" si="15"/>
        <v>98.67</v>
      </c>
    </row>
    <row r="526">
      <c r="A526" s="2">
        <v>519.0</v>
      </c>
      <c r="B526" s="15">
        <f>IFERROR(__xludf.DUMMYFUNCTION("""COMPUTED_VALUE"""),43137.64583333333)</f>
        <v>43137.64583</v>
      </c>
      <c r="C526" s="8">
        <f>IFERROR(__xludf.DUMMYFUNCTION("""COMPUTED_VALUE"""),1788.6)</f>
        <v>1788.6</v>
      </c>
      <c r="E526" s="15">
        <f>IFERROR(__xludf.DUMMYFUNCTION("""COMPUTED_VALUE"""),43137.64583333333)</f>
        <v>43137.64583</v>
      </c>
      <c r="F526" s="8">
        <f>IFERROR(__xludf.DUMMYFUNCTION("""COMPUTED_VALUE"""),948.4)</f>
        <v>948.4</v>
      </c>
      <c r="H526" s="4">
        <f t="shared" si="1"/>
        <v>840.2</v>
      </c>
      <c r="I526" s="16">
        <f t="shared" si="2"/>
        <v>912.378</v>
      </c>
      <c r="J526" s="16">
        <f t="shared" si="3"/>
        <v>56.71240579</v>
      </c>
      <c r="K526" s="16">
        <f t="shared" si="4"/>
        <v>969.0904058</v>
      </c>
      <c r="L526" s="16">
        <f t="shared" si="5"/>
        <v>855.6655942</v>
      </c>
      <c r="N526" s="17" t="str">
        <f t="shared" si="6"/>
        <v>T</v>
      </c>
      <c r="O526" s="17" t="str">
        <f t="shared" si="7"/>
        <v>F</v>
      </c>
      <c r="P526" s="8">
        <f t="shared" si="8"/>
        <v>1</v>
      </c>
      <c r="R526" s="17" t="str">
        <f t="shared" si="9"/>
        <v>F</v>
      </c>
      <c r="S526" s="3" t="str">
        <f t="shared" si="10"/>
        <v>T</v>
      </c>
      <c r="T526" s="8">
        <f t="shared" si="11"/>
        <v>0</v>
      </c>
      <c r="V526" s="4">
        <f t="shared" si="12"/>
        <v>1</v>
      </c>
      <c r="W526" s="8">
        <f t="shared" si="13"/>
        <v>-26.22</v>
      </c>
      <c r="X526" s="8">
        <f t="shared" si="14"/>
        <v>-26.22</v>
      </c>
      <c r="Y526" s="8">
        <f t="shared" si="15"/>
        <v>72.45</v>
      </c>
    </row>
    <row r="527">
      <c r="A527" s="2">
        <v>520.0</v>
      </c>
      <c r="B527" s="15">
        <f>IFERROR(__xludf.DUMMYFUNCTION("""COMPUTED_VALUE"""),43138.64583333333)</f>
        <v>43138.64583</v>
      </c>
      <c r="C527" s="8">
        <f>IFERROR(__xludf.DUMMYFUNCTION("""COMPUTED_VALUE"""),1785.35)</f>
        <v>1785.35</v>
      </c>
      <c r="E527" s="15">
        <f>IFERROR(__xludf.DUMMYFUNCTION("""COMPUTED_VALUE"""),43138.64583333333)</f>
        <v>43138.64583</v>
      </c>
      <c r="F527" s="8">
        <f>IFERROR(__xludf.DUMMYFUNCTION("""COMPUTED_VALUE"""),936.4)</f>
        <v>936.4</v>
      </c>
      <c r="H527" s="4">
        <f t="shared" si="1"/>
        <v>848.95</v>
      </c>
      <c r="I527" s="16">
        <f t="shared" si="2"/>
        <v>891.478</v>
      </c>
      <c r="J527" s="16">
        <f t="shared" si="3"/>
        <v>57.04677879</v>
      </c>
      <c r="K527" s="16">
        <f t="shared" si="4"/>
        <v>948.5247788</v>
      </c>
      <c r="L527" s="16">
        <f t="shared" si="5"/>
        <v>834.4312212</v>
      </c>
      <c r="N527" s="17" t="str">
        <f t="shared" si="6"/>
        <v>F</v>
      </c>
      <c r="O527" s="17" t="str">
        <f t="shared" si="7"/>
        <v>F</v>
      </c>
      <c r="P527" s="8">
        <f t="shared" si="8"/>
        <v>1</v>
      </c>
      <c r="R527" s="17" t="str">
        <f t="shared" si="9"/>
        <v>F</v>
      </c>
      <c r="S527" s="3" t="str">
        <f t="shared" si="10"/>
        <v>T</v>
      </c>
      <c r="T527" s="8">
        <f t="shared" si="11"/>
        <v>0</v>
      </c>
      <c r="V527" s="4">
        <f t="shared" si="12"/>
        <v>1</v>
      </c>
      <c r="W527" s="8">
        <f t="shared" si="13"/>
        <v>8.75</v>
      </c>
      <c r="X527" s="8">
        <f t="shared" si="14"/>
        <v>8.75</v>
      </c>
      <c r="Y527" s="8">
        <f t="shared" si="15"/>
        <v>81.2</v>
      </c>
    </row>
    <row r="528">
      <c r="A528" s="2">
        <v>521.0</v>
      </c>
      <c r="B528" s="15">
        <f>IFERROR(__xludf.DUMMYFUNCTION("""COMPUTED_VALUE"""),43139.64583333333)</f>
        <v>43139.64583</v>
      </c>
      <c r="C528" s="8">
        <f>IFERROR(__xludf.DUMMYFUNCTION("""COMPUTED_VALUE"""),1811.8)</f>
        <v>1811.8</v>
      </c>
      <c r="E528" s="15">
        <f>IFERROR(__xludf.DUMMYFUNCTION("""COMPUTED_VALUE"""),43139.64583333333)</f>
        <v>43139.64583</v>
      </c>
      <c r="F528" s="8">
        <f>IFERROR(__xludf.DUMMYFUNCTION("""COMPUTED_VALUE"""),940.48)</f>
        <v>940.48</v>
      </c>
      <c r="H528" s="4">
        <f t="shared" si="1"/>
        <v>871.32</v>
      </c>
      <c r="I528" s="16">
        <f t="shared" si="2"/>
        <v>871.348</v>
      </c>
      <c r="J528" s="16">
        <f t="shared" si="3"/>
        <v>35.06650211</v>
      </c>
      <c r="K528" s="16">
        <f t="shared" si="4"/>
        <v>906.4145021</v>
      </c>
      <c r="L528" s="16">
        <f t="shared" si="5"/>
        <v>836.2814979</v>
      </c>
      <c r="N528" s="17" t="str">
        <f t="shared" si="6"/>
        <v>F</v>
      </c>
      <c r="O528" s="17" t="str">
        <f t="shared" si="7"/>
        <v>F</v>
      </c>
      <c r="P528" s="8">
        <f t="shared" si="8"/>
        <v>1</v>
      </c>
      <c r="R528" s="17" t="str">
        <f t="shared" si="9"/>
        <v>F</v>
      </c>
      <c r="S528" s="3" t="str">
        <f t="shared" si="10"/>
        <v>T</v>
      </c>
      <c r="T528" s="8">
        <f t="shared" si="11"/>
        <v>0</v>
      </c>
      <c r="V528" s="4">
        <f t="shared" si="12"/>
        <v>1</v>
      </c>
      <c r="W528" s="8">
        <f t="shared" si="13"/>
        <v>22.37</v>
      </c>
      <c r="X528" s="8">
        <f t="shared" si="14"/>
        <v>22.37</v>
      </c>
      <c r="Y528" s="8">
        <f t="shared" si="15"/>
        <v>103.57</v>
      </c>
    </row>
    <row r="529">
      <c r="A529" s="2">
        <v>522.0</v>
      </c>
      <c r="B529" s="15">
        <f>IFERROR(__xludf.DUMMYFUNCTION("""COMPUTED_VALUE"""),43140.64583333333)</f>
        <v>43140.64583</v>
      </c>
      <c r="C529" s="8">
        <f>IFERROR(__xludf.DUMMYFUNCTION("""COMPUTED_VALUE"""),1773.05)</f>
        <v>1773.05</v>
      </c>
      <c r="E529" s="15">
        <f>IFERROR(__xludf.DUMMYFUNCTION("""COMPUTED_VALUE"""),43140.64583333333)</f>
        <v>43140.64583</v>
      </c>
      <c r="F529" s="8">
        <f>IFERROR(__xludf.DUMMYFUNCTION("""COMPUTED_VALUE"""),924.75)</f>
        <v>924.75</v>
      </c>
      <c r="H529" s="4">
        <f t="shared" si="1"/>
        <v>848.3</v>
      </c>
      <c r="I529" s="16">
        <f t="shared" si="2"/>
        <v>855.038</v>
      </c>
      <c r="J529" s="16">
        <f t="shared" si="3"/>
        <v>13.20306858</v>
      </c>
      <c r="K529" s="16">
        <f t="shared" si="4"/>
        <v>868.2410686</v>
      </c>
      <c r="L529" s="16">
        <f t="shared" si="5"/>
        <v>841.8349314</v>
      </c>
      <c r="N529" s="17" t="str">
        <f t="shared" si="6"/>
        <v>F</v>
      </c>
      <c r="O529" s="17" t="str">
        <f t="shared" si="7"/>
        <v>F</v>
      </c>
      <c r="P529" s="8">
        <f t="shared" si="8"/>
        <v>1</v>
      </c>
      <c r="R529" s="17" t="str">
        <f t="shared" si="9"/>
        <v>F</v>
      </c>
      <c r="S529" s="3" t="str">
        <f t="shared" si="10"/>
        <v>T</v>
      </c>
      <c r="T529" s="8">
        <f t="shared" si="11"/>
        <v>0</v>
      </c>
      <c r="V529" s="4">
        <f t="shared" si="12"/>
        <v>1</v>
      </c>
      <c r="W529" s="8">
        <f t="shared" si="13"/>
        <v>-23.02</v>
      </c>
      <c r="X529" s="8">
        <f t="shared" si="14"/>
        <v>-23.02</v>
      </c>
      <c r="Y529" s="8">
        <f t="shared" si="15"/>
        <v>80.55</v>
      </c>
    </row>
    <row r="530">
      <c r="A530" s="2">
        <v>523.0</v>
      </c>
      <c r="B530" s="15">
        <f>IFERROR(__xludf.DUMMYFUNCTION("""COMPUTED_VALUE"""),43143.64583333333)</f>
        <v>43143.64583</v>
      </c>
      <c r="C530" s="8">
        <f>IFERROR(__xludf.DUMMYFUNCTION("""COMPUTED_VALUE"""),1805.45)</f>
        <v>1805.45</v>
      </c>
      <c r="E530" s="15">
        <f>IFERROR(__xludf.DUMMYFUNCTION("""COMPUTED_VALUE"""),43143.64583333333)</f>
        <v>43143.64583</v>
      </c>
      <c r="F530" s="8">
        <f>IFERROR(__xludf.DUMMYFUNCTION("""COMPUTED_VALUE"""),938.33)</f>
        <v>938.33</v>
      </c>
      <c r="H530" s="4">
        <f t="shared" si="1"/>
        <v>867.12</v>
      </c>
      <c r="I530" s="16">
        <f t="shared" si="2"/>
        <v>855.178</v>
      </c>
      <c r="J530" s="16">
        <f t="shared" si="3"/>
        <v>13.35674811</v>
      </c>
      <c r="K530" s="16">
        <f t="shared" si="4"/>
        <v>868.5347481</v>
      </c>
      <c r="L530" s="16">
        <f t="shared" si="5"/>
        <v>841.8212519</v>
      </c>
      <c r="N530" s="17" t="str">
        <f t="shared" si="6"/>
        <v>F</v>
      </c>
      <c r="O530" s="17" t="str">
        <f t="shared" si="7"/>
        <v>T</v>
      </c>
      <c r="P530" s="8">
        <f t="shared" si="8"/>
        <v>0</v>
      </c>
      <c r="R530" s="17" t="str">
        <f t="shared" si="9"/>
        <v>F</v>
      </c>
      <c r="S530" s="3" t="str">
        <f t="shared" si="10"/>
        <v>F</v>
      </c>
      <c r="T530" s="8">
        <f t="shared" si="11"/>
        <v>0</v>
      </c>
      <c r="V530" s="4">
        <f t="shared" si="12"/>
        <v>0</v>
      </c>
      <c r="W530" s="8">
        <f t="shared" si="13"/>
        <v>18.82</v>
      </c>
      <c r="X530" s="8">
        <f t="shared" si="14"/>
        <v>18.82</v>
      </c>
      <c r="Y530" s="8">
        <f t="shared" si="15"/>
        <v>99.37</v>
      </c>
    </row>
    <row r="531">
      <c r="A531" s="2">
        <v>524.0</v>
      </c>
      <c r="B531" s="15">
        <f>IFERROR(__xludf.DUMMYFUNCTION("""COMPUTED_VALUE"""),43145.64583333333)</f>
        <v>43145.64583</v>
      </c>
      <c r="C531" s="8">
        <f>IFERROR(__xludf.DUMMYFUNCTION("""COMPUTED_VALUE"""),1814.0)</f>
        <v>1814</v>
      </c>
      <c r="E531" s="15">
        <f>IFERROR(__xludf.DUMMYFUNCTION("""COMPUTED_VALUE"""),43145.64583333333)</f>
        <v>43145.64583</v>
      </c>
      <c r="F531" s="8">
        <f>IFERROR(__xludf.DUMMYFUNCTION("""COMPUTED_VALUE"""),941.58)</f>
        <v>941.58</v>
      </c>
      <c r="H531" s="4">
        <f t="shared" si="1"/>
        <v>872.42</v>
      </c>
      <c r="I531" s="16">
        <f t="shared" si="2"/>
        <v>861.622</v>
      </c>
      <c r="J531" s="16">
        <f t="shared" si="3"/>
        <v>12.03049542</v>
      </c>
      <c r="K531" s="16">
        <f t="shared" si="4"/>
        <v>873.6524954</v>
      </c>
      <c r="L531" s="16">
        <f t="shared" si="5"/>
        <v>849.5915046</v>
      </c>
      <c r="N531" s="17" t="str">
        <f t="shared" si="6"/>
        <v>F</v>
      </c>
      <c r="O531" s="17" t="str">
        <f t="shared" si="7"/>
        <v>T</v>
      </c>
      <c r="P531" s="8">
        <f t="shared" si="8"/>
        <v>0</v>
      </c>
      <c r="R531" s="17" t="str">
        <f t="shared" si="9"/>
        <v>F</v>
      </c>
      <c r="S531" s="3" t="str">
        <f t="shared" si="10"/>
        <v>F</v>
      </c>
      <c r="T531" s="8">
        <f t="shared" si="11"/>
        <v>0</v>
      </c>
      <c r="V531" s="4">
        <f t="shared" si="12"/>
        <v>0</v>
      </c>
      <c r="W531" s="8">
        <f t="shared" si="13"/>
        <v>5.3</v>
      </c>
      <c r="X531" s="8">
        <f t="shared" si="14"/>
        <v>0</v>
      </c>
      <c r="Y531" s="8">
        <f t="shared" si="15"/>
        <v>99.37</v>
      </c>
    </row>
    <row r="532">
      <c r="A532" s="2">
        <v>525.0</v>
      </c>
      <c r="B532" s="15">
        <f>IFERROR(__xludf.DUMMYFUNCTION("""COMPUTED_VALUE"""),43146.64583333333)</f>
        <v>43146.64583</v>
      </c>
      <c r="C532" s="8">
        <f>IFERROR(__xludf.DUMMYFUNCTION("""COMPUTED_VALUE"""),1829.5)</f>
        <v>1829.5</v>
      </c>
      <c r="E532" s="15">
        <f>IFERROR(__xludf.DUMMYFUNCTION("""COMPUTED_VALUE"""),43146.64583333333)</f>
        <v>43146.64583</v>
      </c>
      <c r="F532" s="8">
        <f>IFERROR(__xludf.DUMMYFUNCTION("""COMPUTED_VALUE"""),940.95)</f>
        <v>940.95</v>
      </c>
      <c r="H532" s="4">
        <f t="shared" si="1"/>
        <v>888.55</v>
      </c>
      <c r="I532" s="16">
        <f t="shared" si="2"/>
        <v>869.542</v>
      </c>
      <c r="J532" s="16">
        <f t="shared" si="3"/>
        <v>14.40344473</v>
      </c>
      <c r="K532" s="16">
        <f t="shared" si="4"/>
        <v>883.9454447</v>
      </c>
      <c r="L532" s="16">
        <f t="shared" si="5"/>
        <v>855.1385553</v>
      </c>
      <c r="N532" s="17" t="str">
        <f t="shared" si="6"/>
        <v>F</v>
      </c>
      <c r="O532" s="17" t="str">
        <f t="shared" si="7"/>
        <v>T</v>
      </c>
      <c r="P532" s="8">
        <f t="shared" si="8"/>
        <v>0</v>
      </c>
      <c r="R532" s="17" t="str">
        <f t="shared" si="9"/>
        <v>T</v>
      </c>
      <c r="S532" s="3" t="str">
        <f t="shared" si="10"/>
        <v>F</v>
      </c>
      <c r="T532" s="8">
        <f t="shared" si="11"/>
        <v>-1</v>
      </c>
      <c r="V532" s="4">
        <f t="shared" si="12"/>
        <v>-1</v>
      </c>
      <c r="W532" s="8">
        <f t="shared" si="13"/>
        <v>16.13</v>
      </c>
      <c r="X532" s="8">
        <f t="shared" si="14"/>
        <v>0</v>
      </c>
      <c r="Y532" s="8">
        <f t="shared" si="15"/>
        <v>99.37</v>
      </c>
    </row>
    <row r="533">
      <c r="A533" s="2">
        <v>526.0</v>
      </c>
      <c r="B533" s="15">
        <f>IFERROR(__xludf.DUMMYFUNCTION("""COMPUTED_VALUE"""),43147.64583333333)</f>
        <v>43147.64583</v>
      </c>
      <c r="C533" s="8">
        <f>IFERROR(__xludf.DUMMYFUNCTION("""COMPUTED_VALUE"""),1815.5)</f>
        <v>1815.5</v>
      </c>
      <c r="E533" s="15">
        <f>IFERROR(__xludf.DUMMYFUNCTION("""COMPUTED_VALUE"""),43147.64583333333)</f>
        <v>43147.64583</v>
      </c>
      <c r="F533" s="8">
        <f>IFERROR(__xludf.DUMMYFUNCTION("""COMPUTED_VALUE"""),939.3)</f>
        <v>939.3</v>
      </c>
      <c r="H533" s="4">
        <f t="shared" si="1"/>
        <v>876.2</v>
      </c>
      <c r="I533" s="16">
        <f t="shared" si="2"/>
        <v>870.518</v>
      </c>
      <c r="J533" s="16">
        <f t="shared" si="3"/>
        <v>14.71599198</v>
      </c>
      <c r="K533" s="16">
        <f t="shared" si="4"/>
        <v>885.233992</v>
      </c>
      <c r="L533" s="16">
        <f t="shared" si="5"/>
        <v>855.802008</v>
      </c>
      <c r="N533" s="17" t="str">
        <f t="shared" si="6"/>
        <v>F</v>
      </c>
      <c r="O533" s="17" t="str">
        <f t="shared" si="7"/>
        <v>T</v>
      </c>
      <c r="P533" s="8">
        <f t="shared" si="8"/>
        <v>0</v>
      </c>
      <c r="R533" s="17" t="str">
        <f t="shared" si="9"/>
        <v>F</v>
      </c>
      <c r="S533" s="3" t="str">
        <f t="shared" si="10"/>
        <v>F</v>
      </c>
      <c r="T533" s="8">
        <f t="shared" si="11"/>
        <v>-1</v>
      </c>
      <c r="V533" s="4">
        <f t="shared" si="12"/>
        <v>-1</v>
      </c>
      <c r="W533" s="8">
        <f t="shared" si="13"/>
        <v>-12.35</v>
      </c>
      <c r="X533" s="8">
        <f t="shared" si="14"/>
        <v>12.35</v>
      </c>
      <c r="Y533" s="8">
        <f t="shared" si="15"/>
        <v>111.72</v>
      </c>
    </row>
    <row r="534">
      <c r="A534" s="2">
        <v>527.0</v>
      </c>
      <c r="B534" s="15">
        <f>IFERROR(__xludf.DUMMYFUNCTION("""COMPUTED_VALUE"""),43150.64583333333)</f>
        <v>43150.64583</v>
      </c>
      <c r="C534" s="8">
        <f>IFERROR(__xludf.DUMMYFUNCTION("""COMPUTED_VALUE"""),1814.05)</f>
        <v>1814.05</v>
      </c>
      <c r="E534" s="15">
        <f>IFERROR(__xludf.DUMMYFUNCTION("""COMPUTED_VALUE"""),43150.64583333333)</f>
        <v>43150.64583</v>
      </c>
      <c r="F534" s="8">
        <f>IFERROR(__xludf.DUMMYFUNCTION("""COMPUTED_VALUE"""),939.1)</f>
        <v>939.1</v>
      </c>
      <c r="H534" s="4">
        <f t="shared" si="1"/>
        <v>874.95</v>
      </c>
      <c r="I534" s="16">
        <f t="shared" si="2"/>
        <v>875.848</v>
      </c>
      <c r="J534" s="16">
        <f t="shared" si="3"/>
        <v>7.908860221</v>
      </c>
      <c r="K534" s="16">
        <f t="shared" si="4"/>
        <v>883.7568602</v>
      </c>
      <c r="L534" s="16">
        <f t="shared" si="5"/>
        <v>867.9391398</v>
      </c>
      <c r="N534" s="17" t="str">
        <f t="shared" si="6"/>
        <v>F</v>
      </c>
      <c r="O534" s="17" t="str">
        <f t="shared" si="7"/>
        <v>F</v>
      </c>
      <c r="P534" s="8">
        <f t="shared" si="8"/>
        <v>0</v>
      </c>
      <c r="R534" s="17" t="str">
        <f t="shared" si="9"/>
        <v>F</v>
      </c>
      <c r="S534" s="3" t="str">
        <f t="shared" si="10"/>
        <v>T</v>
      </c>
      <c r="T534" s="8">
        <f t="shared" si="11"/>
        <v>0</v>
      </c>
      <c r="V534" s="4">
        <f t="shared" si="12"/>
        <v>0</v>
      </c>
      <c r="W534" s="8">
        <f t="shared" si="13"/>
        <v>-1.25</v>
      </c>
      <c r="X534" s="8">
        <f t="shared" si="14"/>
        <v>1.25</v>
      </c>
      <c r="Y534" s="8">
        <f t="shared" si="15"/>
        <v>112.97</v>
      </c>
    </row>
    <row r="535">
      <c r="A535" s="2">
        <v>528.0</v>
      </c>
      <c r="B535" s="15">
        <f>IFERROR(__xludf.DUMMYFUNCTION("""COMPUTED_VALUE"""),43151.64583333333)</f>
        <v>43151.64583</v>
      </c>
      <c r="C535" s="8">
        <f>IFERROR(__xludf.DUMMYFUNCTION("""COMPUTED_VALUE"""),1811.75)</f>
        <v>1811.75</v>
      </c>
      <c r="E535" s="15">
        <f>IFERROR(__xludf.DUMMYFUNCTION("""COMPUTED_VALUE"""),43151.64583333333)</f>
        <v>43151.64583</v>
      </c>
      <c r="F535" s="8">
        <f>IFERROR(__xludf.DUMMYFUNCTION("""COMPUTED_VALUE"""),931.6)</f>
        <v>931.6</v>
      </c>
      <c r="H535" s="4">
        <f t="shared" si="1"/>
        <v>880.15</v>
      </c>
      <c r="I535" s="16">
        <f t="shared" si="2"/>
        <v>878.454</v>
      </c>
      <c r="J535" s="16">
        <f t="shared" si="3"/>
        <v>6.296294942</v>
      </c>
      <c r="K535" s="16">
        <f t="shared" si="4"/>
        <v>884.7502949</v>
      </c>
      <c r="L535" s="16">
        <f t="shared" si="5"/>
        <v>872.1577051</v>
      </c>
      <c r="N535" s="17" t="str">
        <f t="shared" si="6"/>
        <v>F</v>
      </c>
      <c r="O535" s="17" t="str">
        <f t="shared" si="7"/>
        <v>T</v>
      </c>
      <c r="P535" s="8">
        <f t="shared" si="8"/>
        <v>0</v>
      </c>
      <c r="R535" s="17" t="str">
        <f t="shared" si="9"/>
        <v>F</v>
      </c>
      <c r="S535" s="3" t="str">
        <f t="shared" si="10"/>
        <v>F</v>
      </c>
      <c r="T535" s="8">
        <f t="shared" si="11"/>
        <v>0</v>
      </c>
      <c r="V535" s="4">
        <f t="shared" si="12"/>
        <v>0</v>
      </c>
      <c r="W535" s="8">
        <f t="shared" si="13"/>
        <v>5.2</v>
      </c>
      <c r="X535" s="8">
        <f t="shared" si="14"/>
        <v>0</v>
      </c>
      <c r="Y535" s="8">
        <f t="shared" si="15"/>
        <v>112.97</v>
      </c>
    </row>
    <row r="536">
      <c r="A536" s="2">
        <v>529.0</v>
      </c>
      <c r="B536" s="15">
        <f>IFERROR(__xludf.DUMMYFUNCTION("""COMPUTED_VALUE"""),43152.64583333333)</f>
        <v>43152.64583</v>
      </c>
      <c r="C536" s="8">
        <f>IFERROR(__xludf.DUMMYFUNCTION("""COMPUTED_VALUE"""),1824.8)</f>
        <v>1824.8</v>
      </c>
      <c r="E536" s="15">
        <f>IFERROR(__xludf.DUMMYFUNCTION("""COMPUTED_VALUE"""),43152.64583333333)</f>
        <v>43152.64583</v>
      </c>
      <c r="F536" s="8">
        <f>IFERROR(__xludf.DUMMYFUNCTION("""COMPUTED_VALUE"""),928.7)</f>
        <v>928.7</v>
      </c>
      <c r="H536" s="4">
        <f t="shared" si="1"/>
        <v>896.1</v>
      </c>
      <c r="I536" s="16">
        <f t="shared" si="2"/>
        <v>883.19</v>
      </c>
      <c r="J536" s="16">
        <f t="shared" si="3"/>
        <v>8.963774317</v>
      </c>
      <c r="K536" s="16">
        <f t="shared" si="4"/>
        <v>892.1537743</v>
      </c>
      <c r="L536" s="16">
        <f t="shared" si="5"/>
        <v>874.2262257</v>
      </c>
      <c r="N536" s="17" t="str">
        <f t="shared" si="6"/>
        <v>F</v>
      </c>
      <c r="O536" s="17" t="str">
        <f t="shared" si="7"/>
        <v>T</v>
      </c>
      <c r="P536" s="8">
        <f t="shared" si="8"/>
        <v>0</v>
      </c>
      <c r="R536" s="17" t="str">
        <f t="shared" si="9"/>
        <v>T</v>
      </c>
      <c r="S536" s="3" t="str">
        <f t="shared" si="10"/>
        <v>F</v>
      </c>
      <c r="T536" s="8">
        <f t="shared" si="11"/>
        <v>-1</v>
      </c>
      <c r="V536" s="4">
        <f t="shared" si="12"/>
        <v>-1</v>
      </c>
      <c r="W536" s="8">
        <f t="shared" si="13"/>
        <v>15.95</v>
      </c>
      <c r="X536" s="8">
        <f t="shared" si="14"/>
        <v>0</v>
      </c>
      <c r="Y536" s="8">
        <f t="shared" si="15"/>
        <v>112.97</v>
      </c>
    </row>
    <row r="537">
      <c r="A537" s="2">
        <v>530.0</v>
      </c>
      <c r="B537" s="15">
        <f>IFERROR(__xludf.DUMMYFUNCTION("""COMPUTED_VALUE"""),43153.64583333333)</f>
        <v>43153.64583</v>
      </c>
      <c r="C537" s="8">
        <f>IFERROR(__xludf.DUMMYFUNCTION("""COMPUTED_VALUE"""),1819.25)</f>
        <v>1819.25</v>
      </c>
      <c r="E537" s="15">
        <f>IFERROR(__xludf.DUMMYFUNCTION("""COMPUTED_VALUE"""),43153.64583333333)</f>
        <v>43153.64583</v>
      </c>
      <c r="F537" s="8">
        <f>IFERROR(__xludf.DUMMYFUNCTION("""COMPUTED_VALUE"""),926.6)</f>
        <v>926.6</v>
      </c>
      <c r="H537" s="4">
        <f t="shared" si="1"/>
        <v>892.65</v>
      </c>
      <c r="I537" s="16">
        <f t="shared" si="2"/>
        <v>884.01</v>
      </c>
      <c r="J537" s="16">
        <f t="shared" si="3"/>
        <v>9.731353965</v>
      </c>
      <c r="K537" s="16">
        <f t="shared" si="4"/>
        <v>893.741354</v>
      </c>
      <c r="L537" s="16">
        <f t="shared" si="5"/>
        <v>874.278646</v>
      </c>
      <c r="N537" s="17" t="str">
        <f t="shared" si="6"/>
        <v>F</v>
      </c>
      <c r="O537" s="17" t="str">
        <f t="shared" si="7"/>
        <v>T</v>
      </c>
      <c r="P537" s="8">
        <f t="shared" si="8"/>
        <v>0</v>
      </c>
      <c r="R537" s="17" t="str">
        <f t="shared" si="9"/>
        <v>F</v>
      </c>
      <c r="S537" s="3" t="str">
        <f t="shared" si="10"/>
        <v>F</v>
      </c>
      <c r="T537" s="8">
        <f t="shared" si="11"/>
        <v>-1</v>
      </c>
      <c r="V537" s="4">
        <f t="shared" si="12"/>
        <v>-1</v>
      </c>
      <c r="W537" s="8">
        <f t="shared" si="13"/>
        <v>-3.45</v>
      </c>
      <c r="X537" s="8">
        <f t="shared" si="14"/>
        <v>3.45</v>
      </c>
      <c r="Y537" s="8">
        <f t="shared" si="15"/>
        <v>116.42</v>
      </c>
    </row>
    <row r="538">
      <c r="A538" s="2">
        <v>531.0</v>
      </c>
      <c r="B538" s="15">
        <f>IFERROR(__xludf.DUMMYFUNCTION("""COMPUTED_VALUE"""),43154.64583333333)</f>
        <v>43154.64583</v>
      </c>
      <c r="C538" s="8">
        <f>IFERROR(__xludf.DUMMYFUNCTION("""COMPUTED_VALUE"""),1824.2)</f>
        <v>1824.2</v>
      </c>
      <c r="E538" s="15">
        <f>IFERROR(__xludf.DUMMYFUNCTION("""COMPUTED_VALUE"""),43154.64583333333)</f>
        <v>43154.64583</v>
      </c>
      <c r="F538" s="8">
        <f>IFERROR(__xludf.DUMMYFUNCTION("""COMPUTED_VALUE"""),940.28)</f>
        <v>940.28</v>
      </c>
      <c r="H538" s="4">
        <f t="shared" si="1"/>
        <v>883.92</v>
      </c>
      <c r="I538" s="16">
        <f t="shared" si="2"/>
        <v>885.554</v>
      </c>
      <c r="J538" s="16">
        <f t="shared" si="3"/>
        <v>8.744845911</v>
      </c>
      <c r="K538" s="16">
        <f t="shared" si="4"/>
        <v>894.2988459</v>
      </c>
      <c r="L538" s="16">
        <f t="shared" si="5"/>
        <v>876.8091541</v>
      </c>
      <c r="N538" s="17" t="str">
        <f t="shared" si="6"/>
        <v>F</v>
      </c>
      <c r="O538" s="17" t="str">
        <f t="shared" si="7"/>
        <v>F</v>
      </c>
      <c r="P538" s="8">
        <f t="shared" si="8"/>
        <v>0</v>
      </c>
      <c r="R538" s="17" t="str">
        <f t="shared" si="9"/>
        <v>F</v>
      </c>
      <c r="S538" s="3" t="str">
        <f t="shared" si="10"/>
        <v>T</v>
      </c>
      <c r="T538" s="8">
        <f t="shared" si="11"/>
        <v>0</v>
      </c>
      <c r="V538" s="4">
        <f t="shared" si="12"/>
        <v>0</v>
      </c>
      <c r="W538" s="8">
        <f t="shared" si="13"/>
        <v>-8.73</v>
      </c>
      <c r="X538" s="8">
        <f t="shared" si="14"/>
        <v>8.73</v>
      </c>
      <c r="Y538" s="8">
        <f t="shared" si="15"/>
        <v>125.15</v>
      </c>
    </row>
    <row r="539">
      <c r="A539" s="2">
        <v>532.0</v>
      </c>
      <c r="B539" s="15">
        <f>IFERROR(__xludf.DUMMYFUNCTION("""COMPUTED_VALUE"""),43157.64583333333)</f>
        <v>43157.64583</v>
      </c>
      <c r="C539" s="8">
        <f>IFERROR(__xludf.DUMMYFUNCTION("""COMPUTED_VALUE"""),1843.25)</f>
        <v>1843.25</v>
      </c>
      <c r="E539" s="15">
        <f>IFERROR(__xludf.DUMMYFUNCTION("""COMPUTED_VALUE"""),43157.64583333333)</f>
        <v>43157.64583</v>
      </c>
      <c r="F539" s="8">
        <f>IFERROR(__xludf.DUMMYFUNCTION("""COMPUTED_VALUE"""),955.78)</f>
        <v>955.78</v>
      </c>
      <c r="H539" s="4">
        <f t="shared" si="1"/>
        <v>887.47</v>
      </c>
      <c r="I539" s="16">
        <f t="shared" si="2"/>
        <v>888.058</v>
      </c>
      <c r="J539" s="16">
        <f t="shared" si="3"/>
        <v>6.437497184</v>
      </c>
      <c r="K539" s="16">
        <f t="shared" si="4"/>
        <v>894.4954972</v>
      </c>
      <c r="L539" s="16">
        <f t="shared" si="5"/>
        <v>881.6205028</v>
      </c>
      <c r="N539" s="17" t="str">
        <f t="shared" si="6"/>
        <v>F</v>
      </c>
      <c r="O539" s="17" t="str">
        <f t="shared" si="7"/>
        <v>F</v>
      </c>
      <c r="P539" s="8">
        <f t="shared" si="8"/>
        <v>0</v>
      </c>
      <c r="R539" s="17" t="str">
        <f t="shared" si="9"/>
        <v>F</v>
      </c>
      <c r="S539" s="3" t="str">
        <f t="shared" si="10"/>
        <v>T</v>
      </c>
      <c r="T539" s="8">
        <f t="shared" si="11"/>
        <v>0</v>
      </c>
      <c r="V539" s="4">
        <f t="shared" si="12"/>
        <v>0</v>
      </c>
      <c r="W539" s="8">
        <f t="shared" si="13"/>
        <v>3.55</v>
      </c>
      <c r="X539" s="8">
        <f t="shared" si="14"/>
        <v>0</v>
      </c>
      <c r="Y539" s="8">
        <f t="shared" si="15"/>
        <v>125.15</v>
      </c>
    </row>
    <row r="540">
      <c r="A540" s="2">
        <v>533.0</v>
      </c>
      <c r="B540" s="15">
        <f>IFERROR(__xludf.DUMMYFUNCTION("""COMPUTED_VALUE"""),43158.64583333333)</f>
        <v>43158.64583</v>
      </c>
      <c r="C540" s="8">
        <f>IFERROR(__xludf.DUMMYFUNCTION("""COMPUTED_VALUE"""),1828.65)</f>
        <v>1828.65</v>
      </c>
      <c r="E540" s="15">
        <f>IFERROR(__xludf.DUMMYFUNCTION("""COMPUTED_VALUE"""),43158.64583333333)</f>
        <v>43158.64583</v>
      </c>
      <c r="F540" s="8">
        <f>IFERROR(__xludf.DUMMYFUNCTION("""COMPUTED_VALUE"""),951.28)</f>
        <v>951.28</v>
      </c>
      <c r="H540" s="4">
        <f t="shared" si="1"/>
        <v>877.37</v>
      </c>
      <c r="I540" s="16">
        <f t="shared" si="2"/>
        <v>887.502</v>
      </c>
      <c r="J540" s="16">
        <f t="shared" si="3"/>
        <v>7.34705179</v>
      </c>
      <c r="K540" s="16">
        <f t="shared" si="4"/>
        <v>894.8490518</v>
      </c>
      <c r="L540" s="16">
        <f t="shared" si="5"/>
        <v>880.1549482</v>
      </c>
      <c r="N540" s="17" t="str">
        <f t="shared" si="6"/>
        <v>T</v>
      </c>
      <c r="O540" s="17" t="str">
        <f t="shared" si="7"/>
        <v>F</v>
      </c>
      <c r="P540" s="8">
        <f t="shared" si="8"/>
        <v>1</v>
      </c>
      <c r="R540" s="17" t="str">
        <f t="shared" si="9"/>
        <v>F</v>
      </c>
      <c r="S540" s="3" t="str">
        <f t="shared" si="10"/>
        <v>T</v>
      </c>
      <c r="T540" s="8">
        <f t="shared" si="11"/>
        <v>0</v>
      </c>
      <c r="V540" s="4">
        <f t="shared" si="12"/>
        <v>1</v>
      </c>
      <c r="W540" s="8">
        <f t="shared" si="13"/>
        <v>-10.1</v>
      </c>
      <c r="X540" s="8">
        <f t="shared" si="14"/>
        <v>0</v>
      </c>
      <c r="Y540" s="8">
        <f t="shared" si="15"/>
        <v>125.15</v>
      </c>
    </row>
    <row r="541">
      <c r="A541" s="2">
        <v>534.0</v>
      </c>
      <c r="B541" s="15">
        <f>IFERROR(__xludf.DUMMYFUNCTION("""COMPUTED_VALUE"""),43159.64583333333)</f>
        <v>43159.64583</v>
      </c>
      <c r="C541" s="8">
        <f>IFERROR(__xludf.DUMMYFUNCTION("""COMPUTED_VALUE"""),1808.7)</f>
        <v>1808.7</v>
      </c>
      <c r="E541" s="15">
        <f>IFERROR(__xludf.DUMMYFUNCTION("""COMPUTED_VALUE"""),43159.64583333333)</f>
        <v>43159.64583</v>
      </c>
      <c r="F541" s="8">
        <f>IFERROR(__xludf.DUMMYFUNCTION("""COMPUTED_VALUE"""),942.1)</f>
        <v>942.1</v>
      </c>
      <c r="H541" s="4">
        <f t="shared" si="1"/>
        <v>866.6</v>
      </c>
      <c r="I541" s="16">
        <f t="shared" si="2"/>
        <v>881.602</v>
      </c>
      <c r="J541" s="16">
        <f t="shared" si="3"/>
        <v>10.06025198</v>
      </c>
      <c r="K541" s="16">
        <f t="shared" si="4"/>
        <v>891.662252</v>
      </c>
      <c r="L541" s="16">
        <f t="shared" si="5"/>
        <v>871.541748</v>
      </c>
      <c r="N541" s="17" t="str">
        <f t="shared" si="6"/>
        <v>T</v>
      </c>
      <c r="O541" s="17" t="str">
        <f t="shared" si="7"/>
        <v>F</v>
      </c>
      <c r="P541" s="8">
        <f t="shared" si="8"/>
        <v>1</v>
      </c>
      <c r="R541" s="17" t="str">
        <f t="shared" si="9"/>
        <v>F</v>
      </c>
      <c r="S541" s="3" t="str">
        <f t="shared" si="10"/>
        <v>T</v>
      </c>
      <c r="T541" s="8">
        <f t="shared" si="11"/>
        <v>0</v>
      </c>
      <c r="V541" s="4">
        <f t="shared" si="12"/>
        <v>1</v>
      </c>
      <c r="W541" s="8">
        <f t="shared" si="13"/>
        <v>-10.77</v>
      </c>
      <c r="X541" s="8">
        <f t="shared" si="14"/>
        <v>-10.77</v>
      </c>
      <c r="Y541" s="8">
        <f t="shared" si="15"/>
        <v>114.38</v>
      </c>
    </row>
    <row r="542">
      <c r="A542" s="2">
        <v>535.0</v>
      </c>
      <c r="B542" s="15">
        <f>IFERROR(__xludf.DUMMYFUNCTION("""COMPUTED_VALUE"""),43160.64583333333)</f>
        <v>43160.64583</v>
      </c>
      <c r="C542" s="8">
        <f>IFERROR(__xludf.DUMMYFUNCTION("""COMPUTED_VALUE"""),1814.15)</f>
        <v>1814.15</v>
      </c>
      <c r="E542" s="15">
        <f>IFERROR(__xludf.DUMMYFUNCTION("""COMPUTED_VALUE"""),43160.64583333333)</f>
        <v>43160.64583</v>
      </c>
      <c r="F542" s="8">
        <f>IFERROR(__xludf.DUMMYFUNCTION("""COMPUTED_VALUE"""),937.18)</f>
        <v>937.18</v>
      </c>
      <c r="H542" s="4">
        <f t="shared" si="1"/>
        <v>876.97</v>
      </c>
      <c r="I542" s="16">
        <f t="shared" si="2"/>
        <v>878.466</v>
      </c>
      <c r="J542" s="16">
        <f t="shared" si="3"/>
        <v>7.985288348</v>
      </c>
      <c r="K542" s="16">
        <f t="shared" si="4"/>
        <v>886.4512883</v>
      </c>
      <c r="L542" s="16">
        <f t="shared" si="5"/>
        <v>870.4807117</v>
      </c>
      <c r="N542" s="17" t="str">
        <f t="shared" si="6"/>
        <v>F</v>
      </c>
      <c r="O542" s="17" t="str">
        <f t="shared" si="7"/>
        <v>F</v>
      </c>
      <c r="P542" s="8">
        <f t="shared" si="8"/>
        <v>1</v>
      </c>
      <c r="R542" s="17" t="str">
        <f t="shared" si="9"/>
        <v>F</v>
      </c>
      <c r="S542" s="3" t="str">
        <f t="shared" si="10"/>
        <v>T</v>
      </c>
      <c r="T542" s="8">
        <f t="shared" si="11"/>
        <v>0</v>
      </c>
      <c r="V542" s="4">
        <f t="shared" si="12"/>
        <v>1</v>
      </c>
      <c r="W542" s="8">
        <f t="shared" si="13"/>
        <v>10.37</v>
      </c>
      <c r="X542" s="8">
        <f t="shared" si="14"/>
        <v>10.37</v>
      </c>
      <c r="Y542" s="8">
        <f t="shared" si="15"/>
        <v>124.75</v>
      </c>
    </row>
    <row r="543">
      <c r="A543" s="2">
        <v>536.0</v>
      </c>
      <c r="B543" s="15">
        <f>IFERROR(__xludf.DUMMYFUNCTION("""COMPUTED_VALUE"""),43164.64583333333)</f>
        <v>43164.64583</v>
      </c>
      <c r="C543" s="8">
        <f>IFERROR(__xludf.DUMMYFUNCTION("""COMPUTED_VALUE"""),1789.6)</f>
        <v>1789.6</v>
      </c>
      <c r="E543" s="15">
        <f>IFERROR(__xludf.DUMMYFUNCTION("""COMPUTED_VALUE"""),43164.64583333333)</f>
        <v>43164.64583</v>
      </c>
      <c r="F543" s="8">
        <f>IFERROR(__xludf.DUMMYFUNCTION("""COMPUTED_VALUE"""),934.98)</f>
        <v>934.98</v>
      </c>
      <c r="H543" s="4">
        <f t="shared" si="1"/>
        <v>854.62</v>
      </c>
      <c r="I543" s="16">
        <f t="shared" si="2"/>
        <v>872.606</v>
      </c>
      <c r="J543" s="16">
        <f t="shared" si="3"/>
        <v>12.47243882</v>
      </c>
      <c r="K543" s="16">
        <f t="shared" si="4"/>
        <v>885.0784388</v>
      </c>
      <c r="L543" s="16">
        <f t="shared" si="5"/>
        <v>860.1335612</v>
      </c>
      <c r="N543" s="17" t="str">
        <f t="shared" si="6"/>
        <v>T</v>
      </c>
      <c r="O543" s="17" t="str">
        <f t="shared" si="7"/>
        <v>F</v>
      </c>
      <c r="P543" s="8">
        <f t="shared" si="8"/>
        <v>1</v>
      </c>
      <c r="R543" s="17" t="str">
        <f t="shared" si="9"/>
        <v>F</v>
      </c>
      <c r="S543" s="3" t="str">
        <f t="shared" si="10"/>
        <v>T</v>
      </c>
      <c r="T543" s="8">
        <f t="shared" si="11"/>
        <v>0</v>
      </c>
      <c r="V543" s="4">
        <f t="shared" si="12"/>
        <v>1</v>
      </c>
      <c r="W543" s="8">
        <f t="shared" si="13"/>
        <v>-22.35</v>
      </c>
      <c r="X543" s="8">
        <f t="shared" si="14"/>
        <v>-22.35</v>
      </c>
      <c r="Y543" s="8">
        <f t="shared" si="15"/>
        <v>102.4</v>
      </c>
    </row>
    <row r="544">
      <c r="A544" s="2">
        <v>537.0</v>
      </c>
      <c r="B544" s="15">
        <f>IFERROR(__xludf.DUMMYFUNCTION("""COMPUTED_VALUE"""),43165.64583333333)</f>
        <v>43165.64583</v>
      </c>
      <c r="C544" s="8">
        <f>IFERROR(__xludf.DUMMYFUNCTION("""COMPUTED_VALUE"""),1782.8)</f>
        <v>1782.8</v>
      </c>
      <c r="E544" s="15">
        <f>IFERROR(__xludf.DUMMYFUNCTION("""COMPUTED_VALUE"""),43165.64583333333)</f>
        <v>43165.64583</v>
      </c>
      <c r="F544" s="8">
        <f>IFERROR(__xludf.DUMMYFUNCTION("""COMPUTED_VALUE"""),923.13)</f>
        <v>923.13</v>
      </c>
      <c r="H544" s="4">
        <f t="shared" si="1"/>
        <v>859.67</v>
      </c>
      <c r="I544" s="16">
        <f t="shared" si="2"/>
        <v>867.046</v>
      </c>
      <c r="J544" s="16">
        <f t="shared" si="3"/>
        <v>10.17448426</v>
      </c>
      <c r="K544" s="16">
        <f t="shared" si="4"/>
        <v>877.2204843</v>
      </c>
      <c r="L544" s="16">
        <f t="shared" si="5"/>
        <v>856.8715157</v>
      </c>
      <c r="N544" s="17" t="str">
        <f t="shared" si="6"/>
        <v>F</v>
      </c>
      <c r="O544" s="17" t="str">
        <f t="shared" si="7"/>
        <v>F</v>
      </c>
      <c r="P544" s="8">
        <f t="shared" si="8"/>
        <v>1</v>
      </c>
      <c r="R544" s="17" t="str">
        <f t="shared" si="9"/>
        <v>F</v>
      </c>
      <c r="S544" s="3" t="str">
        <f t="shared" si="10"/>
        <v>T</v>
      </c>
      <c r="T544" s="8">
        <f t="shared" si="11"/>
        <v>0</v>
      </c>
      <c r="V544" s="4">
        <f t="shared" si="12"/>
        <v>1</v>
      </c>
      <c r="W544" s="8">
        <f t="shared" si="13"/>
        <v>5.05</v>
      </c>
      <c r="X544" s="8">
        <f t="shared" si="14"/>
        <v>5.05</v>
      </c>
      <c r="Y544" s="8">
        <f t="shared" si="15"/>
        <v>107.45</v>
      </c>
    </row>
    <row r="545">
      <c r="A545" s="2">
        <v>538.0</v>
      </c>
      <c r="B545" s="15">
        <f>IFERROR(__xludf.DUMMYFUNCTION("""COMPUTED_VALUE"""),43166.64583333333)</f>
        <v>43166.64583</v>
      </c>
      <c r="C545" s="8">
        <f>IFERROR(__xludf.DUMMYFUNCTION("""COMPUTED_VALUE"""),1761.75)</f>
        <v>1761.75</v>
      </c>
      <c r="E545" s="15">
        <f>IFERROR(__xludf.DUMMYFUNCTION("""COMPUTED_VALUE"""),43166.64583333333)</f>
        <v>43166.64583</v>
      </c>
      <c r="F545" s="8">
        <f>IFERROR(__xludf.DUMMYFUNCTION("""COMPUTED_VALUE"""),916.3)</f>
        <v>916.3</v>
      </c>
      <c r="H545" s="4">
        <f t="shared" si="1"/>
        <v>845.45</v>
      </c>
      <c r="I545" s="16">
        <f t="shared" si="2"/>
        <v>860.662</v>
      </c>
      <c r="J545" s="16">
        <f t="shared" si="3"/>
        <v>11.93844085</v>
      </c>
      <c r="K545" s="16">
        <f t="shared" si="4"/>
        <v>872.6004409</v>
      </c>
      <c r="L545" s="16">
        <f t="shared" si="5"/>
        <v>848.7235591</v>
      </c>
      <c r="N545" s="17" t="str">
        <f t="shared" si="6"/>
        <v>T</v>
      </c>
      <c r="O545" s="17" t="str">
        <f t="shared" si="7"/>
        <v>F</v>
      </c>
      <c r="P545" s="8">
        <f t="shared" si="8"/>
        <v>1</v>
      </c>
      <c r="R545" s="17" t="str">
        <f t="shared" si="9"/>
        <v>F</v>
      </c>
      <c r="S545" s="3" t="str">
        <f t="shared" si="10"/>
        <v>T</v>
      </c>
      <c r="T545" s="8">
        <f t="shared" si="11"/>
        <v>0</v>
      </c>
      <c r="V545" s="4">
        <f t="shared" si="12"/>
        <v>1</v>
      </c>
      <c r="W545" s="8">
        <f t="shared" si="13"/>
        <v>-14.22</v>
      </c>
      <c r="X545" s="8">
        <f t="shared" si="14"/>
        <v>-14.22</v>
      </c>
      <c r="Y545" s="8">
        <f t="shared" si="15"/>
        <v>93.23</v>
      </c>
    </row>
    <row r="546">
      <c r="A546" s="2">
        <v>539.0</v>
      </c>
      <c r="B546" s="15">
        <f>IFERROR(__xludf.DUMMYFUNCTION("""COMPUTED_VALUE"""),43167.64583333333)</f>
        <v>43167.64583</v>
      </c>
      <c r="C546" s="8">
        <f>IFERROR(__xludf.DUMMYFUNCTION("""COMPUTED_VALUE"""),1798.75)</f>
        <v>1798.75</v>
      </c>
      <c r="E546" s="15">
        <f>IFERROR(__xludf.DUMMYFUNCTION("""COMPUTED_VALUE"""),43167.64583333333)</f>
        <v>43167.64583</v>
      </c>
      <c r="F546" s="8">
        <f>IFERROR(__xludf.DUMMYFUNCTION("""COMPUTED_VALUE"""),926.43)</f>
        <v>926.43</v>
      </c>
      <c r="H546" s="4">
        <f t="shared" si="1"/>
        <v>872.32</v>
      </c>
      <c r="I546" s="16">
        <f t="shared" si="2"/>
        <v>861.806</v>
      </c>
      <c r="J546" s="16">
        <f t="shared" si="3"/>
        <v>12.88614489</v>
      </c>
      <c r="K546" s="16">
        <f t="shared" si="4"/>
        <v>874.6921449</v>
      </c>
      <c r="L546" s="16">
        <f t="shared" si="5"/>
        <v>848.9198551</v>
      </c>
      <c r="N546" s="17" t="str">
        <f t="shared" si="6"/>
        <v>F</v>
      </c>
      <c r="O546" s="17" t="str">
        <f t="shared" si="7"/>
        <v>T</v>
      </c>
      <c r="P546" s="8">
        <f t="shared" si="8"/>
        <v>0</v>
      </c>
      <c r="R546" s="17" t="str">
        <f t="shared" si="9"/>
        <v>F</v>
      </c>
      <c r="S546" s="3" t="str">
        <f t="shared" si="10"/>
        <v>F</v>
      </c>
      <c r="T546" s="8">
        <f t="shared" si="11"/>
        <v>0</v>
      </c>
      <c r="V546" s="4">
        <f t="shared" si="12"/>
        <v>0</v>
      </c>
      <c r="W546" s="8">
        <f t="shared" si="13"/>
        <v>26.87</v>
      </c>
      <c r="X546" s="8">
        <f t="shared" si="14"/>
        <v>26.87</v>
      </c>
      <c r="Y546" s="8">
        <f t="shared" si="15"/>
        <v>120.1</v>
      </c>
    </row>
    <row r="547">
      <c r="A547" s="2">
        <v>540.0</v>
      </c>
      <c r="B547" s="15">
        <f>IFERROR(__xludf.DUMMYFUNCTION("""COMPUTED_VALUE"""),43168.64583333333)</f>
        <v>43168.64583</v>
      </c>
      <c r="C547" s="8">
        <f>IFERROR(__xludf.DUMMYFUNCTION("""COMPUTED_VALUE"""),1818.6)</f>
        <v>1818.6</v>
      </c>
      <c r="E547" s="15">
        <f>IFERROR(__xludf.DUMMYFUNCTION("""COMPUTED_VALUE"""),43168.64583333333)</f>
        <v>43168.64583</v>
      </c>
      <c r="F547" s="8">
        <f>IFERROR(__xludf.DUMMYFUNCTION("""COMPUTED_VALUE"""),925.53)</f>
        <v>925.53</v>
      </c>
      <c r="H547" s="4">
        <f t="shared" si="1"/>
        <v>893.07</v>
      </c>
      <c r="I547" s="16">
        <f t="shared" si="2"/>
        <v>865.026</v>
      </c>
      <c r="J547" s="16">
        <f t="shared" si="3"/>
        <v>18.43813792</v>
      </c>
      <c r="K547" s="16">
        <f t="shared" si="4"/>
        <v>883.4641379</v>
      </c>
      <c r="L547" s="16">
        <f t="shared" si="5"/>
        <v>846.5878621</v>
      </c>
      <c r="N547" s="17" t="str">
        <f t="shared" si="6"/>
        <v>F</v>
      </c>
      <c r="O547" s="17" t="str">
        <f t="shared" si="7"/>
        <v>T</v>
      </c>
      <c r="P547" s="8">
        <f t="shared" si="8"/>
        <v>0</v>
      </c>
      <c r="R547" s="17" t="str">
        <f t="shared" si="9"/>
        <v>T</v>
      </c>
      <c r="S547" s="3" t="str">
        <f t="shared" si="10"/>
        <v>F</v>
      </c>
      <c r="T547" s="8">
        <f t="shared" si="11"/>
        <v>-1</v>
      </c>
      <c r="V547" s="4">
        <f t="shared" si="12"/>
        <v>-1</v>
      </c>
      <c r="W547" s="8">
        <f t="shared" si="13"/>
        <v>20.75</v>
      </c>
      <c r="X547" s="8">
        <f t="shared" si="14"/>
        <v>0</v>
      </c>
      <c r="Y547" s="8">
        <f t="shared" si="15"/>
        <v>120.1</v>
      </c>
    </row>
    <row r="548">
      <c r="A548" s="2">
        <v>541.0</v>
      </c>
      <c r="B548" s="15">
        <f>IFERROR(__xludf.DUMMYFUNCTION("""COMPUTED_VALUE"""),43171.64583333333)</f>
        <v>43171.64583</v>
      </c>
      <c r="C548" s="8">
        <f>IFERROR(__xludf.DUMMYFUNCTION("""COMPUTED_VALUE"""),1858.05)</f>
        <v>1858.05</v>
      </c>
      <c r="E548" s="15">
        <f>IFERROR(__xludf.DUMMYFUNCTION("""COMPUTED_VALUE"""),43171.64583333333)</f>
        <v>43171.64583</v>
      </c>
      <c r="F548" s="8">
        <f>IFERROR(__xludf.DUMMYFUNCTION("""COMPUTED_VALUE"""),933.63)</f>
        <v>933.63</v>
      </c>
      <c r="H548" s="4">
        <f t="shared" si="1"/>
        <v>924.42</v>
      </c>
      <c r="I548" s="16">
        <f t="shared" si="2"/>
        <v>878.986</v>
      </c>
      <c r="J548" s="16">
        <f t="shared" si="3"/>
        <v>30.84158767</v>
      </c>
      <c r="K548" s="16">
        <f t="shared" si="4"/>
        <v>909.8275877</v>
      </c>
      <c r="L548" s="16">
        <f t="shared" si="5"/>
        <v>848.1444123</v>
      </c>
      <c r="N548" s="17" t="str">
        <f t="shared" si="6"/>
        <v>F</v>
      </c>
      <c r="O548" s="17" t="str">
        <f t="shared" si="7"/>
        <v>T</v>
      </c>
      <c r="P548" s="8">
        <f t="shared" si="8"/>
        <v>0</v>
      </c>
      <c r="R548" s="17" t="str">
        <f t="shared" si="9"/>
        <v>T</v>
      </c>
      <c r="S548" s="3" t="str">
        <f t="shared" si="10"/>
        <v>F</v>
      </c>
      <c r="T548" s="8">
        <f t="shared" si="11"/>
        <v>-1</v>
      </c>
      <c r="V548" s="4">
        <f t="shared" si="12"/>
        <v>-1</v>
      </c>
      <c r="W548" s="8">
        <f t="shared" si="13"/>
        <v>31.35</v>
      </c>
      <c r="X548" s="8">
        <f t="shared" si="14"/>
        <v>-31.35</v>
      </c>
      <c r="Y548" s="8">
        <f t="shared" si="15"/>
        <v>88.75</v>
      </c>
    </row>
    <row r="549">
      <c r="A549" s="2">
        <v>542.0</v>
      </c>
      <c r="B549" s="15">
        <f>IFERROR(__xludf.DUMMYFUNCTION("""COMPUTED_VALUE"""),43172.64583333333)</f>
        <v>43172.64583</v>
      </c>
      <c r="C549" s="8">
        <f>IFERROR(__xludf.DUMMYFUNCTION("""COMPUTED_VALUE"""),1868.5)</f>
        <v>1868.5</v>
      </c>
      <c r="E549" s="15">
        <f>IFERROR(__xludf.DUMMYFUNCTION("""COMPUTED_VALUE"""),43172.64583333333)</f>
        <v>43172.64583</v>
      </c>
      <c r="F549" s="8">
        <f>IFERROR(__xludf.DUMMYFUNCTION("""COMPUTED_VALUE"""),930.13)</f>
        <v>930.13</v>
      </c>
      <c r="H549" s="4">
        <f t="shared" si="1"/>
        <v>938.37</v>
      </c>
      <c r="I549" s="16">
        <f t="shared" si="2"/>
        <v>894.726</v>
      </c>
      <c r="J549" s="16">
        <f t="shared" si="3"/>
        <v>37.81344906</v>
      </c>
      <c r="K549" s="16">
        <f t="shared" si="4"/>
        <v>932.5394491</v>
      </c>
      <c r="L549" s="16">
        <f t="shared" si="5"/>
        <v>856.9125509</v>
      </c>
      <c r="N549" s="17" t="str">
        <f t="shared" si="6"/>
        <v>F</v>
      </c>
      <c r="O549" s="17" t="str">
        <f t="shared" si="7"/>
        <v>T</v>
      </c>
      <c r="P549" s="8">
        <f t="shared" si="8"/>
        <v>0</v>
      </c>
      <c r="R549" s="17" t="str">
        <f t="shared" si="9"/>
        <v>T</v>
      </c>
      <c r="S549" s="3" t="str">
        <f t="shared" si="10"/>
        <v>F</v>
      </c>
      <c r="T549" s="8">
        <f t="shared" si="11"/>
        <v>-1</v>
      </c>
      <c r="V549" s="4">
        <f t="shared" si="12"/>
        <v>-1</v>
      </c>
      <c r="W549" s="8">
        <f t="shared" si="13"/>
        <v>13.95</v>
      </c>
      <c r="X549" s="8">
        <f t="shared" si="14"/>
        <v>-13.95</v>
      </c>
      <c r="Y549" s="8">
        <f t="shared" si="15"/>
        <v>74.8</v>
      </c>
    </row>
    <row r="550">
      <c r="A550" s="2">
        <v>543.0</v>
      </c>
      <c r="B550" s="15">
        <f>IFERROR(__xludf.DUMMYFUNCTION("""COMPUTED_VALUE"""),43173.64583333333)</f>
        <v>43173.64583</v>
      </c>
      <c r="C550" s="8">
        <f>IFERROR(__xludf.DUMMYFUNCTION("""COMPUTED_VALUE"""),1844.7)</f>
        <v>1844.7</v>
      </c>
      <c r="E550" s="15">
        <f>IFERROR(__xludf.DUMMYFUNCTION("""COMPUTED_VALUE"""),43173.64583333333)</f>
        <v>43173.64583</v>
      </c>
      <c r="F550" s="8">
        <f>IFERROR(__xludf.DUMMYFUNCTION("""COMPUTED_VALUE"""),932.25)</f>
        <v>932.25</v>
      </c>
      <c r="H550" s="4">
        <f t="shared" si="1"/>
        <v>912.45</v>
      </c>
      <c r="I550" s="16">
        <f t="shared" si="2"/>
        <v>908.126</v>
      </c>
      <c r="J550" s="16">
        <f t="shared" si="3"/>
        <v>26.01751199</v>
      </c>
      <c r="K550" s="16">
        <f t="shared" si="4"/>
        <v>934.143512</v>
      </c>
      <c r="L550" s="16">
        <f t="shared" si="5"/>
        <v>882.108488</v>
      </c>
      <c r="N550" s="17" t="str">
        <f t="shared" si="6"/>
        <v>F</v>
      </c>
      <c r="O550" s="17" t="str">
        <f t="shared" si="7"/>
        <v>T</v>
      </c>
      <c r="P550" s="8">
        <f t="shared" si="8"/>
        <v>0</v>
      </c>
      <c r="R550" s="17" t="str">
        <f t="shared" si="9"/>
        <v>F</v>
      </c>
      <c r="S550" s="3" t="str">
        <f t="shared" si="10"/>
        <v>F</v>
      </c>
      <c r="T550" s="8">
        <f t="shared" si="11"/>
        <v>-1</v>
      </c>
      <c r="V550" s="4">
        <f t="shared" si="12"/>
        <v>-1</v>
      </c>
      <c r="W550" s="8">
        <f t="shared" si="13"/>
        <v>-25.92</v>
      </c>
      <c r="X550" s="8">
        <f t="shared" si="14"/>
        <v>25.92</v>
      </c>
      <c r="Y550" s="8">
        <f t="shared" si="15"/>
        <v>100.72</v>
      </c>
    </row>
    <row r="551">
      <c r="A551" s="2">
        <v>544.0</v>
      </c>
      <c r="B551" s="15">
        <f>IFERROR(__xludf.DUMMYFUNCTION("""COMPUTED_VALUE"""),43174.64583333333)</f>
        <v>43174.64583</v>
      </c>
      <c r="C551" s="8">
        <f>IFERROR(__xludf.DUMMYFUNCTION("""COMPUTED_VALUE"""),1830.0)</f>
        <v>1830</v>
      </c>
      <c r="E551" s="15">
        <f>IFERROR(__xludf.DUMMYFUNCTION("""COMPUTED_VALUE"""),43174.64583333333)</f>
        <v>43174.64583</v>
      </c>
      <c r="F551" s="8">
        <f>IFERROR(__xludf.DUMMYFUNCTION("""COMPUTED_VALUE"""),940.4)</f>
        <v>940.4</v>
      </c>
      <c r="H551" s="4">
        <f t="shared" si="1"/>
        <v>889.6</v>
      </c>
      <c r="I551" s="16">
        <f t="shared" si="2"/>
        <v>911.582</v>
      </c>
      <c r="J551" s="16">
        <f t="shared" si="3"/>
        <v>20.67043226</v>
      </c>
      <c r="K551" s="16">
        <f t="shared" si="4"/>
        <v>932.2524323</v>
      </c>
      <c r="L551" s="16">
        <f t="shared" si="5"/>
        <v>890.9115677</v>
      </c>
      <c r="N551" s="17" t="str">
        <f t="shared" si="6"/>
        <v>T</v>
      </c>
      <c r="O551" s="17" t="str">
        <f t="shared" si="7"/>
        <v>F</v>
      </c>
      <c r="P551" s="8">
        <f t="shared" si="8"/>
        <v>1</v>
      </c>
      <c r="R551" s="17" t="str">
        <f t="shared" si="9"/>
        <v>F</v>
      </c>
      <c r="S551" s="3" t="str">
        <f t="shared" si="10"/>
        <v>T</v>
      </c>
      <c r="T551" s="8">
        <f t="shared" si="11"/>
        <v>0</v>
      </c>
      <c r="V551" s="4">
        <f t="shared" si="12"/>
        <v>1</v>
      </c>
      <c r="W551" s="8">
        <f t="shared" si="13"/>
        <v>-22.85</v>
      </c>
      <c r="X551" s="8">
        <f t="shared" si="14"/>
        <v>22.85</v>
      </c>
      <c r="Y551" s="8">
        <f t="shared" si="15"/>
        <v>123.57</v>
      </c>
    </row>
    <row r="552">
      <c r="A552" s="2">
        <v>545.0</v>
      </c>
      <c r="B552" s="15">
        <f>IFERROR(__xludf.DUMMYFUNCTION("""COMPUTED_VALUE"""),43175.64583333333)</f>
        <v>43175.64583</v>
      </c>
      <c r="C552" s="8">
        <f>IFERROR(__xludf.DUMMYFUNCTION("""COMPUTED_VALUE"""),1791.4)</f>
        <v>1791.4</v>
      </c>
      <c r="E552" s="15">
        <f>IFERROR(__xludf.DUMMYFUNCTION("""COMPUTED_VALUE"""),43175.64583333333)</f>
        <v>43175.64583</v>
      </c>
      <c r="F552" s="8">
        <f>IFERROR(__xludf.DUMMYFUNCTION("""COMPUTED_VALUE"""),926.5)</f>
        <v>926.5</v>
      </c>
      <c r="H552" s="4">
        <f t="shared" si="1"/>
        <v>864.9</v>
      </c>
      <c r="I552" s="16">
        <f t="shared" si="2"/>
        <v>905.948</v>
      </c>
      <c r="J552" s="16">
        <f t="shared" si="3"/>
        <v>29.0984204</v>
      </c>
      <c r="K552" s="16">
        <f t="shared" si="4"/>
        <v>935.0464204</v>
      </c>
      <c r="L552" s="16">
        <f t="shared" si="5"/>
        <v>876.8495796</v>
      </c>
      <c r="N552" s="17" t="str">
        <f t="shared" si="6"/>
        <v>T</v>
      </c>
      <c r="O552" s="17" t="str">
        <f t="shared" si="7"/>
        <v>F</v>
      </c>
      <c r="P552" s="8">
        <f t="shared" si="8"/>
        <v>1</v>
      </c>
      <c r="R552" s="17" t="str">
        <f t="shared" si="9"/>
        <v>F</v>
      </c>
      <c r="S552" s="3" t="str">
        <f t="shared" si="10"/>
        <v>T</v>
      </c>
      <c r="T552" s="8">
        <f t="shared" si="11"/>
        <v>0</v>
      </c>
      <c r="V552" s="4">
        <f t="shared" si="12"/>
        <v>1</v>
      </c>
      <c r="W552" s="8">
        <f t="shared" si="13"/>
        <v>-24.7</v>
      </c>
      <c r="X552" s="8">
        <f t="shared" si="14"/>
        <v>-24.7</v>
      </c>
      <c r="Y552" s="8">
        <f t="shared" si="15"/>
        <v>98.87</v>
      </c>
    </row>
    <row r="553">
      <c r="A553" s="2">
        <v>546.0</v>
      </c>
      <c r="B553" s="15">
        <f>IFERROR(__xludf.DUMMYFUNCTION("""COMPUTED_VALUE"""),43178.64583333333)</f>
        <v>43178.64583</v>
      </c>
      <c r="C553" s="8">
        <f>IFERROR(__xludf.DUMMYFUNCTION("""COMPUTED_VALUE"""),1774.5)</f>
        <v>1774.5</v>
      </c>
      <c r="E553" s="15">
        <f>IFERROR(__xludf.DUMMYFUNCTION("""COMPUTED_VALUE"""),43178.64583333333)</f>
        <v>43178.64583</v>
      </c>
      <c r="F553" s="8">
        <f>IFERROR(__xludf.DUMMYFUNCTION("""COMPUTED_VALUE"""),923.63)</f>
        <v>923.63</v>
      </c>
      <c r="H553" s="4">
        <f t="shared" si="1"/>
        <v>850.87</v>
      </c>
      <c r="I553" s="16">
        <f t="shared" si="2"/>
        <v>891.238</v>
      </c>
      <c r="J553" s="16">
        <f t="shared" si="3"/>
        <v>35.34587345</v>
      </c>
      <c r="K553" s="16">
        <f t="shared" si="4"/>
        <v>926.5838735</v>
      </c>
      <c r="L553" s="16">
        <f t="shared" si="5"/>
        <v>855.8921265</v>
      </c>
      <c r="N553" s="17" t="str">
        <f t="shared" si="6"/>
        <v>T</v>
      </c>
      <c r="O553" s="17" t="str">
        <f t="shared" si="7"/>
        <v>F</v>
      </c>
      <c r="P553" s="8">
        <f t="shared" si="8"/>
        <v>1</v>
      </c>
      <c r="R553" s="17" t="str">
        <f t="shared" si="9"/>
        <v>F</v>
      </c>
      <c r="S553" s="3" t="str">
        <f t="shared" si="10"/>
        <v>T</v>
      </c>
      <c r="T553" s="8">
        <f t="shared" si="11"/>
        <v>0</v>
      </c>
      <c r="V553" s="4">
        <f t="shared" si="12"/>
        <v>1</v>
      </c>
      <c r="W553" s="8">
        <f t="shared" si="13"/>
        <v>-14.03</v>
      </c>
      <c r="X553" s="8">
        <f t="shared" si="14"/>
        <v>-14.03</v>
      </c>
      <c r="Y553" s="8">
        <f t="shared" si="15"/>
        <v>84.84</v>
      </c>
    </row>
    <row r="554">
      <c r="A554" s="2">
        <v>547.0</v>
      </c>
      <c r="B554" s="15">
        <f>IFERROR(__xludf.DUMMYFUNCTION("""COMPUTED_VALUE"""),43179.64583333333)</f>
        <v>43179.64583</v>
      </c>
      <c r="C554" s="8">
        <f>IFERROR(__xludf.DUMMYFUNCTION("""COMPUTED_VALUE"""),1800.05)</f>
        <v>1800.05</v>
      </c>
      <c r="E554" s="15">
        <f>IFERROR(__xludf.DUMMYFUNCTION("""COMPUTED_VALUE"""),43179.64583333333)</f>
        <v>43179.64583</v>
      </c>
      <c r="F554" s="8">
        <f>IFERROR(__xludf.DUMMYFUNCTION("""COMPUTED_VALUE"""),919.75)</f>
        <v>919.75</v>
      </c>
      <c r="H554" s="4">
        <f t="shared" si="1"/>
        <v>880.3</v>
      </c>
      <c r="I554" s="16">
        <f t="shared" si="2"/>
        <v>879.624</v>
      </c>
      <c r="J554" s="16">
        <f t="shared" si="3"/>
        <v>23.56434022</v>
      </c>
      <c r="K554" s="16">
        <f t="shared" si="4"/>
        <v>903.1883402</v>
      </c>
      <c r="L554" s="16">
        <f t="shared" si="5"/>
        <v>856.0596598</v>
      </c>
      <c r="N554" s="17" t="str">
        <f t="shared" si="6"/>
        <v>F</v>
      </c>
      <c r="O554" s="17" t="str">
        <f t="shared" si="7"/>
        <v>T</v>
      </c>
      <c r="P554" s="8">
        <f t="shared" si="8"/>
        <v>0</v>
      </c>
      <c r="R554" s="17" t="str">
        <f t="shared" si="9"/>
        <v>F</v>
      </c>
      <c r="S554" s="3" t="str">
        <f t="shared" si="10"/>
        <v>F</v>
      </c>
      <c r="T554" s="8">
        <f t="shared" si="11"/>
        <v>0</v>
      </c>
      <c r="V554" s="4">
        <f t="shared" si="12"/>
        <v>0</v>
      </c>
      <c r="W554" s="8">
        <f t="shared" si="13"/>
        <v>29.43</v>
      </c>
      <c r="X554" s="8">
        <f t="shared" si="14"/>
        <v>29.43</v>
      </c>
      <c r="Y554" s="8">
        <f t="shared" si="15"/>
        <v>114.27</v>
      </c>
    </row>
    <row r="555">
      <c r="A555" s="2">
        <v>548.0</v>
      </c>
      <c r="B555" s="15">
        <f>IFERROR(__xludf.DUMMYFUNCTION("""COMPUTED_VALUE"""),43180.64583333333)</f>
        <v>43180.64583</v>
      </c>
      <c r="C555" s="8">
        <f>IFERROR(__xludf.DUMMYFUNCTION("""COMPUTED_VALUE"""),1817.85)</f>
        <v>1817.85</v>
      </c>
      <c r="E555" s="15">
        <f>IFERROR(__xludf.DUMMYFUNCTION("""COMPUTED_VALUE"""),43180.64583333333)</f>
        <v>43180.64583</v>
      </c>
      <c r="F555" s="8">
        <f>IFERROR(__xludf.DUMMYFUNCTION("""COMPUTED_VALUE"""),929.45)</f>
        <v>929.45</v>
      </c>
      <c r="H555" s="4">
        <f t="shared" si="1"/>
        <v>888.4</v>
      </c>
      <c r="I555" s="16">
        <f t="shared" si="2"/>
        <v>874.814</v>
      </c>
      <c r="J555" s="16">
        <f t="shared" si="3"/>
        <v>16.62004753</v>
      </c>
      <c r="K555" s="16">
        <f t="shared" si="4"/>
        <v>891.4340475</v>
      </c>
      <c r="L555" s="16">
        <f t="shared" si="5"/>
        <v>858.1939525</v>
      </c>
      <c r="N555" s="17" t="str">
        <f t="shared" si="6"/>
        <v>F</v>
      </c>
      <c r="O555" s="17" t="str">
        <f t="shared" si="7"/>
        <v>T</v>
      </c>
      <c r="P555" s="8">
        <f t="shared" si="8"/>
        <v>0</v>
      </c>
      <c r="R555" s="17" t="str">
        <f t="shared" si="9"/>
        <v>F</v>
      </c>
      <c r="S555" s="3" t="str">
        <f t="shared" si="10"/>
        <v>F</v>
      </c>
      <c r="T555" s="8">
        <f t="shared" si="11"/>
        <v>0</v>
      </c>
      <c r="V555" s="4">
        <f t="shared" si="12"/>
        <v>0</v>
      </c>
      <c r="W555" s="8">
        <f t="shared" si="13"/>
        <v>8.1</v>
      </c>
      <c r="X555" s="8">
        <f t="shared" si="14"/>
        <v>0</v>
      </c>
      <c r="Y555" s="8">
        <f t="shared" si="15"/>
        <v>114.27</v>
      </c>
    </row>
    <row r="556">
      <c r="A556" s="2">
        <v>549.0</v>
      </c>
      <c r="B556" s="15">
        <f>IFERROR(__xludf.DUMMYFUNCTION("""COMPUTED_VALUE"""),43181.64583333333)</f>
        <v>43181.64583</v>
      </c>
      <c r="C556" s="8">
        <f>IFERROR(__xludf.DUMMYFUNCTION("""COMPUTED_VALUE"""),1809.55)</f>
        <v>1809.55</v>
      </c>
      <c r="E556" s="15">
        <f>IFERROR(__xludf.DUMMYFUNCTION("""COMPUTED_VALUE"""),43181.64583333333)</f>
        <v>43181.64583</v>
      </c>
      <c r="F556" s="8">
        <f>IFERROR(__xludf.DUMMYFUNCTION("""COMPUTED_VALUE"""),933.88)</f>
        <v>933.88</v>
      </c>
      <c r="H556" s="4">
        <f t="shared" si="1"/>
        <v>875.67</v>
      </c>
      <c r="I556" s="16">
        <f t="shared" si="2"/>
        <v>872.028</v>
      </c>
      <c r="J556" s="16">
        <f t="shared" si="3"/>
        <v>14.56195282</v>
      </c>
      <c r="K556" s="16">
        <f t="shared" si="4"/>
        <v>886.5899528</v>
      </c>
      <c r="L556" s="16">
        <f t="shared" si="5"/>
        <v>857.4660472</v>
      </c>
      <c r="N556" s="17" t="str">
        <f t="shared" si="6"/>
        <v>F</v>
      </c>
      <c r="O556" s="17" t="str">
        <f t="shared" si="7"/>
        <v>T</v>
      </c>
      <c r="P556" s="8">
        <f t="shared" si="8"/>
        <v>0</v>
      </c>
      <c r="R556" s="17" t="str">
        <f t="shared" si="9"/>
        <v>F</v>
      </c>
      <c r="S556" s="3" t="str">
        <f t="shared" si="10"/>
        <v>F</v>
      </c>
      <c r="T556" s="8">
        <f t="shared" si="11"/>
        <v>0</v>
      </c>
      <c r="V556" s="4">
        <f t="shared" si="12"/>
        <v>0</v>
      </c>
      <c r="W556" s="8">
        <f t="shared" si="13"/>
        <v>-12.73</v>
      </c>
      <c r="X556" s="8">
        <f t="shared" si="14"/>
        <v>0</v>
      </c>
      <c r="Y556" s="8">
        <f t="shared" si="15"/>
        <v>114.27</v>
      </c>
    </row>
    <row r="557">
      <c r="A557" s="2">
        <v>550.0</v>
      </c>
      <c r="B557" s="15">
        <f>IFERROR(__xludf.DUMMYFUNCTION("""COMPUTED_VALUE"""),43182.64583333333)</f>
        <v>43182.64583</v>
      </c>
      <c r="C557" s="8">
        <f>IFERROR(__xludf.DUMMYFUNCTION("""COMPUTED_VALUE"""),1789.6)</f>
        <v>1789.6</v>
      </c>
      <c r="E557" s="15">
        <f>IFERROR(__xludf.DUMMYFUNCTION("""COMPUTED_VALUE"""),43182.64583333333)</f>
        <v>43182.64583</v>
      </c>
      <c r="F557" s="8">
        <f>IFERROR(__xludf.DUMMYFUNCTION("""COMPUTED_VALUE"""),920.78)</f>
        <v>920.78</v>
      </c>
      <c r="H557" s="4">
        <f t="shared" si="1"/>
        <v>868.82</v>
      </c>
      <c r="I557" s="16">
        <f t="shared" si="2"/>
        <v>872.812</v>
      </c>
      <c r="J557" s="16">
        <f t="shared" si="3"/>
        <v>14.18283716</v>
      </c>
      <c r="K557" s="16">
        <f t="shared" si="4"/>
        <v>886.9948372</v>
      </c>
      <c r="L557" s="16">
        <f t="shared" si="5"/>
        <v>858.6291628</v>
      </c>
      <c r="N557" s="17" t="str">
        <f t="shared" si="6"/>
        <v>F</v>
      </c>
      <c r="O557" s="17" t="str">
        <f t="shared" si="7"/>
        <v>F</v>
      </c>
      <c r="P557" s="8">
        <f t="shared" si="8"/>
        <v>0</v>
      </c>
      <c r="R557" s="17" t="str">
        <f t="shared" si="9"/>
        <v>F</v>
      </c>
      <c r="S557" s="3" t="str">
        <f t="shared" si="10"/>
        <v>T</v>
      </c>
      <c r="T557" s="8">
        <f t="shared" si="11"/>
        <v>0</v>
      </c>
      <c r="V557" s="4">
        <f t="shared" si="12"/>
        <v>0</v>
      </c>
      <c r="W557" s="8">
        <f t="shared" si="13"/>
        <v>-6.85</v>
      </c>
      <c r="X557" s="8">
        <f t="shared" si="14"/>
        <v>0</v>
      </c>
      <c r="Y557" s="8">
        <f t="shared" si="15"/>
        <v>114.27</v>
      </c>
    </row>
    <row r="558">
      <c r="A558" s="2">
        <v>551.0</v>
      </c>
      <c r="B558" s="15">
        <f>IFERROR(__xludf.DUMMYFUNCTION("""COMPUTED_VALUE"""),43185.64583333333)</f>
        <v>43185.64583</v>
      </c>
      <c r="C558" s="8">
        <f>IFERROR(__xludf.DUMMYFUNCTION("""COMPUTED_VALUE"""),1830.15)</f>
        <v>1830.15</v>
      </c>
      <c r="E558" s="15">
        <f>IFERROR(__xludf.DUMMYFUNCTION("""COMPUTED_VALUE"""),43185.64583333333)</f>
        <v>43185.64583</v>
      </c>
      <c r="F558" s="8">
        <f>IFERROR(__xludf.DUMMYFUNCTION("""COMPUTED_VALUE"""),946.73)</f>
        <v>946.73</v>
      </c>
      <c r="H558" s="4">
        <f t="shared" si="1"/>
        <v>883.42</v>
      </c>
      <c r="I558" s="16">
        <f t="shared" si="2"/>
        <v>879.322</v>
      </c>
      <c r="J558" s="16">
        <f t="shared" si="3"/>
        <v>7.479794115</v>
      </c>
      <c r="K558" s="16">
        <f t="shared" si="4"/>
        <v>886.8017941</v>
      </c>
      <c r="L558" s="16">
        <f t="shared" si="5"/>
        <v>871.8422059</v>
      </c>
      <c r="N558" s="17" t="str">
        <f t="shared" si="6"/>
        <v>F</v>
      </c>
      <c r="O558" s="17" t="str">
        <f t="shared" si="7"/>
        <v>T</v>
      </c>
      <c r="P558" s="8">
        <f t="shared" si="8"/>
        <v>0</v>
      </c>
      <c r="R558" s="17" t="str">
        <f t="shared" si="9"/>
        <v>F</v>
      </c>
      <c r="S558" s="3" t="str">
        <f t="shared" si="10"/>
        <v>F</v>
      </c>
      <c r="T558" s="8">
        <f t="shared" si="11"/>
        <v>0</v>
      </c>
      <c r="V558" s="4">
        <f t="shared" si="12"/>
        <v>0</v>
      </c>
      <c r="W558" s="8">
        <f t="shared" si="13"/>
        <v>14.6</v>
      </c>
      <c r="X558" s="8">
        <f t="shared" si="14"/>
        <v>0</v>
      </c>
      <c r="Y558" s="8">
        <f t="shared" si="15"/>
        <v>114.27</v>
      </c>
    </row>
    <row r="559">
      <c r="A559" s="2">
        <v>552.0</v>
      </c>
      <c r="B559" s="15">
        <f>IFERROR(__xludf.DUMMYFUNCTION("""COMPUTED_VALUE"""),43186.64583333333)</f>
        <v>43186.64583</v>
      </c>
      <c r="C559" s="8">
        <f>IFERROR(__xludf.DUMMYFUNCTION("""COMPUTED_VALUE"""),1823.15)</f>
        <v>1823.15</v>
      </c>
      <c r="E559" s="15">
        <f>IFERROR(__xludf.DUMMYFUNCTION("""COMPUTED_VALUE"""),43186.64583333333)</f>
        <v>43186.64583</v>
      </c>
      <c r="F559" s="8">
        <f>IFERROR(__xludf.DUMMYFUNCTION("""COMPUTED_VALUE"""),946.3)</f>
        <v>946.3</v>
      </c>
      <c r="H559" s="4">
        <f t="shared" si="1"/>
        <v>876.85</v>
      </c>
      <c r="I559" s="16">
        <f t="shared" si="2"/>
        <v>878.632</v>
      </c>
      <c r="J559" s="16">
        <f t="shared" si="3"/>
        <v>7.526006245</v>
      </c>
      <c r="K559" s="16">
        <f t="shared" si="4"/>
        <v>886.1580062</v>
      </c>
      <c r="L559" s="16">
        <f t="shared" si="5"/>
        <v>871.1059938</v>
      </c>
      <c r="N559" s="17" t="str">
        <f t="shared" si="6"/>
        <v>F</v>
      </c>
      <c r="O559" s="17" t="str">
        <f t="shared" si="7"/>
        <v>F</v>
      </c>
      <c r="P559" s="8">
        <f t="shared" si="8"/>
        <v>0</v>
      </c>
      <c r="R559" s="17" t="str">
        <f t="shared" si="9"/>
        <v>F</v>
      </c>
      <c r="S559" s="3" t="str">
        <f t="shared" si="10"/>
        <v>T</v>
      </c>
      <c r="T559" s="8">
        <f t="shared" si="11"/>
        <v>0</v>
      </c>
      <c r="V559" s="4">
        <f t="shared" si="12"/>
        <v>0</v>
      </c>
      <c r="W559" s="8">
        <f t="shared" si="13"/>
        <v>-6.57</v>
      </c>
      <c r="X559" s="8">
        <f t="shared" si="14"/>
        <v>0</v>
      </c>
      <c r="Y559" s="8">
        <f t="shared" si="15"/>
        <v>114.27</v>
      </c>
    </row>
    <row r="560">
      <c r="A560" s="2">
        <v>553.0</v>
      </c>
      <c r="B560" s="15">
        <f>IFERROR(__xludf.DUMMYFUNCTION("""COMPUTED_VALUE"""),43187.64583333333)</f>
        <v>43187.64583</v>
      </c>
      <c r="C560" s="8">
        <f>IFERROR(__xludf.DUMMYFUNCTION("""COMPUTED_VALUE"""),1825.6)</f>
        <v>1825.6</v>
      </c>
      <c r="E560" s="15">
        <f>IFERROR(__xludf.DUMMYFUNCTION("""COMPUTED_VALUE"""),43187.64583333333)</f>
        <v>43187.64583</v>
      </c>
      <c r="F560" s="8">
        <f>IFERROR(__xludf.DUMMYFUNCTION("""COMPUTED_VALUE"""),943.05)</f>
        <v>943.05</v>
      </c>
      <c r="H560" s="4">
        <f t="shared" si="1"/>
        <v>882.55</v>
      </c>
      <c r="I560" s="16">
        <f t="shared" si="2"/>
        <v>877.462</v>
      </c>
      <c r="J560" s="16">
        <f t="shared" si="3"/>
        <v>5.908795986</v>
      </c>
      <c r="K560" s="16">
        <f t="shared" si="4"/>
        <v>883.370796</v>
      </c>
      <c r="L560" s="16">
        <f t="shared" si="5"/>
        <v>871.553204</v>
      </c>
      <c r="N560" s="17" t="str">
        <f t="shared" si="6"/>
        <v>F</v>
      </c>
      <c r="O560" s="17" t="str">
        <f t="shared" si="7"/>
        <v>T</v>
      </c>
      <c r="P560" s="8">
        <f t="shared" si="8"/>
        <v>0</v>
      </c>
      <c r="R560" s="17" t="str">
        <f t="shared" si="9"/>
        <v>F</v>
      </c>
      <c r="S560" s="3" t="str">
        <f t="shared" si="10"/>
        <v>F</v>
      </c>
      <c r="T560" s="8">
        <f t="shared" si="11"/>
        <v>0</v>
      </c>
      <c r="V560" s="4">
        <f t="shared" si="12"/>
        <v>0</v>
      </c>
      <c r="W560" s="8">
        <f t="shared" si="13"/>
        <v>5.7</v>
      </c>
      <c r="X560" s="8">
        <f t="shared" si="14"/>
        <v>0</v>
      </c>
      <c r="Y560" s="8">
        <f t="shared" si="15"/>
        <v>114.27</v>
      </c>
    </row>
    <row r="561">
      <c r="A561" s="2">
        <v>554.0</v>
      </c>
      <c r="B561" s="15">
        <f>IFERROR(__xludf.DUMMYFUNCTION("""COMPUTED_VALUE"""),43192.64583333333)</f>
        <v>43192.64583</v>
      </c>
      <c r="C561" s="8">
        <f>IFERROR(__xludf.DUMMYFUNCTION("""COMPUTED_VALUE"""),1838.05)</f>
        <v>1838.05</v>
      </c>
      <c r="E561" s="15">
        <f>IFERROR(__xludf.DUMMYFUNCTION("""COMPUTED_VALUE"""),43192.64583333333)</f>
        <v>43192.64583</v>
      </c>
      <c r="F561" s="8">
        <f>IFERROR(__xludf.DUMMYFUNCTION("""COMPUTED_VALUE"""),965.6)</f>
        <v>965.6</v>
      </c>
      <c r="H561" s="4">
        <f t="shared" si="1"/>
        <v>872.45</v>
      </c>
      <c r="I561" s="16">
        <f t="shared" si="2"/>
        <v>876.818</v>
      </c>
      <c r="J561" s="16">
        <f t="shared" si="3"/>
        <v>6.314480976</v>
      </c>
      <c r="K561" s="16">
        <f t="shared" si="4"/>
        <v>883.132481</v>
      </c>
      <c r="L561" s="16">
        <f t="shared" si="5"/>
        <v>870.503519</v>
      </c>
      <c r="N561" s="17" t="str">
        <f t="shared" si="6"/>
        <v>F</v>
      </c>
      <c r="O561" s="17" t="str">
        <f t="shared" si="7"/>
        <v>F</v>
      </c>
      <c r="P561" s="8">
        <f t="shared" si="8"/>
        <v>0</v>
      </c>
      <c r="R561" s="17" t="str">
        <f t="shared" si="9"/>
        <v>F</v>
      </c>
      <c r="S561" s="3" t="str">
        <f t="shared" si="10"/>
        <v>T</v>
      </c>
      <c r="T561" s="8">
        <f t="shared" si="11"/>
        <v>0</v>
      </c>
      <c r="V561" s="4">
        <f t="shared" si="12"/>
        <v>0</v>
      </c>
      <c r="W561" s="8">
        <f t="shared" si="13"/>
        <v>-10.1</v>
      </c>
      <c r="X561" s="8">
        <f t="shared" si="14"/>
        <v>0</v>
      </c>
      <c r="Y561" s="8">
        <f t="shared" si="15"/>
        <v>114.27</v>
      </c>
    </row>
    <row r="562">
      <c r="A562" s="2">
        <v>555.0</v>
      </c>
      <c r="B562" s="15">
        <f>IFERROR(__xludf.DUMMYFUNCTION("""COMPUTED_VALUE"""),43193.64583333333)</f>
        <v>43193.64583</v>
      </c>
      <c r="C562" s="8">
        <f>IFERROR(__xludf.DUMMYFUNCTION("""COMPUTED_VALUE"""),1825.7)</f>
        <v>1825.7</v>
      </c>
      <c r="E562" s="15">
        <f>IFERROR(__xludf.DUMMYFUNCTION("""COMPUTED_VALUE"""),43193.64583333333)</f>
        <v>43193.64583</v>
      </c>
      <c r="F562" s="8">
        <f>IFERROR(__xludf.DUMMYFUNCTION("""COMPUTED_VALUE"""),957.95)</f>
        <v>957.95</v>
      </c>
      <c r="H562" s="4">
        <f t="shared" si="1"/>
        <v>867.75</v>
      </c>
      <c r="I562" s="16">
        <f t="shared" si="2"/>
        <v>876.604</v>
      </c>
      <c r="J562" s="16">
        <f t="shared" si="3"/>
        <v>6.661875111</v>
      </c>
      <c r="K562" s="16">
        <f t="shared" si="4"/>
        <v>883.2658751</v>
      </c>
      <c r="L562" s="16">
        <f t="shared" si="5"/>
        <v>869.9421249</v>
      </c>
      <c r="N562" s="17" t="str">
        <f t="shared" si="6"/>
        <v>T</v>
      </c>
      <c r="O562" s="17" t="str">
        <f t="shared" si="7"/>
        <v>F</v>
      </c>
      <c r="P562" s="8">
        <f t="shared" si="8"/>
        <v>1</v>
      </c>
      <c r="R562" s="17" t="str">
        <f t="shared" si="9"/>
        <v>F</v>
      </c>
      <c r="S562" s="3" t="str">
        <f t="shared" si="10"/>
        <v>T</v>
      </c>
      <c r="T562" s="8">
        <f t="shared" si="11"/>
        <v>0</v>
      </c>
      <c r="V562" s="4">
        <f t="shared" si="12"/>
        <v>1</v>
      </c>
      <c r="W562" s="8">
        <f t="shared" si="13"/>
        <v>-4.7</v>
      </c>
      <c r="X562" s="8">
        <f t="shared" si="14"/>
        <v>0</v>
      </c>
      <c r="Y562" s="8">
        <f t="shared" si="15"/>
        <v>114.27</v>
      </c>
    </row>
    <row r="563">
      <c r="A563" s="2">
        <v>556.0</v>
      </c>
      <c r="B563" s="15">
        <f>IFERROR(__xludf.DUMMYFUNCTION("""COMPUTED_VALUE"""),43194.64583333333)</f>
        <v>43194.64583</v>
      </c>
      <c r="C563" s="8">
        <f>IFERROR(__xludf.DUMMYFUNCTION("""COMPUTED_VALUE"""),1803.3)</f>
        <v>1803.3</v>
      </c>
      <c r="E563" s="15">
        <f>IFERROR(__xludf.DUMMYFUNCTION("""COMPUTED_VALUE"""),43194.64583333333)</f>
        <v>43194.64583</v>
      </c>
      <c r="F563" s="8">
        <f>IFERROR(__xludf.DUMMYFUNCTION("""COMPUTED_VALUE"""),941.63)</f>
        <v>941.63</v>
      </c>
      <c r="H563" s="4">
        <f t="shared" si="1"/>
        <v>861.67</v>
      </c>
      <c r="I563" s="16">
        <f t="shared" si="2"/>
        <v>872.254</v>
      </c>
      <c r="J563" s="16">
        <f t="shared" si="3"/>
        <v>8.054134342</v>
      </c>
      <c r="K563" s="16">
        <f t="shared" si="4"/>
        <v>880.3081343</v>
      </c>
      <c r="L563" s="16">
        <f t="shared" si="5"/>
        <v>864.1998657</v>
      </c>
      <c r="N563" s="17" t="str">
        <f t="shared" si="6"/>
        <v>T</v>
      </c>
      <c r="O563" s="17" t="str">
        <f t="shared" si="7"/>
        <v>F</v>
      </c>
      <c r="P563" s="8">
        <f t="shared" si="8"/>
        <v>1</v>
      </c>
      <c r="R563" s="17" t="str">
        <f t="shared" si="9"/>
        <v>F</v>
      </c>
      <c r="S563" s="3" t="str">
        <f t="shared" si="10"/>
        <v>T</v>
      </c>
      <c r="T563" s="8">
        <f t="shared" si="11"/>
        <v>0</v>
      </c>
      <c r="V563" s="4">
        <f t="shared" si="12"/>
        <v>1</v>
      </c>
      <c r="W563" s="8">
        <f t="shared" si="13"/>
        <v>-6.08</v>
      </c>
      <c r="X563" s="8">
        <f t="shared" si="14"/>
        <v>-6.08</v>
      </c>
      <c r="Y563" s="8">
        <f t="shared" si="15"/>
        <v>108.19</v>
      </c>
    </row>
    <row r="564">
      <c r="A564" s="2">
        <v>557.0</v>
      </c>
      <c r="B564" s="15">
        <f>IFERROR(__xludf.DUMMYFUNCTION("""COMPUTED_VALUE"""),43195.64583333333)</f>
        <v>43195.64583</v>
      </c>
      <c r="C564" s="8">
        <f>IFERROR(__xludf.DUMMYFUNCTION("""COMPUTED_VALUE"""),1824.45)</f>
        <v>1824.45</v>
      </c>
      <c r="E564" s="15">
        <f>IFERROR(__xludf.DUMMYFUNCTION("""COMPUTED_VALUE"""),43195.64583333333)</f>
        <v>43195.64583</v>
      </c>
      <c r="F564" s="8">
        <f>IFERROR(__xludf.DUMMYFUNCTION("""COMPUTED_VALUE"""),954.45)</f>
        <v>954.45</v>
      </c>
      <c r="H564" s="4">
        <f t="shared" si="1"/>
        <v>870</v>
      </c>
      <c r="I564" s="16">
        <f t="shared" si="2"/>
        <v>870.884</v>
      </c>
      <c r="J564" s="16">
        <f t="shared" si="3"/>
        <v>7.649331997</v>
      </c>
      <c r="K564" s="16">
        <f t="shared" si="4"/>
        <v>878.533332</v>
      </c>
      <c r="L564" s="16">
        <f t="shared" si="5"/>
        <v>863.234668</v>
      </c>
      <c r="N564" s="17" t="str">
        <f t="shared" si="6"/>
        <v>F</v>
      </c>
      <c r="O564" s="17" t="str">
        <f t="shared" si="7"/>
        <v>F</v>
      </c>
      <c r="P564" s="8">
        <f t="shared" si="8"/>
        <v>1</v>
      </c>
      <c r="R564" s="17" t="str">
        <f t="shared" si="9"/>
        <v>F</v>
      </c>
      <c r="S564" s="3" t="str">
        <f t="shared" si="10"/>
        <v>T</v>
      </c>
      <c r="T564" s="8">
        <f t="shared" si="11"/>
        <v>0</v>
      </c>
      <c r="V564" s="4">
        <f t="shared" si="12"/>
        <v>1</v>
      </c>
      <c r="W564" s="8">
        <f t="shared" si="13"/>
        <v>8.33</v>
      </c>
      <c r="X564" s="8">
        <f t="shared" si="14"/>
        <v>8.33</v>
      </c>
      <c r="Y564" s="8">
        <f t="shared" si="15"/>
        <v>116.52</v>
      </c>
    </row>
    <row r="565">
      <c r="A565" s="2">
        <v>558.0</v>
      </c>
      <c r="B565" s="15">
        <f>IFERROR(__xludf.DUMMYFUNCTION("""COMPUTED_VALUE"""),43196.64583333333)</f>
        <v>43196.64583</v>
      </c>
      <c r="C565" s="8">
        <f>IFERROR(__xludf.DUMMYFUNCTION("""COMPUTED_VALUE"""),1829.0)</f>
        <v>1829</v>
      </c>
      <c r="E565" s="15">
        <f>IFERROR(__xludf.DUMMYFUNCTION("""COMPUTED_VALUE"""),43196.64583333333)</f>
        <v>43196.64583</v>
      </c>
      <c r="F565" s="8">
        <f>IFERROR(__xludf.DUMMYFUNCTION("""COMPUTED_VALUE"""),961.7)</f>
        <v>961.7</v>
      </c>
      <c r="H565" s="4">
        <f t="shared" si="1"/>
        <v>867.3</v>
      </c>
      <c r="I565" s="16">
        <f t="shared" si="2"/>
        <v>867.834</v>
      </c>
      <c r="J565" s="16">
        <f t="shared" si="3"/>
        <v>4.008931279</v>
      </c>
      <c r="K565" s="16">
        <f t="shared" si="4"/>
        <v>871.8429313</v>
      </c>
      <c r="L565" s="16">
        <f t="shared" si="5"/>
        <v>863.8250687</v>
      </c>
      <c r="N565" s="17" t="str">
        <f t="shared" si="6"/>
        <v>F</v>
      </c>
      <c r="O565" s="17" t="str">
        <f t="shared" si="7"/>
        <v>F</v>
      </c>
      <c r="P565" s="8">
        <f t="shared" si="8"/>
        <v>1</v>
      </c>
      <c r="R565" s="17" t="str">
        <f t="shared" si="9"/>
        <v>F</v>
      </c>
      <c r="S565" s="3" t="str">
        <f t="shared" si="10"/>
        <v>T</v>
      </c>
      <c r="T565" s="8">
        <f t="shared" si="11"/>
        <v>0</v>
      </c>
      <c r="V565" s="4">
        <f t="shared" si="12"/>
        <v>1</v>
      </c>
      <c r="W565" s="8">
        <f t="shared" si="13"/>
        <v>-2.7</v>
      </c>
      <c r="X565" s="8">
        <f t="shared" si="14"/>
        <v>-2.7</v>
      </c>
      <c r="Y565" s="8">
        <f t="shared" si="15"/>
        <v>113.82</v>
      </c>
    </row>
    <row r="566">
      <c r="A566" s="2">
        <v>559.0</v>
      </c>
      <c r="B566" s="15">
        <f>IFERROR(__xludf.DUMMYFUNCTION("""COMPUTED_VALUE"""),43199.64583333333)</f>
        <v>43199.64583</v>
      </c>
      <c r="C566" s="8">
        <f>IFERROR(__xludf.DUMMYFUNCTION("""COMPUTED_VALUE"""),1836.7)</f>
        <v>1836.7</v>
      </c>
      <c r="E566" s="15">
        <f>IFERROR(__xludf.DUMMYFUNCTION("""COMPUTED_VALUE"""),43199.64583333333)</f>
        <v>43199.64583</v>
      </c>
      <c r="F566" s="8">
        <f>IFERROR(__xludf.DUMMYFUNCTION("""COMPUTED_VALUE"""),969.53)</f>
        <v>969.53</v>
      </c>
      <c r="H566" s="4">
        <f t="shared" si="1"/>
        <v>867.17</v>
      </c>
      <c r="I566" s="16">
        <f t="shared" si="2"/>
        <v>866.778</v>
      </c>
      <c r="J566" s="16">
        <f t="shared" si="3"/>
        <v>3.075868983</v>
      </c>
      <c r="K566" s="16">
        <f t="shared" si="4"/>
        <v>869.853869</v>
      </c>
      <c r="L566" s="16">
        <f t="shared" si="5"/>
        <v>863.702131</v>
      </c>
      <c r="N566" s="17" t="str">
        <f t="shared" si="6"/>
        <v>F</v>
      </c>
      <c r="O566" s="17" t="str">
        <f t="shared" si="7"/>
        <v>T</v>
      </c>
      <c r="P566" s="8">
        <f t="shared" si="8"/>
        <v>0</v>
      </c>
      <c r="R566" s="17" t="str">
        <f t="shared" si="9"/>
        <v>F</v>
      </c>
      <c r="S566" s="3" t="str">
        <f t="shared" si="10"/>
        <v>F</v>
      </c>
      <c r="T566" s="8">
        <f t="shared" si="11"/>
        <v>0</v>
      </c>
      <c r="V566" s="4">
        <f t="shared" si="12"/>
        <v>0</v>
      </c>
      <c r="W566" s="8">
        <f t="shared" si="13"/>
        <v>-0.13</v>
      </c>
      <c r="X566" s="8">
        <f t="shared" si="14"/>
        <v>-0.13</v>
      </c>
      <c r="Y566" s="8">
        <f t="shared" si="15"/>
        <v>113.69</v>
      </c>
    </row>
    <row r="567">
      <c r="A567" s="2">
        <v>560.0</v>
      </c>
      <c r="B567" s="15">
        <f>IFERROR(__xludf.DUMMYFUNCTION("""COMPUTED_VALUE"""),43200.64583333333)</f>
        <v>43200.64583</v>
      </c>
      <c r="C567" s="8">
        <f>IFERROR(__xludf.DUMMYFUNCTION("""COMPUTED_VALUE"""),1817.5)</f>
        <v>1817.5</v>
      </c>
      <c r="E567" s="15">
        <f>IFERROR(__xludf.DUMMYFUNCTION("""COMPUTED_VALUE"""),43200.64583333333)</f>
        <v>43200.64583</v>
      </c>
      <c r="F567" s="8">
        <f>IFERROR(__xludf.DUMMYFUNCTION("""COMPUTED_VALUE"""),960.43)</f>
        <v>960.43</v>
      </c>
      <c r="H567" s="4">
        <f t="shared" si="1"/>
        <v>857.07</v>
      </c>
      <c r="I567" s="16">
        <f t="shared" si="2"/>
        <v>864.642</v>
      </c>
      <c r="J567" s="16">
        <f t="shared" si="3"/>
        <v>5.204130091</v>
      </c>
      <c r="K567" s="16">
        <f t="shared" si="4"/>
        <v>869.8461301</v>
      </c>
      <c r="L567" s="16">
        <f t="shared" si="5"/>
        <v>859.4378699</v>
      </c>
      <c r="N567" s="17" t="str">
        <f t="shared" si="6"/>
        <v>T</v>
      </c>
      <c r="O567" s="17" t="str">
        <f t="shared" si="7"/>
        <v>F</v>
      </c>
      <c r="P567" s="8">
        <f t="shared" si="8"/>
        <v>1</v>
      </c>
      <c r="R567" s="17" t="str">
        <f t="shared" si="9"/>
        <v>F</v>
      </c>
      <c r="S567" s="3" t="str">
        <f t="shared" si="10"/>
        <v>T</v>
      </c>
      <c r="T567" s="8">
        <f t="shared" si="11"/>
        <v>0</v>
      </c>
      <c r="V567" s="4">
        <f t="shared" si="12"/>
        <v>1</v>
      </c>
      <c r="W567" s="8">
        <f t="shared" si="13"/>
        <v>-10.1</v>
      </c>
      <c r="X567" s="8">
        <f t="shared" si="14"/>
        <v>0</v>
      </c>
      <c r="Y567" s="8">
        <f t="shared" si="15"/>
        <v>113.69</v>
      </c>
    </row>
    <row r="568">
      <c r="A568" s="2">
        <v>561.0</v>
      </c>
      <c r="B568" s="15">
        <f>IFERROR(__xludf.DUMMYFUNCTION("""COMPUTED_VALUE"""),43201.64583333333)</f>
        <v>43201.64583</v>
      </c>
      <c r="C568" s="8">
        <f>IFERROR(__xludf.DUMMYFUNCTION("""COMPUTED_VALUE"""),1812.4)</f>
        <v>1812.4</v>
      </c>
      <c r="E568" s="15">
        <f>IFERROR(__xludf.DUMMYFUNCTION("""COMPUTED_VALUE"""),43201.64583333333)</f>
        <v>43201.64583</v>
      </c>
      <c r="F568" s="8">
        <f>IFERROR(__xludf.DUMMYFUNCTION("""COMPUTED_VALUE"""),959.43)</f>
        <v>959.43</v>
      </c>
      <c r="H568" s="4">
        <f t="shared" si="1"/>
        <v>852.97</v>
      </c>
      <c r="I568" s="16">
        <f t="shared" si="2"/>
        <v>862.902</v>
      </c>
      <c r="J568" s="16">
        <f t="shared" si="3"/>
        <v>7.426248717</v>
      </c>
      <c r="K568" s="16">
        <f t="shared" si="4"/>
        <v>870.3282487</v>
      </c>
      <c r="L568" s="16">
        <f t="shared" si="5"/>
        <v>855.4757513</v>
      </c>
      <c r="N568" s="17" t="str">
        <f t="shared" si="6"/>
        <v>T</v>
      </c>
      <c r="O568" s="17" t="str">
        <f t="shared" si="7"/>
        <v>F</v>
      </c>
      <c r="P568" s="8">
        <f t="shared" si="8"/>
        <v>1</v>
      </c>
      <c r="R568" s="17" t="str">
        <f t="shared" si="9"/>
        <v>F</v>
      </c>
      <c r="S568" s="3" t="str">
        <f t="shared" si="10"/>
        <v>T</v>
      </c>
      <c r="T568" s="8">
        <f t="shared" si="11"/>
        <v>0</v>
      </c>
      <c r="V568" s="4">
        <f t="shared" si="12"/>
        <v>1</v>
      </c>
      <c r="W568" s="8">
        <f t="shared" si="13"/>
        <v>-4.1</v>
      </c>
      <c r="X568" s="8">
        <f t="shared" si="14"/>
        <v>-4.1</v>
      </c>
      <c r="Y568" s="8">
        <f t="shared" si="15"/>
        <v>109.59</v>
      </c>
    </row>
    <row r="569">
      <c r="A569" s="2">
        <v>562.0</v>
      </c>
      <c r="B569" s="15">
        <f>IFERROR(__xludf.DUMMYFUNCTION("""COMPUTED_VALUE"""),43202.64583333333)</f>
        <v>43202.64583</v>
      </c>
      <c r="C569" s="8">
        <f>IFERROR(__xludf.DUMMYFUNCTION("""COMPUTED_VALUE"""),1829.05)</f>
        <v>1829.05</v>
      </c>
      <c r="E569" s="15">
        <f>IFERROR(__xludf.DUMMYFUNCTION("""COMPUTED_VALUE"""),43202.64583333333)</f>
        <v>43202.64583</v>
      </c>
      <c r="F569" s="8">
        <f>IFERROR(__xludf.DUMMYFUNCTION("""COMPUTED_VALUE"""),964.4)</f>
        <v>964.4</v>
      </c>
      <c r="H569" s="4">
        <f t="shared" si="1"/>
        <v>864.65</v>
      </c>
      <c r="I569" s="16">
        <f t="shared" si="2"/>
        <v>861.832</v>
      </c>
      <c r="J569" s="16">
        <f t="shared" si="3"/>
        <v>6.471979604</v>
      </c>
      <c r="K569" s="16">
        <f t="shared" si="4"/>
        <v>868.3039796</v>
      </c>
      <c r="L569" s="16">
        <f t="shared" si="5"/>
        <v>855.3600204</v>
      </c>
      <c r="N569" s="17" t="str">
        <f t="shared" si="6"/>
        <v>F</v>
      </c>
      <c r="O569" s="17" t="str">
        <f t="shared" si="7"/>
        <v>T</v>
      </c>
      <c r="P569" s="8">
        <f t="shared" si="8"/>
        <v>0</v>
      </c>
      <c r="R569" s="17" t="str">
        <f t="shared" si="9"/>
        <v>F</v>
      </c>
      <c r="S569" s="3" t="str">
        <f t="shared" si="10"/>
        <v>F</v>
      </c>
      <c r="T569" s="8">
        <f t="shared" si="11"/>
        <v>0</v>
      </c>
      <c r="V569" s="4">
        <f t="shared" si="12"/>
        <v>0</v>
      </c>
      <c r="W569" s="8">
        <f t="shared" si="13"/>
        <v>11.68</v>
      </c>
      <c r="X569" s="8">
        <f t="shared" si="14"/>
        <v>11.68</v>
      </c>
      <c r="Y569" s="8">
        <f t="shared" si="15"/>
        <v>121.27</v>
      </c>
    </row>
    <row r="570">
      <c r="A570" s="2">
        <v>563.0</v>
      </c>
      <c r="B570" s="15">
        <f>IFERROR(__xludf.DUMMYFUNCTION("""COMPUTED_VALUE"""),43203.64583333333)</f>
        <v>43203.64583</v>
      </c>
      <c r="C570" s="8">
        <f>IFERROR(__xludf.DUMMYFUNCTION("""COMPUTED_VALUE"""),1840.6)</f>
        <v>1840.6</v>
      </c>
      <c r="E570" s="15">
        <f>IFERROR(__xludf.DUMMYFUNCTION("""COMPUTED_VALUE"""),43203.64583333333)</f>
        <v>43203.64583</v>
      </c>
      <c r="F570" s="8">
        <f>IFERROR(__xludf.DUMMYFUNCTION("""COMPUTED_VALUE"""),962.5)</f>
        <v>962.5</v>
      </c>
      <c r="H570" s="4">
        <f t="shared" si="1"/>
        <v>878.1</v>
      </c>
      <c r="I570" s="16">
        <f t="shared" si="2"/>
        <v>863.992</v>
      </c>
      <c r="J570" s="16">
        <f t="shared" si="3"/>
        <v>9.733535843</v>
      </c>
      <c r="K570" s="16">
        <f t="shared" si="4"/>
        <v>873.7255358</v>
      </c>
      <c r="L570" s="16">
        <f t="shared" si="5"/>
        <v>854.2584642</v>
      </c>
      <c r="N570" s="17" t="str">
        <f t="shared" si="6"/>
        <v>F</v>
      </c>
      <c r="O570" s="17" t="str">
        <f t="shared" si="7"/>
        <v>T</v>
      </c>
      <c r="P570" s="8">
        <f t="shared" si="8"/>
        <v>0</v>
      </c>
      <c r="R570" s="17" t="str">
        <f t="shared" si="9"/>
        <v>T</v>
      </c>
      <c r="S570" s="3" t="str">
        <f t="shared" si="10"/>
        <v>F</v>
      </c>
      <c r="T570" s="8">
        <f t="shared" si="11"/>
        <v>-1</v>
      </c>
      <c r="V570" s="4">
        <f t="shared" si="12"/>
        <v>-1</v>
      </c>
      <c r="W570" s="8">
        <f t="shared" si="13"/>
        <v>13.45</v>
      </c>
      <c r="X570" s="8">
        <f t="shared" si="14"/>
        <v>0</v>
      </c>
      <c r="Y570" s="8">
        <f t="shared" si="15"/>
        <v>121.27</v>
      </c>
    </row>
    <row r="571">
      <c r="A571" s="2">
        <v>564.0</v>
      </c>
      <c r="B571" s="15">
        <f>IFERROR(__xludf.DUMMYFUNCTION("""COMPUTED_VALUE"""),43206.64583333333)</f>
        <v>43206.64583</v>
      </c>
      <c r="C571" s="8">
        <f>IFERROR(__xludf.DUMMYFUNCTION("""COMPUTED_VALUE"""),1870.45)</f>
        <v>1870.45</v>
      </c>
      <c r="E571" s="15">
        <f>IFERROR(__xludf.DUMMYFUNCTION("""COMPUTED_VALUE"""),43206.64583333333)</f>
        <v>43206.64583</v>
      </c>
      <c r="F571" s="8">
        <f>IFERROR(__xludf.DUMMYFUNCTION("""COMPUTED_VALUE"""),971.05)</f>
        <v>971.05</v>
      </c>
      <c r="H571" s="4">
        <f t="shared" si="1"/>
        <v>899.4</v>
      </c>
      <c r="I571" s="16">
        <f t="shared" si="2"/>
        <v>870.438</v>
      </c>
      <c r="J571" s="16">
        <f t="shared" si="3"/>
        <v>18.80717337</v>
      </c>
      <c r="K571" s="16">
        <f t="shared" si="4"/>
        <v>889.2451734</v>
      </c>
      <c r="L571" s="16">
        <f t="shared" si="5"/>
        <v>851.6308266</v>
      </c>
      <c r="N571" s="17" t="str">
        <f t="shared" si="6"/>
        <v>F</v>
      </c>
      <c r="O571" s="17" t="str">
        <f t="shared" si="7"/>
        <v>T</v>
      </c>
      <c r="P571" s="8">
        <f t="shared" si="8"/>
        <v>0</v>
      </c>
      <c r="R571" s="17" t="str">
        <f t="shared" si="9"/>
        <v>T</v>
      </c>
      <c r="S571" s="3" t="str">
        <f t="shared" si="10"/>
        <v>F</v>
      </c>
      <c r="T571" s="8">
        <f t="shared" si="11"/>
        <v>-1</v>
      </c>
      <c r="V571" s="4">
        <f t="shared" si="12"/>
        <v>-1</v>
      </c>
      <c r="W571" s="8">
        <f t="shared" si="13"/>
        <v>21.3</v>
      </c>
      <c r="X571" s="8">
        <f t="shared" si="14"/>
        <v>-21.3</v>
      </c>
      <c r="Y571" s="8">
        <f t="shared" si="15"/>
        <v>99.97</v>
      </c>
    </row>
    <row r="572">
      <c r="A572" s="2">
        <v>565.0</v>
      </c>
      <c r="B572" s="15">
        <f>IFERROR(__xludf.DUMMYFUNCTION("""COMPUTED_VALUE"""),43207.64583333333)</f>
        <v>43207.64583</v>
      </c>
      <c r="C572" s="8">
        <f>IFERROR(__xludf.DUMMYFUNCTION("""COMPUTED_VALUE"""),1889.7)</f>
        <v>1889.7</v>
      </c>
      <c r="E572" s="15">
        <f>IFERROR(__xludf.DUMMYFUNCTION("""COMPUTED_VALUE"""),43207.64583333333)</f>
        <v>43207.64583</v>
      </c>
      <c r="F572" s="8">
        <f>IFERROR(__xludf.DUMMYFUNCTION("""COMPUTED_VALUE"""),974.25)</f>
        <v>974.25</v>
      </c>
      <c r="H572" s="4">
        <f t="shared" si="1"/>
        <v>915.45</v>
      </c>
      <c r="I572" s="16">
        <f t="shared" si="2"/>
        <v>882.114</v>
      </c>
      <c r="J572" s="16">
        <f t="shared" si="3"/>
        <v>25.39966004</v>
      </c>
      <c r="K572" s="16">
        <f t="shared" si="4"/>
        <v>907.51366</v>
      </c>
      <c r="L572" s="16">
        <f t="shared" si="5"/>
        <v>856.71434</v>
      </c>
      <c r="N572" s="17" t="str">
        <f t="shared" si="6"/>
        <v>F</v>
      </c>
      <c r="O572" s="17" t="str">
        <f t="shared" si="7"/>
        <v>T</v>
      </c>
      <c r="P572" s="8">
        <f t="shared" si="8"/>
        <v>0</v>
      </c>
      <c r="R572" s="17" t="str">
        <f t="shared" si="9"/>
        <v>T</v>
      </c>
      <c r="S572" s="3" t="str">
        <f t="shared" si="10"/>
        <v>F</v>
      </c>
      <c r="T572" s="8">
        <f t="shared" si="11"/>
        <v>-1</v>
      </c>
      <c r="V572" s="4">
        <f t="shared" si="12"/>
        <v>-1</v>
      </c>
      <c r="W572" s="8">
        <f t="shared" si="13"/>
        <v>16.05</v>
      </c>
      <c r="X572" s="8">
        <f t="shared" si="14"/>
        <v>-16.05</v>
      </c>
      <c r="Y572" s="8">
        <f t="shared" si="15"/>
        <v>83.92</v>
      </c>
    </row>
    <row r="573">
      <c r="A573" s="2">
        <v>566.0</v>
      </c>
      <c r="B573" s="15">
        <f>IFERROR(__xludf.DUMMYFUNCTION("""COMPUTED_VALUE"""),43208.64583333333)</f>
        <v>43208.64583</v>
      </c>
      <c r="C573" s="8">
        <f>IFERROR(__xludf.DUMMYFUNCTION("""COMPUTED_VALUE"""),1877.7)</f>
        <v>1877.7</v>
      </c>
      <c r="E573" s="15">
        <f>IFERROR(__xludf.DUMMYFUNCTION("""COMPUTED_VALUE"""),43208.64583333333)</f>
        <v>43208.64583</v>
      </c>
      <c r="F573" s="8">
        <f>IFERROR(__xludf.DUMMYFUNCTION("""COMPUTED_VALUE"""),966.3)</f>
        <v>966.3</v>
      </c>
      <c r="H573" s="4">
        <f t="shared" si="1"/>
        <v>911.4</v>
      </c>
      <c r="I573" s="16">
        <f t="shared" si="2"/>
        <v>893.8</v>
      </c>
      <c r="J573" s="16">
        <f t="shared" si="3"/>
        <v>21.8291949</v>
      </c>
      <c r="K573" s="16">
        <f t="shared" si="4"/>
        <v>915.6291949</v>
      </c>
      <c r="L573" s="16">
        <f t="shared" si="5"/>
        <v>871.9708051</v>
      </c>
      <c r="N573" s="17" t="str">
        <f t="shared" si="6"/>
        <v>F</v>
      </c>
      <c r="O573" s="17" t="str">
        <f t="shared" si="7"/>
        <v>T</v>
      </c>
      <c r="P573" s="8">
        <f t="shared" si="8"/>
        <v>0</v>
      </c>
      <c r="R573" s="17" t="str">
        <f t="shared" si="9"/>
        <v>F</v>
      </c>
      <c r="S573" s="3" t="str">
        <f t="shared" si="10"/>
        <v>F</v>
      </c>
      <c r="T573" s="8">
        <f t="shared" si="11"/>
        <v>-1</v>
      </c>
      <c r="V573" s="4">
        <f t="shared" si="12"/>
        <v>-1</v>
      </c>
      <c r="W573" s="8">
        <f t="shared" si="13"/>
        <v>-4.05</v>
      </c>
      <c r="X573" s="8">
        <f t="shared" si="14"/>
        <v>4.05</v>
      </c>
      <c r="Y573" s="8">
        <f t="shared" si="15"/>
        <v>87.97</v>
      </c>
    </row>
    <row r="574">
      <c r="A574" s="2">
        <v>567.0</v>
      </c>
      <c r="B574" s="15">
        <f>IFERROR(__xludf.DUMMYFUNCTION("""COMPUTED_VALUE"""),43209.64583333333)</f>
        <v>43209.64583</v>
      </c>
      <c r="C574" s="8">
        <f>IFERROR(__xludf.DUMMYFUNCTION("""COMPUTED_VALUE"""),1858.65)</f>
        <v>1858.65</v>
      </c>
      <c r="E574" s="15">
        <f>IFERROR(__xludf.DUMMYFUNCTION("""COMPUTED_VALUE"""),43209.64583333333)</f>
        <v>43209.64583</v>
      </c>
      <c r="F574" s="8">
        <f>IFERROR(__xludf.DUMMYFUNCTION("""COMPUTED_VALUE"""),969.5)</f>
        <v>969.5</v>
      </c>
      <c r="H574" s="4">
        <f t="shared" si="1"/>
        <v>889.15</v>
      </c>
      <c r="I574" s="16">
        <f t="shared" si="2"/>
        <v>898.7</v>
      </c>
      <c r="J574" s="16">
        <f t="shared" si="3"/>
        <v>15.47502019</v>
      </c>
      <c r="K574" s="16">
        <f t="shared" si="4"/>
        <v>914.1750202</v>
      </c>
      <c r="L574" s="16">
        <f t="shared" si="5"/>
        <v>883.2249798</v>
      </c>
      <c r="N574" s="17" t="str">
        <f t="shared" si="6"/>
        <v>F</v>
      </c>
      <c r="O574" s="17" t="str">
        <f t="shared" si="7"/>
        <v>F</v>
      </c>
      <c r="P574" s="8">
        <f t="shared" si="8"/>
        <v>0</v>
      </c>
      <c r="R574" s="17" t="str">
        <f t="shared" si="9"/>
        <v>F</v>
      </c>
      <c r="S574" s="3" t="str">
        <f t="shared" si="10"/>
        <v>T</v>
      </c>
      <c r="T574" s="8">
        <f t="shared" si="11"/>
        <v>0</v>
      </c>
      <c r="V574" s="4">
        <f t="shared" si="12"/>
        <v>0</v>
      </c>
      <c r="W574" s="8">
        <f t="shared" si="13"/>
        <v>-22.25</v>
      </c>
      <c r="X574" s="8">
        <f t="shared" si="14"/>
        <v>22.25</v>
      </c>
      <c r="Y574" s="8">
        <f t="shared" si="15"/>
        <v>110.22</v>
      </c>
    </row>
    <row r="575">
      <c r="A575" s="2">
        <v>568.0</v>
      </c>
      <c r="B575" s="15">
        <f>IFERROR(__xludf.DUMMYFUNCTION("""COMPUTED_VALUE"""),43210.64583333333)</f>
        <v>43210.64583</v>
      </c>
      <c r="C575" s="8">
        <f>IFERROR(__xludf.DUMMYFUNCTION("""COMPUTED_VALUE"""),1834.15)</f>
        <v>1834.15</v>
      </c>
      <c r="E575" s="15">
        <f>IFERROR(__xludf.DUMMYFUNCTION("""COMPUTED_VALUE"""),43210.64583333333)</f>
        <v>43210.64583</v>
      </c>
      <c r="F575" s="8">
        <f>IFERROR(__xludf.DUMMYFUNCTION("""COMPUTED_VALUE"""),977.95)</f>
        <v>977.95</v>
      </c>
      <c r="H575" s="4">
        <f t="shared" si="1"/>
        <v>856.2</v>
      </c>
      <c r="I575" s="16">
        <f t="shared" si="2"/>
        <v>894.32</v>
      </c>
      <c r="J575" s="16">
        <f t="shared" si="3"/>
        <v>23.68476831</v>
      </c>
      <c r="K575" s="16">
        <f t="shared" si="4"/>
        <v>918.0047683</v>
      </c>
      <c r="L575" s="16">
        <f t="shared" si="5"/>
        <v>870.6352317</v>
      </c>
      <c r="N575" s="17" t="str">
        <f t="shared" si="6"/>
        <v>T</v>
      </c>
      <c r="O575" s="17" t="str">
        <f t="shared" si="7"/>
        <v>F</v>
      </c>
      <c r="P575" s="8">
        <f t="shared" si="8"/>
        <v>1</v>
      </c>
      <c r="R575" s="17" t="str">
        <f t="shared" si="9"/>
        <v>F</v>
      </c>
      <c r="S575" s="3" t="str">
        <f t="shared" si="10"/>
        <v>T</v>
      </c>
      <c r="T575" s="8">
        <f t="shared" si="11"/>
        <v>0</v>
      </c>
      <c r="V575" s="4">
        <f t="shared" si="12"/>
        <v>1</v>
      </c>
      <c r="W575" s="8">
        <f t="shared" si="13"/>
        <v>-32.95</v>
      </c>
      <c r="X575" s="8">
        <f t="shared" si="14"/>
        <v>0</v>
      </c>
      <c r="Y575" s="8">
        <f t="shared" si="15"/>
        <v>110.22</v>
      </c>
    </row>
    <row r="576">
      <c r="A576" s="2">
        <v>569.0</v>
      </c>
      <c r="B576" s="15">
        <f>IFERROR(__xludf.DUMMYFUNCTION("""COMPUTED_VALUE"""),43213.64583333333)</f>
        <v>43213.64583</v>
      </c>
      <c r="C576" s="8">
        <f>IFERROR(__xludf.DUMMYFUNCTION("""COMPUTED_VALUE"""),1830.85)</f>
        <v>1830.85</v>
      </c>
      <c r="E576" s="15">
        <f>IFERROR(__xludf.DUMMYFUNCTION("""COMPUTED_VALUE"""),43213.64583333333)</f>
        <v>43213.64583</v>
      </c>
      <c r="F576" s="8">
        <f>IFERROR(__xludf.DUMMYFUNCTION("""COMPUTED_VALUE"""),967.88)</f>
        <v>967.88</v>
      </c>
      <c r="H576" s="4">
        <f t="shared" si="1"/>
        <v>862.97</v>
      </c>
      <c r="I576" s="16">
        <f t="shared" si="2"/>
        <v>887.034</v>
      </c>
      <c r="J576" s="16">
        <f t="shared" si="3"/>
        <v>27.08994334</v>
      </c>
      <c r="K576" s="16">
        <f t="shared" si="4"/>
        <v>914.1239433</v>
      </c>
      <c r="L576" s="16">
        <f t="shared" si="5"/>
        <v>859.9440567</v>
      </c>
      <c r="N576" s="17" t="str">
        <f t="shared" si="6"/>
        <v>F</v>
      </c>
      <c r="O576" s="17" t="str">
        <f t="shared" si="7"/>
        <v>F</v>
      </c>
      <c r="P576" s="8">
        <f t="shared" si="8"/>
        <v>1</v>
      </c>
      <c r="R576" s="17" t="str">
        <f t="shared" si="9"/>
        <v>F</v>
      </c>
      <c r="S576" s="3" t="str">
        <f t="shared" si="10"/>
        <v>T</v>
      </c>
      <c r="T576" s="8">
        <f t="shared" si="11"/>
        <v>0</v>
      </c>
      <c r="V576" s="4">
        <f t="shared" si="12"/>
        <v>1</v>
      </c>
      <c r="W576" s="8">
        <f t="shared" si="13"/>
        <v>6.77</v>
      </c>
      <c r="X576" s="8">
        <f t="shared" si="14"/>
        <v>6.77</v>
      </c>
      <c r="Y576" s="8">
        <f t="shared" si="15"/>
        <v>116.99</v>
      </c>
    </row>
    <row r="577">
      <c r="A577" s="2">
        <v>570.0</v>
      </c>
      <c r="B577" s="15">
        <f>IFERROR(__xludf.DUMMYFUNCTION("""COMPUTED_VALUE"""),43214.64583333333)</f>
        <v>43214.64583</v>
      </c>
      <c r="C577" s="8">
        <f>IFERROR(__xludf.DUMMYFUNCTION("""COMPUTED_VALUE"""),1859.55)</f>
        <v>1859.55</v>
      </c>
      <c r="E577" s="15">
        <f>IFERROR(__xludf.DUMMYFUNCTION("""COMPUTED_VALUE"""),43214.64583333333)</f>
        <v>43214.64583</v>
      </c>
      <c r="F577" s="8">
        <f>IFERROR(__xludf.DUMMYFUNCTION("""COMPUTED_VALUE"""),967.5)</f>
        <v>967.5</v>
      </c>
      <c r="H577" s="4">
        <f t="shared" si="1"/>
        <v>892.05</v>
      </c>
      <c r="I577" s="16">
        <f t="shared" si="2"/>
        <v>882.354</v>
      </c>
      <c r="J577" s="16">
        <f t="shared" si="3"/>
        <v>22.60331458</v>
      </c>
      <c r="K577" s="16">
        <f t="shared" si="4"/>
        <v>904.9573146</v>
      </c>
      <c r="L577" s="16">
        <f t="shared" si="5"/>
        <v>859.7506854</v>
      </c>
      <c r="N577" s="17" t="str">
        <f t="shared" si="6"/>
        <v>F</v>
      </c>
      <c r="O577" s="17" t="str">
        <f t="shared" si="7"/>
        <v>T</v>
      </c>
      <c r="P577" s="8">
        <f t="shared" si="8"/>
        <v>0</v>
      </c>
      <c r="R577" s="17" t="str">
        <f t="shared" si="9"/>
        <v>F</v>
      </c>
      <c r="S577" s="3" t="str">
        <f t="shared" si="10"/>
        <v>F</v>
      </c>
      <c r="T577" s="8">
        <f t="shared" si="11"/>
        <v>0</v>
      </c>
      <c r="V577" s="4">
        <f t="shared" si="12"/>
        <v>0</v>
      </c>
      <c r="W577" s="8">
        <f t="shared" si="13"/>
        <v>29.08</v>
      </c>
      <c r="X577" s="8">
        <f t="shared" si="14"/>
        <v>29.08</v>
      </c>
      <c r="Y577" s="8">
        <f t="shared" si="15"/>
        <v>146.07</v>
      </c>
    </row>
    <row r="578">
      <c r="A578" s="2">
        <v>571.0</v>
      </c>
      <c r="B578" s="15">
        <f>IFERROR(__xludf.DUMMYFUNCTION("""COMPUTED_VALUE"""),43215.64583333333)</f>
        <v>43215.64583</v>
      </c>
      <c r="C578" s="8">
        <f>IFERROR(__xludf.DUMMYFUNCTION("""COMPUTED_VALUE"""),1849.5)</f>
        <v>1849.5</v>
      </c>
      <c r="E578" s="15">
        <f>IFERROR(__xludf.DUMMYFUNCTION("""COMPUTED_VALUE"""),43215.64583333333)</f>
        <v>43215.64583</v>
      </c>
      <c r="F578" s="8">
        <f>IFERROR(__xludf.DUMMYFUNCTION("""COMPUTED_VALUE"""),960.38)</f>
        <v>960.38</v>
      </c>
      <c r="H578" s="4">
        <f t="shared" si="1"/>
        <v>889.12</v>
      </c>
      <c r="I578" s="16">
        <f t="shared" si="2"/>
        <v>877.898</v>
      </c>
      <c r="J578" s="16">
        <f t="shared" si="3"/>
        <v>16.92976875</v>
      </c>
      <c r="K578" s="16">
        <f t="shared" si="4"/>
        <v>894.8277688</v>
      </c>
      <c r="L578" s="16">
        <f t="shared" si="5"/>
        <v>860.9682312</v>
      </c>
      <c r="N578" s="17" t="str">
        <f t="shared" si="6"/>
        <v>F</v>
      </c>
      <c r="O578" s="17" t="str">
        <f t="shared" si="7"/>
        <v>T</v>
      </c>
      <c r="P578" s="8">
        <f t="shared" si="8"/>
        <v>0</v>
      </c>
      <c r="R578" s="17" t="str">
        <f t="shared" si="9"/>
        <v>F</v>
      </c>
      <c r="S578" s="3" t="str">
        <f t="shared" si="10"/>
        <v>F</v>
      </c>
      <c r="T578" s="8">
        <f t="shared" si="11"/>
        <v>0</v>
      </c>
      <c r="V578" s="4">
        <f t="shared" si="12"/>
        <v>0</v>
      </c>
      <c r="W578" s="8">
        <f t="shared" si="13"/>
        <v>-2.93</v>
      </c>
      <c r="X578" s="8">
        <f t="shared" si="14"/>
        <v>0</v>
      </c>
      <c r="Y578" s="8">
        <f t="shared" si="15"/>
        <v>146.07</v>
      </c>
    </row>
    <row r="579">
      <c r="A579" s="2">
        <v>572.0</v>
      </c>
      <c r="B579" s="15">
        <f>IFERROR(__xludf.DUMMYFUNCTION("""COMPUTED_VALUE"""),43216.64583333333)</f>
        <v>43216.64583</v>
      </c>
      <c r="C579" s="8">
        <f>IFERROR(__xludf.DUMMYFUNCTION("""COMPUTED_VALUE"""),1850.45)</f>
        <v>1850.45</v>
      </c>
      <c r="E579" s="15">
        <f>IFERROR(__xludf.DUMMYFUNCTION("""COMPUTED_VALUE"""),43216.64583333333)</f>
        <v>43216.64583</v>
      </c>
      <c r="F579" s="8">
        <f>IFERROR(__xludf.DUMMYFUNCTION("""COMPUTED_VALUE"""),965.13)</f>
        <v>965.13</v>
      </c>
      <c r="H579" s="4">
        <f t="shared" si="1"/>
        <v>885.32</v>
      </c>
      <c r="I579" s="16">
        <f t="shared" si="2"/>
        <v>877.132</v>
      </c>
      <c r="J579" s="16">
        <f t="shared" si="3"/>
        <v>16.37080542</v>
      </c>
      <c r="K579" s="16">
        <f t="shared" si="4"/>
        <v>893.5028054</v>
      </c>
      <c r="L579" s="16">
        <f t="shared" si="5"/>
        <v>860.7611946</v>
      </c>
      <c r="N579" s="17" t="str">
        <f t="shared" si="6"/>
        <v>F</v>
      </c>
      <c r="O579" s="17" t="str">
        <f t="shared" si="7"/>
        <v>T</v>
      </c>
      <c r="P579" s="8">
        <f t="shared" si="8"/>
        <v>0</v>
      </c>
      <c r="R579" s="17" t="str">
        <f t="shared" si="9"/>
        <v>F</v>
      </c>
      <c r="S579" s="3" t="str">
        <f t="shared" si="10"/>
        <v>F</v>
      </c>
      <c r="T579" s="8">
        <f t="shared" si="11"/>
        <v>0</v>
      </c>
      <c r="V579" s="4">
        <f t="shared" si="12"/>
        <v>0</v>
      </c>
      <c r="W579" s="8">
        <f t="shared" si="13"/>
        <v>-3.8</v>
      </c>
      <c r="X579" s="8">
        <f t="shared" si="14"/>
        <v>0</v>
      </c>
      <c r="Y579" s="8">
        <f t="shared" si="15"/>
        <v>146.07</v>
      </c>
    </row>
    <row r="580">
      <c r="A580" s="2">
        <v>573.0</v>
      </c>
      <c r="B580" s="15">
        <f>IFERROR(__xludf.DUMMYFUNCTION("""COMPUTED_VALUE"""),43217.64583333333)</f>
        <v>43217.64583</v>
      </c>
      <c r="C580" s="8">
        <f>IFERROR(__xludf.DUMMYFUNCTION("""COMPUTED_VALUE"""),1853.75)</f>
        <v>1853.75</v>
      </c>
      <c r="E580" s="15">
        <f>IFERROR(__xludf.DUMMYFUNCTION("""COMPUTED_VALUE"""),43217.64583333333)</f>
        <v>43217.64583</v>
      </c>
      <c r="F580" s="8">
        <f>IFERROR(__xludf.DUMMYFUNCTION("""COMPUTED_VALUE"""),961.7)</f>
        <v>961.7</v>
      </c>
      <c r="H580" s="4">
        <f t="shared" si="1"/>
        <v>892.05</v>
      </c>
      <c r="I580" s="16">
        <f t="shared" si="2"/>
        <v>884.302</v>
      </c>
      <c r="J580" s="16">
        <f t="shared" si="3"/>
        <v>12.24098321</v>
      </c>
      <c r="K580" s="16">
        <f t="shared" si="4"/>
        <v>896.5429832</v>
      </c>
      <c r="L580" s="16">
        <f t="shared" si="5"/>
        <v>872.0610168</v>
      </c>
      <c r="N580" s="17" t="str">
        <f t="shared" si="6"/>
        <v>F</v>
      </c>
      <c r="O580" s="17" t="str">
        <f t="shared" si="7"/>
        <v>T</v>
      </c>
      <c r="P580" s="8">
        <f t="shared" si="8"/>
        <v>0</v>
      </c>
      <c r="R580" s="17" t="str">
        <f t="shared" si="9"/>
        <v>F</v>
      </c>
      <c r="S580" s="3" t="str">
        <f t="shared" si="10"/>
        <v>F</v>
      </c>
      <c r="T580" s="8">
        <f t="shared" si="11"/>
        <v>0</v>
      </c>
      <c r="V580" s="4">
        <f t="shared" si="12"/>
        <v>0</v>
      </c>
      <c r="W580" s="8">
        <f t="shared" si="13"/>
        <v>6.73</v>
      </c>
      <c r="X580" s="8">
        <f t="shared" si="14"/>
        <v>0</v>
      </c>
      <c r="Y580" s="8">
        <f t="shared" si="15"/>
        <v>146.07</v>
      </c>
    </row>
    <row r="581">
      <c r="A581" s="2">
        <v>574.0</v>
      </c>
      <c r="B581" s="15">
        <f>IFERROR(__xludf.DUMMYFUNCTION("""COMPUTED_VALUE"""),43220.64583333333)</f>
        <v>43220.64583</v>
      </c>
      <c r="C581" s="8">
        <f>IFERROR(__xludf.DUMMYFUNCTION("""COMPUTED_VALUE"""),1883.25)</f>
        <v>1883.25</v>
      </c>
      <c r="E581" s="15">
        <f>IFERROR(__xludf.DUMMYFUNCTION("""COMPUTED_VALUE"""),43220.64583333333)</f>
        <v>43220.64583</v>
      </c>
      <c r="F581" s="8">
        <f>IFERROR(__xludf.DUMMYFUNCTION("""COMPUTED_VALUE"""),972.15)</f>
        <v>972.15</v>
      </c>
      <c r="H581" s="4">
        <f t="shared" si="1"/>
        <v>911.1</v>
      </c>
      <c r="I581" s="16">
        <f t="shared" si="2"/>
        <v>893.928</v>
      </c>
      <c r="J581" s="16">
        <f t="shared" si="3"/>
        <v>9.989317795</v>
      </c>
      <c r="K581" s="16">
        <f t="shared" si="4"/>
        <v>903.9173178</v>
      </c>
      <c r="L581" s="16">
        <f t="shared" si="5"/>
        <v>883.9386822</v>
      </c>
      <c r="N581" s="17" t="str">
        <f t="shared" si="6"/>
        <v>F</v>
      </c>
      <c r="O581" s="17" t="str">
        <f t="shared" si="7"/>
        <v>T</v>
      </c>
      <c r="P581" s="8">
        <f t="shared" si="8"/>
        <v>0</v>
      </c>
      <c r="R581" s="17" t="str">
        <f t="shared" si="9"/>
        <v>T</v>
      </c>
      <c r="S581" s="3" t="str">
        <f t="shared" si="10"/>
        <v>F</v>
      </c>
      <c r="T581" s="8">
        <f t="shared" si="11"/>
        <v>-1</v>
      </c>
      <c r="V581" s="4">
        <f t="shared" si="12"/>
        <v>-1</v>
      </c>
      <c r="W581" s="8">
        <f t="shared" si="13"/>
        <v>19.05</v>
      </c>
      <c r="X581" s="8">
        <f t="shared" si="14"/>
        <v>0</v>
      </c>
      <c r="Y581" s="8">
        <f t="shared" si="15"/>
        <v>146.07</v>
      </c>
    </row>
    <row r="582">
      <c r="A582" s="2">
        <v>575.0</v>
      </c>
      <c r="B582" s="15">
        <f>IFERROR(__xludf.DUMMYFUNCTION("""COMPUTED_VALUE"""),43222.64583333333)</f>
        <v>43222.64583</v>
      </c>
      <c r="C582" s="8">
        <f>IFERROR(__xludf.DUMMYFUNCTION("""COMPUTED_VALUE"""),1910.6)</f>
        <v>1910.6</v>
      </c>
      <c r="E582" s="15">
        <f>IFERROR(__xludf.DUMMYFUNCTION("""COMPUTED_VALUE"""),43222.64583333333)</f>
        <v>43222.64583</v>
      </c>
      <c r="F582" s="8">
        <f>IFERROR(__xludf.DUMMYFUNCTION("""COMPUTED_VALUE"""),984.75)</f>
        <v>984.75</v>
      </c>
      <c r="H582" s="4">
        <f t="shared" si="1"/>
        <v>925.85</v>
      </c>
      <c r="I582" s="16">
        <f t="shared" si="2"/>
        <v>900.688</v>
      </c>
      <c r="J582" s="16">
        <f t="shared" si="3"/>
        <v>17.22022851</v>
      </c>
      <c r="K582" s="16">
        <f t="shared" si="4"/>
        <v>917.9082285</v>
      </c>
      <c r="L582" s="16">
        <f t="shared" si="5"/>
        <v>883.4677715</v>
      </c>
      <c r="N582" s="17" t="str">
        <f t="shared" si="6"/>
        <v>F</v>
      </c>
      <c r="O582" s="17" t="str">
        <f t="shared" si="7"/>
        <v>T</v>
      </c>
      <c r="P582" s="8">
        <f t="shared" si="8"/>
        <v>0</v>
      </c>
      <c r="R582" s="17" t="str">
        <f t="shared" si="9"/>
        <v>T</v>
      </c>
      <c r="S582" s="3" t="str">
        <f t="shared" si="10"/>
        <v>F</v>
      </c>
      <c r="T582" s="8">
        <f t="shared" si="11"/>
        <v>-1</v>
      </c>
      <c r="V582" s="4">
        <f t="shared" si="12"/>
        <v>-1</v>
      </c>
      <c r="W582" s="8">
        <f t="shared" si="13"/>
        <v>14.75</v>
      </c>
      <c r="X582" s="8">
        <f t="shared" si="14"/>
        <v>-14.75</v>
      </c>
      <c r="Y582" s="8">
        <f t="shared" si="15"/>
        <v>131.32</v>
      </c>
    </row>
    <row r="583">
      <c r="A583" s="2">
        <v>576.0</v>
      </c>
      <c r="B583" s="15">
        <f>IFERROR(__xludf.DUMMYFUNCTION("""COMPUTED_VALUE"""),43223.64583333333)</f>
        <v>43223.64583</v>
      </c>
      <c r="C583" s="8">
        <f>IFERROR(__xludf.DUMMYFUNCTION("""COMPUTED_VALUE"""),1922.7)</f>
        <v>1922.7</v>
      </c>
      <c r="E583" s="15">
        <f>IFERROR(__xludf.DUMMYFUNCTION("""COMPUTED_VALUE"""),43223.64583333333)</f>
        <v>43223.64583</v>
      </c>
      <c r="F583" s="8">
        <f>IFERROR(__xludf.DUMMYFUNCTION("""COMPUTED_VALUE"""),983.95)</f>
        <v>983.95</v>
      </c>
      <c r="H583" s="4">
        <f t="shared" si="1"/>
        <v>938.75</v>
      </c>
      <c r="I583" s="16">
        <f t="shared" si="2"/>
        <v>910.614</v>
      </c>
      <c r="J583" s="16">
        <f t="shared" si="3"/>
        <v>22.40767123</v>
      </c>
      <c r="K583" s="16">
        <f t="shared" si="4"/>
        <v>933.0216712</v>
      </c>
      <c r="L583" s="16">
        <f t="shared" si="5"/>
        <v>888.2063288</v>
      </c>
      <c r="N583" s="17" t="str">
        <f t="shared" si="6"/>
        <v>F</v>
      </c>
      <c r="O583" s="17" t="str">
        <f t="shared" si="7"/>
        <v>T</v>
      </c>
      <c r="P583" s="8">
        <f t="shared" si="8"/>
        <v>0</v>
      </c>
      <c r="R583" s="17" t="str">
        <f t="shared" si="9"/>
        <v>T</v>
      </c>
      <c r="S583" s="3" t="str">
        <f t="shared" si="10"/>
        <v>F</v>
      </c>
      <c r="T583" s="8">
        <f t="shared" si="11"/>
        <v>-1</v>
      </c>
      <c r="V583" s="4">
        <f t="shared" si="12"/>
        <v>-1</v>
      </c>
      <c r="W583" s="8">
        <f t="shared" si="13"/>
        <v>12.9</v>
      </c>
      <c r="X583" s="8">
        <f t="shared" si="14"/>
        <v>-12.9</v>
      </c>
      <c r="Y583" s="8">
        <f t="shared" si="15"/>
        <v>118.42</v>
      </c>
    </row>
    <row r="584">
      <c r="A584" s="2">
        <v>577.0</v>
      </c>
      <c r="B584" s="15">
        <f>IFERROR(__xludf.DUMMYFUNCTION("""COMPUTED_VALUE"""),43224.64583333333)</f>
        <v>43224.64583</v>
      </c>
      <c r="C584" s="8">
        <f>IFERROR(__xludf.DUMMYFUNCTION("""COMPUTED_VALUE"""),1910.35)</f>
        <v>1910.35</v>
      </c>
      <c r="E584" s="15">
        <f>IFERROR(__xludf.DUMMYFUNCTION("""COMPUTED_VALUE"""),43224.64583333333)</f>
        <v>43224.64583</v>
      </c>
      <c r="F584" s="8">
        <f>IFERROR(__xludf.DUMMYFUNCTION("""COMPUTED_VALUE"""),994.25)</f>
        <v>994.25</v>
      </c>
      <c r="H584" s="4">
        <f t="shared" si="1"/>
        <v>916.1</v>
      </c>
      <c r="I584" s="16">
        <f t="shared" si="2"/>
        <v>916.77</v>
      </c>
      <c r="J584" s="16">
        <f t="shared" si="3"/>
        <v>17.38708572</v>
      </c>
      <c r="K584" s="16">
        <f t="shared" si="4"/>
        <v>934.1570857</v>
      </c>
      <c r="L584" s="16">
        <f t="shared" si="5"/>
        <v>899.3829143</v>
      </c>
      <c r="N584" s="17" t="str">
        <f t="shared" si="6"/>
        <v>F</v>
      </c>
      <c r="O584" s="17" t="str">
        <f t="shared" si="7"/>
        <v>F</v>
      </c>
      <c r="P584" s="8">
        <f t="shared" si="8"/>
        <v>0</v>
      </c>
      <c r="R584" s="17" t="str">
        <f t="shared" si="9"/>
        <v>F</v>
      </c>
      <c r="S584" s="3" t="str">
        <f t="shared" si="10"/>
        <v>T</v>
      </c>
      <c r="T584" s="8">
        <f t="shared" si="11"/>
        <v>0</v>
      </c>
      <c r="V584" s="4">
        <f t="shared" si="12"/>
        <v>0</v>
      </c>
      <c r="W584" s="8">
        <f t="shared" si="13"/>
        <v>-22.65</v>
      </c>
      <c r="X584" s="8">
        <f t="shared" si="14"/>
        <v>22.65</v>
      </c>
      <c r="Y584" s="8">
        <f t="shared" si="15"/>
        <v>141.07</v>
      </c>
    </row>
    <row r="585">
      <c r="A585" s="2">
        <v>578.0</v>
      </c>
      <c r="B585" s="15">
        <f>IFERROR(__xludf.DUMMYFUNCTION("""COMPUTED_VALUE"""),43227.64583333333)</f>
        <v>43227.64583</v>
      </c>
      <c r="C585" s="8">
        <f>IFERROR(__xludf.DUMMYFUNCTION("""COMPUTED_VALUE"""),1918.7)</f>
        <v>1918.7</v>
      </c>
      <c r="E585" s="15">
        <f>IFERROR(__xludf.DUMMYFUNCTION("""COMPUTED_VALUE"""),43227.64583333333)</f>
        <v>43227.64583</v>
      </c>
      <c r="F585" s="8">
        <f>IFERROR(__xludf.DUMMYFUNCTION("""COMPUTED_VALUE"""),988.7)</f>
        <v>988.7</v>
      </c>
      <c r="H585" s="4">
        <f t="shared" si="1"/>
        <v>930</v>
      </c>
      <c r="I585" s="16">
        <f t="shared" si="2"/>
        <v>924.36</v>
      </c>
      <c r="J585" s="16">
        <f t="shared" si="3"/>
        <v>11.01313988</v>
      </c>
      <c r="K585" s="16">
        <f t="shared" si="4"/>
        <v>935.3731399</v>
      </c>
      <c r="L585" s="16">
        <f t="shared" si="5"/>
        <v>913.3468601</v>
      </c>
      <c r="N585" s="17" t="str">
        <f t="shared" si="6"/>
        <v>F</v>
      </c>
      <c r="O585" s="17" t="str">
        <f t="shared" si="7"/>
        <v>T</v>
      </c>
      <c r="P585" s="8">
        <f t="shared" si="8"/>
        <v>0</v>
      </c>
      <c r="R585" s="17" t="str">
        <f t="shared" si="9"/>
        <v>F</v>
      </c>
      <c r="S585" s="3" t="str">
        <f t="shared" si="10"/>
        <v>F</v>
      </c>
      <c r="T585" s="8">
        <f t="shared" si="11"/>
        <v>0</v>
      </c>
      <c r="V585" s="4">
        <f t="shared" si="12"/>
        <v>0</v>
      </c>
      <c r="W585" s="8">
        <f t="shared" si="13"/>
        <v>13.9</v>
      </c>
      <c r="X585" s="8">
        <f t="shared" si="14"/>
        <v>0</v>
      </c>
      <c r="Y585" s="8">
        <f t="shared" si="15"/>
        <v>141.07</v>
      </c>
    </row>
    <row r="586">
      <c r="A586" s="2">
        <v>579.0</v>
      </c>
      <c r="B586" s="15">
        <f>IFERROR(__xludf.DUMMYFUNCTION("""COMPUTED_VALUE"""),43228.64583333333)</f>
        <v>43228.64583</v>
      </c>
      <c r="C586" s="8">
        <f>IFERROR(__xludf.DUMMYFUNCTION("""COMPUTED_VALUE"""),1903.35)</f>
        <v>1903.35</v>
      </c>
      <c r="E586" s="15">
        <f>IFERROR(__xludf.DUMMYFUNCTION("""COMPUTED_VALUE"""),43228.64583333333)</f>
        <v>43228.64583</v>
      </c>
      <c r="F586" s="8">
        <f>IFERROR(__xludf.DUMMYFUNCTION("""COMPUTED_VALUE"""),983.53)</f>
        <v>983.53</v>
      </c>
      <c r="H586" s="4">
        <f t="shared" si="1"/>
        <v>919.82</v>
      </c>
      <c r="I586" s="16">
        <f t="shared" si="2"/>
        <v>926.104</v>
      </c>
      <c r="J586" s="16">
        <f t="shared" si="3"/>
        <v>8.87036245</v>
      </c>
      <c r="K586" s="16">
        <f t="shared" si="4"/>
        <v>934.9743625</v>
      </c>
      <c r="L586" s="16">
        <f t="shared" si="5"/>
        <v>917.2336375</v>
      </c>
      <c r="N586" s="17" t="str">
        <f t="shared" si="6"/>
        <v>F</v>
      </c>
      <c r="O586" s="17" t="str">
        <f t="shared" si="7"/>
        <v>F</v>
      </c>
      <c r="P586" s="8">
        <f t="shared" si="8"/>
        <v>0</v>
      </c>
      <c r="R586" s="17" t="str">
        <f t="shared" si="9"/>
        <v>F</v>
      </c>
      <c r="S586" s="3" t="str">
        <f t="shared" si="10"/>
        <v>T</v>
      </c>
      <c r="T586" s="8">
        <f t="shared" si="11"/>
        <v>0</v>
      </c>
      <c r="V586" s="4">
        <f t="shared" si="12"/>
        <v>0</v>
      </c>
      <c r="W586" s="8">
        <f t="shared" si="13"/>
        <v>-10.18</v>
      </c>
      <c r="X586" s="8">
        <f t="shared" si="14"/>
        <v>0</v>
      </c>
      <c r="Y586" s="8">
        <f t="shared" si="15"/>
        <v>141.07</v>
      </c>
    </row>
    <row r="587">
      <c r="A587" s="2">
        <v>580.0</v>
      </c>
      <c r="B587" s="15">
        <f>IFERROR(__xludf.DUMMYFUNCTION("""COMPUTED_VALUE"""),43229.64583333333)</f>
        <v>43229.64583</v>
      </c>
      <c r="C587" s="8">
        <f>IFERROR(__xludf.DUMMYFUNCTION("""COMPUTED_VALUE"""),1897.65)</f>
        <v>1897.65</v>
      </c>
      <c r="E587" s="15">
        <f>IFERROR(__xludf.DUMMYFUNCTION("""COMPUTED_VALUE"""),43229.64583333333)</f>
        <v>43229.64583</v>
      </c>
      <c r="F587" s="8">
        <f>IFERROR(__xludf.DUMMYFUNCTION("""COMPUTED_VALUE"""),989.2)</f>
        <v>989.2</v>
      </c>
      <c r="H587" s="4">
        <f t="shared" si="1"/>
        <v>908.45</v>
      </c>
      <c r="I587" s="16">
        <f t="shared" si="2"/>
        <v>922.624</v>
      </c>
      <c r="J587" s="16">
        <f t="shared" si="3"/>
        <v>11.89307067</v>
      </c>
      <c r="K587" s="16">
        <f t="shared" si="4"/>
        <v>934.5170707</v>
      </c>
      <c r="L587" s="16">
        <f t="shared" si="5"/>
        <v>910.7309293</v>
      </c>
      <c r="N587" s="17" t="str">
        <f t="shared" si="6"/>
        <v>T</v>
      </c>
      <c r="O587" s="17" t="str">
        <f t="shared" si="7"/>
        <v>F</v>
      </c>
      <c r="P587" s="8">
        <f t="shared" si="8"/>
        <v>1</v>
      </c>
      <c r="R587" s="17" t="str">
        <f t="shared" si="9"/>
        <v>F</v>
      </c>
      <c r="S587" s="3" t="str">
        <f t="shared" si="10"/>
        <v>T</v>
      </c>
      <c r="T587" s="8">
        <f t="shared" si="11"/>
        <v>0</v>
      </c>
      <c r="V587" s="4">
        <f t="shared" si="12"/>
        <v>1</v>
      </c>
      <c r="W587" s="8">
        <f t="shared" si="13"/>
        <v>-11.37</v>
      </c>
      <c r="X587" s="8">
        <f t="shared" si="14"/>
        <v>0</v>
      </c>
      <c r="Y587" s="8">
        <f t="shared" si="15"/>
        <v>141.07</v>
      </c>
    </row>
    <row r="588">
      <c r="A588" s="2">
        <v>581.0</v>
      </c>
      <c r="B588" s="15">
        <f>IFERROR(__xludf.DUMMYFUNCTION("""COMPUTED_VALUE"""),43230.64583333333)</f>
        <v>43230.64583</v>
      </c>
      <c r="C588" s="8">
        <f>IFERROR(__xludf.DUMMYFUNCTION("""COMPUTED_VALUE"""),1894.3)</f>
        <v>1894.3</v>
      </c>
      <c r="E588" s="15">
        <f>IFERROR(__xludf.DUMMYFUNCTION("""COMPUTED_VALUE"""),43230.64583333333)</f>
        <v>43230.64583</v>
      </c>
      <c r="F588" s="8">
        <f>IFERROR(__xludf.DUMMYFUNCTION("""COMPUTED_VALUE"""),996.35)</f>
        <v>996.35</v>
      </c>
      <c r="H588" s="4">
        <f t="shared" si="1"/>
        <v>897.95</v>
      </c>
      <c r="I588" s="16">
        <f t="shared" si="2"/>
        <v>914.464</v>
      </c>
      <c r="J588" s="16">
        <f t="shared" si="3"/>
        <v>12.05830544</v>
      </c>
      <c r="K588" s="16">
        <f t="shared" si="4"/>
        <v>926.5223054</v>
      </c>
      <c r="L588" s="16">
        <f t="shared" si="5"/>
        <v>902.4056946</v>
      </c>
      <c r="N588" s="17" t="str">
        <f t="shared" si="6"/>
        <v>T</v>
      </c>
      <c r="O588" s="17" t="str">
        <f t="shared" si="7"/>
        <v>F</v>
      </c>
      <c r="P588" s="8">
        <f t="shared" si="8"/>
        <v>1</v>
      </c>
      <c r="R588" s="17" t="str">
        <f t="shared" si="9"/>
        <v>F</v>
      </c>
      <c r="S588" s="3" t="str">
        <f t="shared" si="10"/>
        <v>T</v>
      </c>
      <c r="T588" s="8">
        <f t="shared" si="11"/>
        <v>0</v>
      </c>
      <c r="V588" s="4">
        <f t="shared" si="12"/>
        <v>1</v>
      </c>
      <c r="W588" s="8">
        <f t="shared" si="13"/>
        <v>-10.5</v>
      </c>
      <c r="X588" s="8">
        <f t="shared" si="14"/>
        <v>-10.5</v>
      </c>
      <c r="Y588" s="8">
        <f t="shared" si="15"/>
        <v>130.57</v>
      </c>
    </row>
    <row r="589">
      <c r="A589" s="2">
        <v>582.0</v>
      </c>
      <c r="B589" s="15">
        <f>IFERROR(__xludf.DUMMYFUNCTION("""COMPUTED_VALUE"""),43231.64583333333)</f>
        <v>43231.64583</v>
      </c>
      <c r="C589" s="8">
        <f>IFERROR(__xludf.DUMMYFUNCTION("""COMPUTED_VALUE"""),1919.8)</f>
        <v>1919.8</v>
      </c>
      <c r="E589" s="15">
        <f>IFERROR(__xludf.DUMMYFUNCTION("""COMPUTED_VALUE"""),43231.64583333333)</f>
        <v>43231.64583</v>
      </c>
      <c r="F589" s="8">
        <f>IFERROR(__xludf.DUMMYFUNCTION("""COMPUTED_VALUE"""),1005.88)</f>
        <v>1005.88</v>
      </c>
      <c r="H589" s="4">
        <f t="shared" si="1"/>
        <v>913.92</v>
      </c>
      <c r="I589" s="16">
        <f t="shared" si="2"/>
        <v>914.028</v>
      </c>
      <c r="J589" s="16">
        <f t="shared" si="3"/>
        <v>12.0237253</v>
      </c>
      <c r="K589" s="16">
        <f t="shared" si="4"/>
        <v>926.0517253</v>
      </c>
      <c r="L589" s="16">
        <f t="shared" si="5"/>
        <v>902.0042747</v>
      </c>
      <c r="N589" s="17" t="str">
        <f t="shared" si="6"/>
        <v>F</v>
      </c>
      <c r="O589" s="17" t="str">
        <f t="shared" si="7"/>
        <v>F</v>
      </c>
      <c r="P589" s="8">
        <f t="shared" si="8"/>
        <v>1</v>
      </c>
      <c r="R589" s="17" t="str">
        <f t="shared" si="9"/>
        <v>F</v>
      </c>
      <c r="S589" s="3" t="str">
        <f t="shared" si="10"/>
        <v>T</v>
      </c>
      <c r="T589" s="8">
        <f t="shared" si="11"/>
        <v>0</v>
      </c>
      <c r="V589" s="4">
        <f t="shared" si="12"/>
        <v>1</v>
      </c>
      <c r="W589" s="8">
        <f t="shared" si="13"/>
        <v>15.97</v>
      </c>
      <c r="X589" s="8">
        <f t="shared" si="14"/>
        <v>15.97</v>
      </c>
      <c r="Y589" s="8">
        <f t="shared" si="15"/>
        <v>146.54</v>
      </c>
    </row>
    <row r="590">
      <c r="A590" s="2">
        <v>583.0</v>
      </c>
      <c r="B590" s="15">
        <f>IFERROR(__xludf.DUMMYFUNCTION("""COMPUTED_VALUE"""),43234.64583333333)</f>
        <v>43234.64583</v>
      </c>
      <c r="C590" s="8">
        <f>IFERROR(__xludf.DUMMYFUNCTION("""COMPUTED_VALUE"""),1930.6)</f>
        <v>1930.6</v>
      </c>
      <c r="E590" s="15">
        <f>IFERROR(__xludf.DUMMYFUNCTION("""COMPUTED_VALUE"""),43234.64583333333)</f>
        <v>43234.64583</v>
      </c>
      <c r="F590" s="8">
        <f>IFERROR(__xludf.DUMMYFUNCTION("""COMPUTED_VALUE"""),1010.88)</f>
        <v>1010.88</v>
      </c>
      <c r="H590" s="4">
        <f t="shared" si="1"/>
        <v>919.72</v>
      </c>
      <c r="I590" s="16">
        <f t="shared" si="2"/>
        <v>911.972</v>
      </c>
      <c r="J590" s="16">
        <f t="shared" si="3"/>
        <v>9.143826879</v>
      </c>
      <c r="K590" s="16">
        <f t="shared" si="4"/>
        <v>921.1158269</v>
      </c>
      <c r="L590" s="16">
        <f t="shared" si="5"/>
        <v>902.8281731</v>
      </c>
      <c r="N590" s="17" t="str">
        <f t="shared" si="6"/>
        <v>F</v>
      </c>
      <c r="O590" s="17" t="str">
        <f t="shared" si="7"/>
        <v>T</v>
      </c>
      <c r="P590" s="8">
        <f t="shared" si="8"/>
        <v>0</v>
      </c>
      <c r="R590" s="17" t="str">
        <f t="shared" si="9"/>
        <v>F</v>
      </c>
      <c r="S590" s="3" t="str">
        <f t="shared" si="10"/>
        <v>F</v>
      </c>
      <c r="T590" s="8">
        <f t="shared" si="11"/>
        <v>0</v>
      </c>
      <c r="V590" s="4">
        <f t="shared" si="12"/>
        <v>0</v>
      </c>
      <c r="W590" s="8">
        <f t="shared" si="13"/>
        <v>5.8</v>
      </c>
      <c r="X590" s="8">
        <f t="shared" si="14"/>
        <v>5.8</v>
      </c>
      <c r="Y590" s="8">
        <f t="shared" si="15"/>
        <v>152.34</v>
      </c>
    </row>
    <row r="591">
      <c r="A591" s="2">
        <v>584.0</v>
      </c>
      <c r="B591" s="15">
        <f>IFERROR(__xludf.DUMMYFUNCTION("""COMPUTED_VALUE"""),43235.64583333333)</f>
        <v>43235.64583</v>
      </c>
      <c r="C591" s="8">
        <f>IFERROR(__xludf.DUMMYFUNCTION("""COMPUTED_VALUE"""),1929.55)</f>
        <v>1929.55</v>
      </c>
      <c r="E591" s="15">
        <f>IFERROR(__xludf.DUMMYFUNCTION("""COMPUTED_VALUE"""),43235.64583333333)</f>
        <v>43235.64583</v>
      </c>
      <c r="F591" s="8">
        <f>IFERROR(__xludf.DUMMYFUNCTION("""COMPUTED_VALUE"""),1018.9)</f>
        <v>1018.9</v>
      </c>
      <c r="H591" s="4">
        <f t="shared" si="1"/>
        <v>910.65</v>
      </c>
      <c r="I591" s="16">
        <f t="shared" si="2"/>
        <v>910.138</v>
      </c>
      <c r="J591" s="16">
        <f t="shared" si="3"/>
        <v>8.027718854</v>
      </c>
      <c r="K591" s="16">
        <f t="shared" si="4"/>
        <v>918.1657189</v>
      </c>
      <c r="L591" s="16">
        <f t="shared" si="5"/>
        <v>902.1102811</v>
      </c>
      <c r="N591" s="17" t="str">
        <f t="shared" si="6"/>
        <v>F</v>
      </c>
      <c r="O591" s="17" t="str">
        <f t="shared" si="7"/>
        <v>T</v>
      </c>
      <c r="P591" s="8">
        <f t="shared" si="8"/>
        <v>0</v>
      </c>
      <c r="R591" s="17" t="str">
        <f t="shared" si="9"/>
        <v>F</v>
      </c>
      <c r="S591" s="3" t="str">
        <f t="shared" si="10"/>
        <v>F</v>
      </c>
      <c r="T591" s="8">
        <f t="shared" si="11"/>
        <v>0</v>
      </c>
      <c r="V591" s="4">
        <f t="shared" si="12"/>
        <v>0</v>
      </c>
      <c r="W591" s="8">
        <f t="shared" si="13"/>
        <v>-9.07</v>
      </c>
      <c r="X591" s="8">
        <f t="shared" si="14"/>
        <v>0</v>
      </c>
      <c r="Y591" s="8">
        <f t="shared" si="15"/>
        <v>152.34</v>
      </c>
    </row>
    <row r="592">
      <c r="A592" s="2">
        <v>585.0</v>
      </c>
      <c r="B592" s="15">
        <f>IFERROR(__xludf.DUMMYFUNCTION("""COMPUTED_VALUE"""),43236.64583333333)</f>
        <v>43236.64583</v>
      </c>
      <c r="C592" s="8">
        <f>IFERROR(__xludf.DUMMYFUNCTION("""COMPUTED_VALUE"""),1914.55)</f>
        <v>1914.55</v>
      </c>
      <c r="E592" s="15">
        <f>IFERROR(__xludf.DUMMYFUNCTION("""COMPUTED_VALUE"""),43236.64583333333)</f>
        <v>43236.64583</v>
      </c>
      <c r="F592" s="8">
        <f>IFERROR(__xludf.DUMMYFUNCTION("""COMPUTED_VALUE"""),1011.68)</f>
        <v>1011.68</v>
      </c>
      <c r="H592" s="4">
        <f t="shared" si="1"/>
        <v>902.87</v>
      </c>
      <c r="I592" s="16">
        <f t="shared" si="2"/>
        <v>909.022</v>
      </c>
      <c r="J592" s="16">
        <f t="shared" si="3"/>
        <v>8.682227249</v>
      </c>
      <c r="K592" s="16">
        <f t="shared" si="4"/>
        <v>917.7042272</v>
      </c>
      <c r="L592" s="16">
        <f t="shared" si="5"/>
        <v>900.3397728</v>
      </c>
      <c r="N592" s="17" t="str">
        <f t="shared" si="6"/>
        <v>F</v>
      </c>
      <c r="O592" s="17" t="str">
        <f t="shared" si="7"/>
        <v>F</v>
      </c>
      <c r="P592" s="8">
        <f t="shared" si="8"/>
        <v>0</v>
      </c>
      <c r="R592" s="17" t="str">
        <f t="shared" si="9"/>
        <v>F</v>
      </c>
      <c r="S592" s="3" t="str">
        <f t="shared" si="10"/>
        <v>T</v>
      </c>
      <c r="T592" s="8">
        <f t="shared" si="11"/>
        <v>0</v>
      </c>
      <c r="V592" s="4">
        <f t="shared" si="12"/>
        <v>0</v>
      </c>
      <c r="W592" s="8">
        <f t="shared" si="13"/>
        <v>-7.78</v>
      </c>
      <c r="X592" s="8">
        <f t="shared" si="14"/>
        <v>0</v>
      </c>
      <c r="Y592" s="8">
        <f t="shared" si="15"/>
        <v>152.34</v>
      </c>
    </row>
    <row r="593">
      <c r="A593" s="2">
        <v>586.0</v>
      </c>
      <c r="B593" s="15">
        <f>IFERROR(__xludf.DUMMYFUNCTION("""COMPUTED_VALUE"""),43237.64583333333)</f>
        <v>43237.64583</v>
      </c>
      <c r="C593" s="8">
        <f>IFERROR(__xludf.DUMMYFUNCTION("""COMPUTED_VALUE"""),1875.1)</f>
        <v>1875.1</v>
      </c>
      <c r="E593" s="15">
        <f>IFERROR(__xludf.DUMMYFUNCTION("""COMPUTED_VALUE"""),43237.64583333333)</f>
        <v>43237.64583</v>
      </c>
      <c r="F593" s="8">
        <f>IFERROR(__xludf.DUMMYFUNCTION("""COMPUTED_VALUE"""),1013.88)</f>
        <v>1013.88</v>
      </c>
      <c r="H593" s="4">
        <f t="shared" si="1"/>
        <v>861.22</v>
      </c>
      <c r="I593" s="16">
        <f t="shared" si="2"/>
        <v>901.676</v>
      </c>
      <c r="J593" s="16">
        <f t="shared" si="3"/>
        <v>23.42086527</v>
      </c>
      <c r="K593" s="16">
        <f t="shared" si="4"/>
        <v>925.0968653</v>
      </c>
      <c r="L593" s="16">
        <f t="shared" si="5"/>
        <v>878.2551347</v>
      </c>
      <c r="N593" s="17" t="str">
        <f t="shared" si="6"/>
        <v>T</v>
      </c>
      <c r="O593" s="17" t="str">
        <f t="shared" si="7"/>
        <v>F</v>
      </c>
      <c r="P593" s="8">
        <f t="shared" si="8"/>
        <v>1</v>
      </c>
      <c r="R593" s="17" t="str">
        <f t="shared" si="9"/>
        <v>F</v>
      </c>
      <c r="S593" s="3" t="str">
        <f t="shared" si="10"/>
        <v>T</v>
      </c>
      <c r="T593" s="8">
        <f t="shared" si="11"/>
        <v>0</v>
      </c>
      <c r="V593" s="4">
        <f t="shared" si="12"/>
        <v>1</v>
      </c>
      <c r="W593" s="8">
        <f t="shared" si="13"/>
        <v>-41.65</v>
      </c>
      <c r="X593" s="8">
        <f t="shared" si="14"/>
        <v>0</v>
      </c>
      <c r="Y593" s="8">
        <f t="shared" si="15"/>
        <v>152.34</v>
      </c>
    </row>
    <row r="594">
      <c r="A594" s="2">
        <v>587.0</v>
      </c>
      <c r="B594" s="15">
        <f>IFERROR(__xludf.DUMMYFUNCTION("""COMPUTED_VALUE"""),43238.64583333333)</f>
        <v>43238.64583</v>
      </c>
      <c r="C594" s="8">
        <f>IFERROR(__xludf.DUMMYFUNCTION("""COMPUTED_VALUE"""),1853.0)</f>
        <v>1853</v>
      </c>
      <c r="E594" s="15">
        <f>IFERROR(__xludf.DUMMYFUNCTION("""COMPUTED_VALUE"""),43238.64583333333)</f>
        <v>43238.64583</v>
      </c>
      <c r="F594" s="8">
        <f>IFERROR(__xludf.DUMMYFUNCTION("""COMPUTED_VALUE"""),1006.08)</f>
        <v>1006.08</v>
      </c>
      <c r="H594" s="4">
        <f t="shared" si="1"/>
        <v>846.92</v>
      </c>
      <c r="I594" s="16">
        <f t="shared" si="2"/>
        <v>888.276</v>
      </c>
      <c r="J594" s="16">
        <f t="shared" si="3"/>
        <v>32.18948477</v>
      </c>
      <c r="K594" s="16">
        <f t="shared" si="4"/>
        <v>920.4654848</v>
      </c>
      <c r="L594" s="16">
        <f t="shared" si="5"/>
        <v>856.0865152</v>
      </c>
      <c r="N594" s="17" t="str">
        <f t="shared" si="6"/>
        <v>T</v>
      </c>
      <c r="O594" s="17" t="str">
        <f t="shared" si="7"/>
        <v>F</v>
      </c>
      <c r="P594" s="8">
        <f t="shared" si="8"/>
        <v>1</v>
      </c>
      <c r="R594" s="17" t="str">
        <f t="shared" si="9"/>
        <v>F</v>
      </c>
      <c r="S594" s="3" t="str">
        <f t="shared" si="10"/>
        <v>T</v>
      </c>
      <c r="T594" s="8">
        <f t="shared" si="11"/>
        <v>0</v>
      </c>
      <c r="V594" s="4">
        <f t="shared" si="12"/>
        <v>1</v>
      </c>
      <c r="W594" s="8">
        <f t="shared" si="13"/>
        <v>-14.3</v>
      </c>
      <c r="X594" s="8">
        <f t="shared" si="14"/>
        <v>-14.3</v>
      </c>
      <c r="Y594" s="8">
        <f t="shared" si="15"/>
        <v>138.04</v>
      </c>
    </row>
    <row r="595">
      <c r="A595" s="2">
        <v>588.0</v>
      </c>
      <c r="B595" s="15">
        <f>IFERROR(__xludf.DUMMYFUNCTION("""COMPUTED_VALUE"""),43241.64583333333)</f>
        <v>43241.64583</v>
      </c>
      <c r="C595" s="8">
        <f>IFERROR(__xludf.DUMMYFUNCTION("""COMPUTED_VALUE"""),1819.2)</f>
        <v>1819.2</v>
      </c>
      <c r="E595" s="15">
        <f>IFERROR(__xludf.DUMMYFUNCTION("""COMPUTED_VALUE"""),43241.64583333333)</f>
        <v>43241.64583</v>
      </c>
      <c r="F595" s="8">
        <f>IFERROR(__xludf.DUMMYFUNCTION("""COMPUTED_VALUE"""),996.53)</f>
        <v>996.53</v>
      </c>
      <c r="H595" s="4">
        <f t="shared" si="1"/>
        <v>822.67</v>
      </c>
      <c r="I595" s="16">
        <f t="shared" si="2"/>
        <v>868.866</v>
      </c>
      <c r="J595" s="16">
        <f t="shared" si="3"/>
        <v>37.33742533</v>
      </c>
      <c r="K595" s="16">
        <f t="shared" si="4"/>
        <v>906.2034253</v>
      </c>
      <c r="L595" s="16">
        <f t="shared" si="5"/>
        <v>831.5285747</v>
      </c>
      <c r="N595" s="17" t="str">
        <f t="shared" si="6"/>
        <v>T</v>
      </c>
      <c r="O595" s="17" t="str">
        <f t="shared" si="7"/>
        <v>F</v>
      </c>
      <c r="P595" s="8">
        <f t="shared" si="8"/>
        <v>1</v>
      </c>
      <c r="R595" s="17" t="str">
        <f t="shared" si="9"/>
        <v>F</v>
      </c>
      <c r="S595" s="3" t="str">
        <f t="shared" si="10"/>
        <v>T</v>
      </c>
      <c r="T595" s="8">
        <f t="shared" si="11"/>
        <v>0</v>
      </c>
      <c r="V595" s="4">
        <f t="shared" si="12"/>
        <v>1</v>
      </c>
      <c r="W595" s="8">
        <f t="shared" si="13"/>
        <v>-24.25</v>
      </c>
      <c r="X595" s="8">
        <f t="shared" si="14"/>
        <v>-24.25</v>
      </c>
      <c r="Y595" s="8">
        <f t="shared" si="15"/>
        <v>113.79</v>
      </c>
    </row>
    <row r="596">
      <c r="A596" s="2">
        <v>589.0</v>
      </c>
      <c r="B596" s="15">
        <f>IFERROR(__xludf.DUMMYFUNCTION("""COMPUTED_VALUE"""),43242.64583333333)</f>
        <v>43242.64583</v>
      </c>
      <c r="C596" s="8">
        <f>IFERROR(__xludf.DUMMYFUNCTION("""COMPUTED_VALUE"""),1810.0)</f>
        <v>1810</v>
      </c>
      <c r="E596" s="15">
        <f>IFERROR(__xludf.DUMMYFUNCTION("""COMPUTED_VALUE"""),43242.64583333333)</f>
        <v>43242.64583</v>
      </c>
      <c r="F596" s="8">
        <f>IFERROR(__xludf.DUMMYFUNCTION("""COMPUTED_VALUE"""),994.95)</f>
        <v>994.95</v>
      </c>
      <c r="H596" s="4">
        <f t="shared" si="1"/>
        <v>815.05</v>
      </c>
      <c r="I596" s="16">
        <f t="shared" si="2"/>
        <v>849.746</v>
      </c>
      <c r="J596" s="16">
        <f t="shared" si="3"/>
        <v>34.99543013</v>
      </c>
      <c r="K596" s="16">
        <f t="shared" si="4"/>
        <v>884.7414301</v>
      </c>
      <c r="L596" s="16">
        <f t="shared" si="5"/>
        <v>814.7505699</v>
      </c>
      <c r="N596" s="17" t="str">
        <f t="shared" si="6"/>
        <v>F</v>
      </c>
      <c r="O596" s="17" t="str">
        <f t="shared" si="7"/>
        <v>F</v>
      </c>
      <c r="P596" s="8">
        <f t="shared" si="8"/>
        <v>1</v>
      </c>
      <c r="R596" s="17" t="str">
        <f t="shared" si="9"/>
        <v>F</v>
      </c>
      <c r="S596" s="3" t="str">
        <f t="shared" si="10"/>
        <v>T</v>
      </c>
      <c r="T596" s="8">
        <f t="shared" si="11"/>
        <v>0</v>
      </c>
      <c r="V596" s="4">
        <f t="shared" si="12"/>
        <v>1</v>
      </c>
      <c r="W596" s="8">
        <f t="shared" si="13"/>
        <v>-7.62</v>
      </c>
      <c r="X596" s="8">
        <f t="shared" si="14"/>
        <v>-7.62</v>
      </c>
      <c r="Y596" s="8">
        <f t="shared" si="15"/>
        <v>106.17</v>
      </c>
    </row>
    <row r="597">
      <c r="A597" s="2">
        <v>590.0</v>
      </c>
      <c r="B597" s="15">
        <f>IFERROR(__xludf.DUMMYFUNCTION("""COMPUTED_VALUE"""),43243.64583333333)</f>
        <v>43243.64583</v>
      </c>
      <c r="C597" s="8">
        <f>IFERROR(__xludf.DUMMYFUNCTION("""COMPUTED_VALUE"""),1783.65)</f>
        <v>1783.65</v>
      </c>
      <c r="E597" s="15">
        <f>IFERROR(__xludf.DUMMYFUNCTION("""COMPUTED_VALUE"""),43243.64583333333)</f>
        <v>43243.64583</v>
      </c>
      <c r="F597" s="8">
        <f>IFERROR(__xludf.DUMMYFUNCTION("""COMPUTED_VALUE"""),983.75)</f>
        <v>983.75</v>
      </c>
      <c r="H597" s="4">
        <f t="shared" si="1"/>
        <v>799.9</v>
      </c>
      <c r="I597" s="16">
        <f t="shared" si="2"/>
        <v>829.152</v>
      </c>
      <c r="J597" s="16">
        <f t="shared" si="3"/>
        <v>24.7013192</v>
      </c>
      <c r="K597" s="16">
        <f t="shared" si="4"/>
        <v>853.8533192</v>
      </c>
      <c r="L597" s="16">
        <f t="shared" si="5"/>
        <v>804.4506808</v>
      </c>
      <c r="N597" s="17" t="str">
        <f t="shared" si="6"/>
        <v>T</v>
      </c>
      <c r="O597" s="17" t="str">
        <f t="shared" si="7"/>
        <v>F</v>
      </c>
      <c r="P597" s="8">
        <f t="shared" si="8"/>
        <v>1</v>
      </c>
      <c r="R597" s="17" t="str">
        <f t="shared" si="9"/>
        <v>F</v>
      </c>
      <c r="S597" s="3" t="str">
        <f t="shared" si="10"/>
        <v>T</v>
      </c>
      <c r="T597" s="8">
        <f t="shared" si="11"/>
        <v>0</v>
      </c>
      <c r="V597" s="4">
        <f t="shared" si="12"/>
        <v>1</v>
      </c>
      <c r="W597" s="8">
        <f t="shared" si="13"/>
        <v>-15.15</v>
      </c>
      <c r="X597" s="8">
        <f t="shared" si="14"/>
        <v>-15.15</v>
      </c>
      <c r="Y597" s="8">
        <f t="shared" si="15"/>
        <v>91.02</v>
      </c>
    </row>
    <row r="598">
      <c r="A598" s="2">
        <v>591.0</v>
      </c>
      <c r="B598" s="15">
        <f>IFERROR(__xludf.DUMMYFUNCTION("""COMPUTED_VALUE"""),43244.64583333333)</f>
        <v>43244.64583</v>
      </c>
      <c r="C598" s="8">
        <f>IFERROR(__xludf.DUMMYFUNCTION("""COMPUTED_VALUE"""),1806.1)</f>
        <v>1806.1</v>
      </c>
      <c r="E598" s="15">
        <f>IFERROR(__xludf.DUMMYFUNCTION("""COMPUTED_VALUE"""),43244.64583333333)</f>
        <v>43244.64583</v>
      </c>
      <c r="F598" s="8">
        <f>IFERROR(__xludf.DUMMYFUNCTION("""COMPUTED_VALUE"""),993.0)</f>
        <v>993</v>
      </c>
      <c r="H598" s="4">
        <f t="shared" si="1"/>
        <v>813.1</v>
      </c>
      <c r="I598" s="16">
        <f t="shared" si="2"/>
        <v>819.528</v>
      </c>
      <c r="J598" s="16">
        <f t="shared" si="3"/>
        <v>17.36968537</v>
      </c>
      <c r="K598" s="16">
        <f t="shared" si="4"/>
        <v>836.8976854</v>
      </c>
      <c r="L598" s="16">
        <f t="shared" si="5"/>
        <v>802.1583146</v>
      </c>
      <c r="N598" s="17" t="str">
        <f t="shared" si="6"/>
        <v>F</v>
      </c>
      <c r="O598" s="17" t="str">
        <f t="shared" si="7"/>
        <v>F</v>
      </c>
      <c r="P598" s="8">
        <f t="shared" si="8"/>
        <v>1</v>
      </c>
      <c r="R598" s="17" t="str">
        <f t="shared" si="9"/>
        <v>F</v>
      </c>
      <c r="S598" s="3" t="str">
        <f t="shared" si="10"/>
        <v>T</v>
      </c>
      <c r="T598" s="8">
        <f t="shared" si="11"/>
        <v>0</v>
      </c>
      <c r="V598" s="4">
        <f t="shared" si="12"/>
        <v>1</v>
      </c>
      <c r="W598" s="8">
        <f t="shared" si="13"/>
        <v>13.2</v>
      </c>
      <c r="X598" s="8">
        <f t="shared" si="14"/>
        <v>13.2</v>
      </c>
      <c r="Y598" s="8">
        <f t="shared" si="15"/>
        <v>104.22</v>
      </c>
    </row>
    <row r="599">
      <c r="A599" s="2">
        <v>592.0</v>
      </c>
      <c r="B599" s="15">
        <f>IFERROR(__xludf.DUMMYFUNCTION("""COMPUTED_VALUE"""),43245.64583333333)</f>
        <v>43245.64583</v>
      </c>
      <c r="C599" s="8">
        <f>IFERROR(__xludf.DUMMYFUNCTION("""COMPUTED_VALUE"""),1819.75)</f>
        <v>1819.75</v>
      </c>
      <c r="E599" s="15">
        <f>IFERROR(__xludf.DUMMYFUNCTION("""COMPUTED_VALUE"""),43245.64583333333)</f>
        <v>43245.64583</v>
      </c>
      <c r="F599" s="8">
        <f>IFERROR(__xludf.DUMMYFUNCTION("""COMPUTED_VALUE"""),1004.35)</f>
        <v>1004.35</v>
      </c>
      <c r="H599" s="4">
        <f t="shared" si="1"/>
        <v>815.4</v>
      </c>
      <c r="I599" s="16">
        <f t="shared" si="2"/>
        <v>813.224</v>
      </c>
      <c r="J599" s="16">
        <f t="shared" si="3"/>
        <v>8.289157376</v>
      </c>
      <c r="K599" s="16">
        <f t="shared" si="4"/>
        <v>821.5131574</v>
      </c>
      <c r="L599" s="16">
        <f t="shared" si="5"/>
        <v>804.9348426</v>
      </c>
      <c r="N599" s="17" t="str">
        <f t="shared" si="6"/>
        <v>F</v>
      </c>
      <c r="O599" s="17" t="str">
        <f t="shared" si="7"/>
        <v>T</v>
      </c>
      <c r="P599" s="8">
        <f t="shared" si="8"/>
        <v>0</v>
      </c>
      <c r="R599" s="17" t="str">
        <f t="shared" si="9"/>
        <v>F</v>
      </c>
      <c r="S599" s="3" t="str">
        <f t="shared" si="10"/>
        <v>F</v>
      </c>
      <c r="T599" s="8">
        <f t="shared" si="11"/>
        <v>0</v>
      </c>
      <c r="V599" s="4">
        <f t="shared" si="12"/>
        <v>0</v>
      </c>
      <c r="W599" s="8">
        <f t="shared" si="13"/>
        <v>2.3</v>
      </c>
      <c r="X599" s="8">
        <f t="shared" si="14"/>
        <v>2.3</v>
      </c>
      <c r="Y599" s="8">
        <f t="shared" si="15"/>
        <v>106.52</v>
      </c>
    </row>
    <row r="600">
      <c r="A600" s="2">
        <v>593.0</v>
      </c>
      <c r="B600" s="15">
        <f>IFERROR(__xludf.DUMMYFUNCTION("""COMPUTED_VALUE"""),43248.64583333333)</f>
        <v>43248.64583</v>
      </c>
      <c r="C600" s="8">
        <f>IFERROR(__xludf.DUMMYFUNCTION("""COMPUTED_VALUE"""),1829.55)</f>
        <v>1829.55</v>
      </c>
      <c r="E600" s="15">
        <f>IFERROR(__xludf.DUMMYFUNCTION("""COMPUTED_VALUE"""),43248.64583333333)</f>
        <v>43248.64583</v>
      </c>
      <c r="F600" s="8">
        <f>IFERROR(__xludf.DUMMYFUNCTION("""COMPUTED_VALUE"""),1021.1)</f>
        <v>1021.1</v>
      </c>
      <c r="H600" s="4">
        <f t="shared" si="1"/>
        <v>808.45</v>
      </c>
      <c r="I600" s="16">
        <f t="shared" si="2"/>
        <v>810.38</v>
      </c>
      <c r="J600" s="16">
        <f t="shared" si="3"/>
        <v>6.480027006</v>
      </c>
      <c r="K600" s="16">
        <f t="shared" si="4"/>
        <v>816.860027</v>
      </c>
      <c r="L600" s="16">
        <f t="shared" si="5"/>
        <v>803.899973</v>
      </c>
      <c r="N600" s="17" t="str">
        <f t="shared" si="6"/>
        <v>F</v>
      </c>
      <c r="O600" s="17" t="str">
        <f t="shared" si="7"/>
        <v>F</v>
      </c>
      <c r="P600" s="8">
        <f t="shared" si="8"/>
        <v>0</v>
      </c>
      <c r="R600" s="17" t="str">
        <f t="shared" si="9"/>
        <v>F</v>
      </c>
      <c r="S600" s="3" t="str">
        <f t="shared" si="10"/>
        <v>T</v>
      </c>
      <c r="T600" s="8">
        <f t="shared" si="11"/>
        <v>0</v>
      </c>
      <c r="V600" s="4">
        <f t="shared" si="12"/>
        <v>0</v>
      </c>
      <c r="W600" s="8">
        <f t="shared" si="13"/>
        <v>-6.95</v>
      </c>
      <c r="X600" s="8">
        <f t="shared" si="14"/>
        <v>0</v>
      </c>
      <c r="Y600" s="8">
        <f t="shared" si="15"/>
        <v>106.52</v>
      </c>
    </row>
    <row r="601">
      <c r="A601" s="2">
        <v>594.0</v>
      </c>
      <c r="B601" s="15">
        <f>IFERROR(__xludf.DUMMYFUNCTION("""COMPUTED_VALUE"""),43249.64583333333)</f>
        <v>43249.64583</v>
      </c>
      <c r="C601" s="8">
        <f>IFERROR(__xludf.DUMMYFUNCTION("""COMPUTED_VALUE"""),1809.75)</f>
        <v>1809.75</v>
      </c>
      <c r="E601" s="15">
        <f>IFERROR(__xludf.DUMMYFUNCTION("""COMPUTED_VALUE"""),43249.64583333333)</f>
        <v>43249.64583</v>
      </c>
      <c r="F601" s="8">
        <f>IFERROR(__xludf.DUMMYFUNCTION("""COMPUTED_VALUE"""),1016.3)</f>
        <v>1016.3</v>
      </c>
      <c r="H601" s="4">
        <f t="shared" si="1"/>
        <v>793.45</v>
      </c>
      <c r="I601" s="16">
        <f t="shared" si="2"/>
        <v>806.06</v>
      </c>
      <c r="J601" s="16">
        <f t="shared" si="3"/>
        <v>9.212315127</v>
      </c>
      <c r="K601" s="16">
        <f t="shared" si="4"/>
        <v>815.2723151</v>
      </c>
      <c r="L601" s="16">
        <f t="shared" si="5"/>
        <v>796.8476849</v>
      </c>
      <c r="N601" s="17" t="str">
        <f t="shared" si="6"/>
        <v>T</v>
      </c>
      <c r="O601" s="17" t="str">
        <f t="shared" si="7"/>
        <v>F</v>
      </c>
      <c r="P601" s="8">
        <f t="shared" si="8"/>
        <v>1</v>
      </c>
      <c r="R601" s="17" t="str">
        <f t="shared" si="9"/>
        <v>F</v>
      </c>
      <c r="S601" s="3" t="str">
        <f t="shared" si="10"/>
        <v>T</v>
      </c>
      <c r="T601" s="8">
        <f t="shared" si="11"/>
        <v>0</v>
      </c>
      <c r="V601" s="4">
        <f t="shared" si="12"/>
        <v>1</v>
      </c>
      <c r="W601" s="8">
        <f t="shared" si="13"/>
        <v>-15</v>
      </c>
      <c r="X601" s="8">
        <f t="shared" si="14"/>
        <v>0</v>
      </c>
      <c r="Y601" s="8">
        <f t="shared" si="15"/>
        <v>106.52</v>
      </c>
    </row>
    <row r="602">
      <c r="A602" s="2">
        <v>595.0</v>
      </c>
      <c r="B602" s="15">
        <f>IFERROR(__xludf.DUMMYFUNCTION("""COMPUTED_VALUE"""),43250.64583333333)</f>
        <v>43250.64583</v>
      </c>
      <c r="C602" s="8">
        <f>IFERROR(__xludf.DUMMYFUNCTION("""COMPUTED_VALUE"""),1790.8)</f>
        <v>1790.8</v>
      </c>
      <c r="E602" s="15">
        <f>IFERROR(__xludf.DUMMYFUNCTION("""COMPUTED_VALUE"""),43250.64583333333)</f>
        <v>43250.64583</v>
      </c>
      <c r="F602" s="8">
        <f>IFERROR(__xludf.DUMMYFUNCTION("""COMPUTED_VALUE"""),1024.18)</f>
        <v>1024.18</v>
      </c>
      <c r="H602" s="4">
        <f t="shared" si="1"/>
        <v>766.62</v>
      </c>
      <c r="I602" s="16">
        <f t="shared" si="2"/>
        <v>799.404</v>
      </c>
      <c r="J602" s="16">
        <f t="shared" si="3"/>
        <v>20.22080191</v>
      </c>
      <c r="K602" s="16">
        <f t="shared" si="4"/>
        <v>819.6248019</v>
      </c>
      <c r="L602" s="16">
        <f t="shared" si="5"/>
        <v>779.1831981</v>
      </c>
      <c r="N602" s="17" t="str">
        <f t="shared" si="6"/>
        <v>T</v>
      </c>
      <c r="O602" s="17" t="str">
        <f t="shared" si="7"/>
        <v>F</v>
      </c>
      <c r="P602" s="8">
        <f t="shared" si="8"/>
        <v>1</v>
      </c>
      <c r="R602" s="17" t="str">
        <f t="shared" si="9"/>
        <v>F</v>
      </c>
      <c r="S602" s="3" t="str">
        <f t="shared" si="10"/>
        <v>T</v>
      </c>
      <c r="T602" s="8">
        <f t="shared" si="11"/>
        <v>0</v>
      </c>
      <c r="V602" s="4">
        <f t="shared" si="12"/>
        <v>1</v>
      </c>
      <c r="W602" s="8">
        <f t="shared" si="13"/>
        <v>-26.83</v>
      </c>
      <c r="X602" s="8">
        <f t="shared" si="14"/>
        <v>-26.83</v>
      </c>
      <c r="Y602" s="8">
        <f t="shared" si="15"/>
        <v>79.69</v>
      </c>
    </row>
    <row r="603">
      <c r="A603" s="2">
        <v>596.0</v>
      </c>
      <c r="B603" s="15">
        <f>IFERROR(__xludf.DUMMYFUNCTION("""COMPUTED_VALUE"""),43251.64583333333)</f>
        <v>43251.64583</v>
      </c>
      <c r="C603" s="8">
        <f>IFERROR(__xludf.DUMMYFUNCTION("""COMPUTED_VALUE"""),1833.0)</f>
        <v>1833</v>
      </c>
      <c r="E603" s="15">
        <f>IFERROR(__xludf.DUMMYFUNCTION("""COMPUTED_VALUE"""),43251.64583333333)</f>
        <v>43251.64583</v>
      </c>
      <c r="F603" s="8">
        <f>IFERROR(__xludf.DUMMYFUNCTION("""COMPUTED_VALUE"""),1069.72)</f>
        <v>1069.72</v>
      </c>
      <c r="H603" s="4">
        <f t="shared" si="1"/>
        <v>763.28</v>
      </c>
      <c r="I603" s="16">
        <f t="shared" si="2"/>
        <v>789.44</v>
      </c>
      <c r="J603" s="16">
        <f t="shared" si="3"/>
        <v>23.75120944</v>
      </c>
      <c r="K603" s="16">
        <f t="shared" si="4"/>
        <v>813.1912094</v>
      </c>
      <c r="L603" s="16">
        <f t="shared" si="5"/>
        <v>765.6887906</v>
      </c>
      <c r="N603" s="17" t="str">
        <f t="shared" si="6"/>
        <v>T</v>
      </c>
      <c r="O603" s="17" t="str">
        <f t="shared" si="7"/>
        <v>F</v>
      </c>
      <c r="P603" s="8">
        <f t="shared" si="8"/>
        <v>1</v>
      </c>
      <c r="R603" s="17" t="str">
        <f t="shared" si="9"/>
        <v>F</v>
      </c>
      <c r="S603" s="3" t="str">
        <f t="shared" si="10"/>
        <v>T</v>
      </c>
      <c r="T603" s="8">
        <f t="shared" si="11"/>
        <v>0</v>
      </c>
      <c r="V603" s="4">
        <f t="shared" si="12"/>
        <v>1</v>
      </c>
      <c r="W603" s="8">
        <f t="shared" si="13"/>
        <v>-3.34</v>
      </c>
      <c r="X603" s="8">
        <f t="shared" si="14"/>
        <v>-3.34</v>
      </c>
      <c r="Y603" s="8">
        <f t="shared" si="15"/>
        <v>76.35</v>
      </c>
    </row>
    <row r="604">
      <c r="A604" s="2">
        <v>597.0</v>
      </c>
      <c r="B604" s="15">
        <f>IFERROR(__xludf.DUMMYFUNCTION("""COMPUTED_VALUE"""),43252.64583333333)</f>
        <v>43252.64583</v>
      </c>
      <c r="C604" s="8">
        <f>IFERROR(__xludf.DUMMYFUNCTION("""COMPUTED_VALUE"""),1844.25)</f>
        <v>1844.25</v>
      </c>
      <c r="E604" s="15">
        <f>IFERROR(__xludf.DUMMYFUNCTION("""COMPUTED_VALUE"""),43252.64583333333)</f>
        <v>43252.64583</v>
      </c>
      <c r="F604" s="8">
        <f>IFERROR(__xludf.DUMMYFUNCTION("""COMPUTED_VALUE"""),1055.3)</f>
        <v>1055.3</v>
      </c>
      <c r="H604" s="4">
        <f t="shared" si="1"/>
        <v>788.95</v>
      </c>
      <c r="I604" s="16">
        <f t="shared" si="2"/>
        <v>784.15</v>
      </c>
      <c r="J604" s="16">
        <f t="shared" si="3"/>
        <v>18.99261567</v>
      </c>
      <c r="K604" s="16">
        <f t="shared" si="4"/>
        <v>803.1426157</v>
      </c>
      <c r="L604" s="16">
        <f t="shared" si="5"/>
        <v>765.1573843</v>
      </c>
      <c r="N604" s="17" t="str">
        <f t="shared" si="6"/>
        <v>F</v>
      </c>
      <c r="O604" s="17" t="str">
        <f t="shared" si="7"/>
        <v>T</v>
      </c>
      <c r="P604" s="8">
        <f t="shared" si="8"/>
        <v>0</v>
      </c>
      <c r="R604" s="17" t="str">
        <f t="shared" si="9"/>
        <v>F</v>
      </c>
      <c r="S604" s="3" t="str">
        <f t="shared" si="10"/>
        <v>F</v>
      </c>
      <c r="T604" s="8">
        <f t="shared" si="11"/>
        <v>0</v>
      </c>
      <c r="V604" s="4">
        <f t="shared" si="12"/>
        <v>0</v>
      </c>
      <c r="W604" s="8">
        <f t="shared" si="13"/>
        <v>25.67</v>
      </c>
      <c r="X604" s="8">
        <f t="shared" si="14"/>
        <v>25.67</v>
      </c>
      <c r="Y604" s="8">
        <f t="shared" si="15"/>
        <v>102.02</v>
      </c>
    </row>
    <row r="605">
      <c r="A605" s="2">
        <v>598.0</v>
      </c>
      <c r="B605" s="15">
        <f>IFERROR(__xludf.DUMMYFUNCTION("""COMPUTED_VALUE"""),43255.64583333333)</f>
        <v>43255.64583</v>
      </c>
      <c r="C605" s="8">
        <f>IFERROR(__xludf.DUMMYFUNCTION("""COMPUTED_VALUE"""),1833.15)</f>
        <v>1833.15</v>
      </c>
      <c r="E605" s="15">
        <f>IFERROR(__xludf.DUMMYFUNCTION("""COMPUTED_VALUE"""),43255.64583333333)</f>
        <v>43255.64583</v>
      </c>
      <c r="F605" s="8">
        <f>IFERROR(__xludf.DUMMYFUNCTION("""COMPUTED_VALUE"""),1023.1)</f>
        <v>1023.1</v>
      </c>
      <c r="H605" s="4">
        <f t="shared" si="1"/>
        <v>810.05</v>
      </c>
      <c r="I605" s="16">
        <f t="shared" si="2"/>
        <v>784.47</v>
      </c>
      <c r="J605" s="16">
        <f t="shared" si="3"/>
        <v>19.51080342</v>
      </c>
      <c r="K605" s="16">
        <f t="shared" si="4"/>
        <v>803.9808034</v>
      </c>
      <c r="L605" s="16">
        <f t="shared" si="5"/>
        <v>764.9591966</v>
      </c>
      <c r="N605" s="17" t="str">
        <f t="shared" si="6"/>
        <v>F</v>
      </c>
      <c r="O605" s="17" t="str">
        <f t="shared" si="7"/>
        <v>T</v>
      </c>
      <c r="P605" s="8">
        <f t="shared" si="8"/>
        <v>0</v>
      </c>
      <c r="R605" s="17" t="str">
        <f t="shared" si="9"/>
        <v>T</v>
      </c>
      <c r="S605" s="3" t="str">
        <f t="shared" si="10"/>
        <v>F</v>
      </c>
      <c r="T605" s="8">
        <f t="shared" si="11"/>
        <v>-1</v>
      </c>
      <c r="V605" s="4">
        <f t="shared" si="12"/>
        <v>-1</v>
      </c>
      <c r="W605" s="8">
        <f t="shared" si="13"/>
        <v>21.1</v>
      </c>
      <c r="X605" s="8">
        <f t="shared" si="14"/>
        <v>0</v>
      </c>
      <c r="Y605" s="8">
        <f t="shared" si="15"/>
        <v>102.02</v>
      </c>
    </row>
    <row r="606">
      <c r="A606" s="2">
        <v>599.0</v>
      </c>
      <c r="B606" s="15">
        <f>IFERROR(__xludf.DUMMYFUNCTION("""COMPUTED_VALUE"""),43256.64583333333)</f>
        <v>43256.64583</v>
      </c>
      <c r="C606" s="8">
        <f>IFERROR(__xludf.DUMMYFUNCTION("""COMPUTED_VALUE"""),1848.4)</f>
        <v>1848.4</v>
      </c>
      <c r="E606" s="15">
        <f>IFERROR(__xludf.DUMMYFUNCTION("""COMPUTED_VALUE"""),43256.64583333333)</f>
        <v>43256.64583</v>
      </c>
      <c r="F606" s="8">
        <f>IFERROR(__xludf.DUMMYFUNCTION("""COMPUTED_VALUE"""),1031.8)</f>
        <v>1031.8</v>
      </c>
      <c r="H606" s="4">
        <f t="shared" si="1"/>
        <v>816.6</v>
      </c>
      <c r="I606" s="16">
        <f t="shared" si="2"/>
        <v>789.1</v>
      </c>
      <c r="J606" s="16">
        <f t="shared" si="3"/>
        <v>24.32692849</v>
      </c>
      <c r="K606" s="16">
        <f t="shared" si="4"/>
        <v>813.4269285</v>
      </c>
      <c r="L606" s="16">
        <f t="shared" si="5"/>
        <v>764.7730715</v>
      </c>
      <c r="N606" s="17" t="str">
        <f t="shared" si="6"/>
        <v>F</v>
      </c>
      <c r="O606" s="17" t="str">
        <f t="shared" si="7"/>
        <v>T</v>
      </c>
      <c r="P606" s="8">
        <f t="shared" si="8"/>
        <v>0</v>
      </c>
      <c r="R606" s="17" t="str">
        <f t="shared" si="9"/>
        <v>T</v>
      </c>
      <c r="S606" s="3" t="str">
        <f t="shared" si="10"/>
        <v>F</v>
      </c>
      <c r="T606" s="8">
        <f t="shared" si="11"/>
        <v>-1</v>
      </c>
      <c r="V606" s="4">
        <f t="shared" si="12"/>
        <v>-1</v>
      </c>
      <c r="W606" s="8">
        <f t="shared" si="13"/>
        <v>6.55</v>
      </c>
      <c r="X606" s="8">
        <f t="shared" si="14"/>
        <v>-6.55</v>
      </c>
      <c r="Y606" s="8">
        <f t="shared" si="15"/>
        <v>95.47</v>
      </c>
    </row>
    <row r="607">
      <c r="A607" s="2">
        <v>600.0</v>
      </c>
      <c r="B607" s="15">
        <f>IFERROR(__xludf.DUMMYFUNCTION("""COMPUTED_VALUE"""),43257.64583333333)</f>
        <v>43257.64583</v>
      </c>
      <c r="C607" s="8">
        <f>IFERROR(__xludf.DUMMYFUNCTION("""COMPUTED_VALUE"""),1858.45)</f>
        <v>1858.45</v>
      </c>
      <c r="E607" s="15">
        <f>IFERROR(__xludf.DUMMYFUNCTION("""COMPUTED_VALUE"""),43257.64583333333)</f>
        <v>43257.64583</v>
      </c>
      <c r="F607" s="8">
        <f>IFERROR(__xludf.DUMMYFUNCTION("""COMPUTED_VALUE"""),1028.68)</f>
        <v>1028.68</v>
      </c>
      <c r="H607" s="4">
        <f t="shared" si="1"/>
        <v>829.77</v>
      </c>
      <c r="I607" s="16">
        <f t="shared" si="2"/>
        <v>801.73</v>
      </c>
      <c r="J607" s="16">
        <f t="shared" si="3"/>
        <v>26.06871593</v>
      </c>
      <c r="K607" s="16">
        <f t="shared" si="4"/>
        <v>827.7987159</v>
      </c>
      <c r="L607" s="16">
        <f t="shared" si="5"/>
        <v>775.6612841</v>
      </c>
      <c r="N607" s="17" t="str">
        <f t="shared" si="6"/>
        <v>F</v>
      </c>
      <c r="O607" s="17" t="str">
        <f t="shared" si="7"/>
        <v>T</v>
      </c>
      <c r="P607" s="8">
        <f t="shared" si="8"/>
        <v>0</v>
      </c>
      <c r="R607" s="17" t="str">
        <f t="shared" si="9"/>
        <v>T</v>
      </c>
      <c r="S607" s="3" t="str">
        <f t="shared" si="10"/>
        <v>F</v>
      </c>
      <c r="T607" s="8">
        <f t="shared" si="11"/>
        <v>-1</v>
      </c>
      <c r="V607" s="4">
        <f t="shared" si="12"/>
        <v>-1</v>
      </c>
      <c r="W607" s="8">
        <f t="shared" si="13"/>
        <v>13.17</v>
      </c>
      <c r="X607" s="8">
        <f t="shared" si="14"/>
        <v>-13.17</v>
      </c>
      <c r="Y607" s="8">
        <f t="shared" si="15"/>
        <v>82.3</v>
      </c>
    </row>
    <row r="608">
      <c r="A608" s="2">
        <v>601.0</v>
      </c>
      <c r="B608" s="15">
        <f>IFERROR(__xludf.DUMMYFUNCTION("""COMPUTED_VALUE"""),43258.64583333333)</f>
        <v>43258.64583</v>
      </c>
      <c r="C608" s="8">
        <f>IFERROR(__xludf.DUMMYFUNCTION("""COMPUTED_VALUE"""),1869.0)</f>
        <v>1869</v>
      </c>
      <c r="E608" s="15">
        <f>IFERROR(__xludf.DUMMYFUNCTION("""COMPUTED_VALUE"""),43258.64583333333)</f>
        <v>43258.64583</v>
      </c>
      <c r="F608" s="8">
        <f>IFERROR(__xludf.DUMMYFUNCTION("""COMPUTED_VALUE"""),1031.1)</f>
        <v>1031.1</v>
      </c>
      <c r="H608" s="4">
        <f t="shared" si="1"/>
        <v>837.9</v>
      </c>
      <c r="I608" s="16">
        <f t="shared" si="2"/>
        <v>816.654</v>
      </c>
      <c r="J608" s="16">
        <f t="shared" si="3"/>
        <v>18.93772241</v>
      </c>
      <c r="K608" s="16">
        <f t="shared" si="4"/>
        <v>835.5917224</v>
      </c>
      <c r="L608" s="16">
        <f t="shared" si="5"/>
        <v>797.7162776</v>
      </c>
      <c r="N608" s="17" t="str">
        <f t="shared" si="6"/>
        <v>F</v>
      </c>
      <c r="O608" s="17" t="str">
        <f t="shared" si="7"/>
        <v>T</v>
      </c>
      <c r="P608" s="8">
        <f t="shared" si="8"/>
        <v>0</v>
      </c>
      <c r="R608" s="17" t="str">
        <f t="shared" si="9"/>
        <v>T</v>
      </c>
      <c r="S608" s="3" t="str">
        <f t="shared" si="10"/>
        <v>F</v>
      </c>
      <c r="T608" s="8">
        <f t="shared" si="11"/>
        <v>-1</v>
      </c>
      <c r="V608" s="4">
        <f t="shared" si="12"/>
        <v>-1</v>
      </c>
      <c r="W608" s="8">
        <f t="shared" si="13"/>
        <v>8.13</v>
      </c>
      <c r="X608" s="8">
        <f t="shared" si="14"/>
        <v>-8.13</v>
      </c>
      <c r="Y608" s="8">
        <f t="shared" si="15"/>
        <v>74.17</v>
      </c>
    </row>
    <row r="609">
      <c r="A609" s="2">
        <v>602.0</v>
      </c>
      <c r="B609" s="15">
        <f>IFERROR(__xludf.DUMMYFUNCTION("""COMPUTED_VALUE"""),43259.64583333333)</f>
        <v>43259.64583</v>
      </c>
      <c r="C609" s="8">
        <f>IFERROR(__xludf.DUMMYFUNCTION("""COMPUTED_VALUE"""),1840.45)</f>
        <v>1840.45</v>
      </c>
      <c r="E609" s="15">
        <f>IFERROR(__xludf.DUMMYFUNCTION("""COMPUTED_VALUE"""),43259.64583333333)</f>
        <v>43259.64583</v>
      </c>
      <c r="F609" s="8">
        <f>IFERROR(__xludf.DUMMYFUNCTION("""COMPUTED_VALUE"""),1024.68)</f>
        <v>1024.68</v>
      </c>
      <c r="H609" s="4">
        <f t="shared" si="1"/>
        <v>815.77</v>
      </c>
      <c r="I609" s="16">
        <f t="shared" si="2"/>
        <v>822.018</v>
      </c>
      <c r="J609" s="16">
        <f t="shared" si="3"/>
        <v>11.44505002</v>
      </c>
      <c r="K609" s="16">
        <f t="shared" si="4"/>
        <v>833.46305</v>
      </c>
      <c r="L609" s="16">
        <f t="shared" si="5"/>
        <v>810.57295</v>
      </c>
      <c r="N609" s="17" t="str">
        <f t="shared" si="6"/>
        <v>F</v>
      </c>
      <c r="O609" s="17" t="str">
        <f t="shared" si="7"/>
        <v>F</v>
      </c>
      <c r="P609" s="8">
        <f t="shared" si="8"/>
        <v>0</v>
      </c>
      <c r="R609" s="17" t="str">
        <f t="shared" si="9"/>
        <v>F</v>
      </c>
      <c r="S609" s="3" t="str">
        <f t="shared" si="10"/>
        <v>T</v>
      </c>
      <c r="T609" s="8">
        <f t="shared" si="11"/>
        <v>0</v>
      </c>
      <c r="V609" s="4">
        <f t="shared" si="12"/>
        <v>0</v>
      </c>
      <c r="W609" s="8">
        <f t="shared" si="13"/>
        <v>-22.13</v>
      </c>
      <c r="X609" s="8">
        <f t="shared" si="14"/>
        <v>22.13</v>
      </c>
      <c r="Y609" s="8">
        <f t="shared" si="15"/>
        <v>96.3</v>
      </c>
    </row>
    <row r="610">
      <c r="A610" s="2">
        <v>603.0</v>
      </c>
      <c r="B610" s="15">
        <f>IFERROR(__xludf.DUMMYFUNCTION("""COMPUTED_VALUE"""),43262.64583333333)</f>
        <v>43262.64583</v>
      </c>
      <c r="C610" s="8">
        <f>IFERROR(__xludf.DUMMYFUNCTION("""COMPUTED_VALUE"""),1839.45)</f>
        <v>1839.45</v>
      </c>
      <c r="E610" s="15">
        <f>IFERROR(__xludf.DUMMYFUNCTION("""COMPUTED_VALUE"""),43262.64583333333)</f>
        <v>43262.64583</v>
      </c>
      <c r="F610" s="8">
        <f>IFERROR(__xludf.DUMMYFUNCTION("""COMPUTED_VALUE"""),1021.15)</f>
        <v>1021.15</v>
      </c>
      <c r="H610" s="4">
        <f t="shared" si="1"/>
        <v>818.3</v>
      </c>
      <c r="I610" s="16">
        <f t="shared" si="2"/>
        <v>823.668</v>
      </c>
      <c r="J610" s="16">
        <f t="shared" si="3"/>
        <v>9.758774001</v>
      </c>
      <c r="K610" s="16">
        <f t="shared" si="4"/>
        <v>833.426774</v>
      </c>
      <c r="L610" s="16">
        <f t="shared" si="5"/>
        <v>813.909226</v>
      </c>
      <c r="N610" s="17" t="str">
        <f t="shared" si="6"/>
        <v>F</v>
      </c>
      <c r="O610" s="17" t="str">
        <f t="shared" si="7"/>
        <v>F</v>
      </c>
      <c r="P610" s="8">
        <f t="shared" si="8"/>
        <v>0</v>
      </c>
      <c r="R610" s="17" t="str">
        <f t="shared" si="9"/>
        <v>F</v>
      </c>
      <c r="S610" s="3" t="str">
        <f t="shared" si="10"/>
        <v>T</v>
      </c>
      <c r="T610" s="8">
        <f t="shared" si="11"/>
        <v>0</v>
      </c>
      <c r="V610" s="4">
        <f t="shared" si="12"/>
        <v>0</v>
      </c>
      <c r="W610" s="8">
        <f t="shared" si="13"/>
        <v>2.53</v>
      </c>
      <c r="X610" s="8">
        <f t="shared" si="14"/>
        <v>0</v>
      </c>
      <c r="Y610" s="8">
        <f t="shared" si="15"/>
        <v>96.3</v>
      </c>
    </row>
    <row r="611">
      <c r="A611" s="2">
        <v>604.0</v>
      </c>
      <c r="B611" s="15">
        <f>IFERROR(__xludf.DUMMYFUNCTION("""COMPUTED_VALUE"""),43263.64583333333)</f>
        <v>43263.64583</v>
      </c>
      <c r="C611" s="8">
        <f>IFERROR(__xludf.DUMMYFUNCTION("""COMPUTED_VALUE"""),1847.7)</f>
        <v>1847.7</v>
      </c>
      <c r="E611" s="15">
        <f>IFERROR(__xludf.DUMMYFUNCTION("""COMPUTED_VALUE"""),43263.64583333333)</f>
        <v>43263.64583</v>
      </c>
      <c r="F611" s="8">
        <f>IFERROR(__xludf.DUMMYFUNCTION("""COMPUTED_VALUE"""),1021.93)</f>
        <v>1021.93</v>
      </c>
      <c r="H611" s="4">
        <f t="shared" si="1"/>
        <v>825.77</v>
      </c>
      <c r="I611" s="16">
        <f t="shared" si="2"/>
        <v>825.502</v>
      </c>
      <c r="J611" s="16">
        <f t="shared" si="3"/>
        <v>8.924386253</v>
      </c>
      <c r="K611" s="16">
        <f t="shared" si="4"/>
        <v>834.4263863</v>
      </c>
      <c r="L611" s="16">
        <f t="shared" si="5"/>
        <v>816.5776137</v>
      </c>
      <c r="N611" s="17" t="str">
        <f t="shared" si="6"/>
        <v>F</v>
      </c>
      <c r="O611" s="17" t="str">
        <f t="shared" si="7"/>
        <v>T</v>
      </c>
      <c r="P611" s="8">
        <f t="shared" si="8"/>
        <v>0</v>
      </c>
      <c r="R611" s="17" t="str">
        <f t="shared" si="9"/>
        <v>F</v>
      </c>
      <c r="S611" s="3" t="str">
        <f t="shared" si="10"/>
        <v>F</v>
      </c>
      <c r="T611" s="8">
        <f t="shared" si="11"/>
        <v>0</v>
      </c>
      <c r="V611" s="4">
        <f t="shared" si="12"/>
        <v>0</v>
      </c>
      <c r="W611" s="8">
        <f t="shared" si="13"/>
        <v>7.47</v>
      </c>
      <c r="X611" s="8">
        <f t="shared" si="14"/>
        <v>0</v>
      </c>
      <c r="Y611" s="8">
        <f t="shared" si="15"/>
        <v>96.3</v>
      </c>
    </row>
    <row r="612">
      <c r="A612" s="2">
        <v>605.0</v>
      </c>
      <c r="B612" s="15">
        <f>IFERROR(__xludf.DUMMYFUNCTION("""COMPUTED_VALUE"""),43264.64583333333)</f>
        <v>43264.64583</v>
      </c>
      <c r="C612" s="8">
        <f>IFERROR(__xludf.DUMMYFUNCTION("""COMPUTED_VALUE"""),1832.3)</f>
        <v>1832.3</v>
      </c>
      <c r="E612" s="15">
        <f>IFERROR(__xludf.DUMMYFUNCTION("""COMPUTED_VALUE"""),43264.64583333333)</f>
        <v>43264.64583</v>
      </c>
      <c r="F612" s="8">
        <f>IFERROR(__xludf.DUMMYFUNCTION("""COMPUTED_VALUE"""),1015.73)</f>
        <v>1015.73</v>
      </c>
      <c r="H612" s="4">
        <f t="shared" si="1"/>
        <v>816.57</v>
      </c>
      <c r="I612" s="16">
        <f t="shared" si="2"/>
        <v>822.862</v>
      </c>
      <c r="J612" s="16">
        <f t="shared" si="3"/>
        <v>9.291063986</v>
      </c>
      <c r="K612" s="16">
        <f t="shared" si="4"/>
        <v>832.153064</v>
      </c>
      <c r="L612" s="16">
        <f t="shared" si="5"/>
        <v>813.570936</v>
      </c>
      <c r="N612" s="17" t="str">
        <f t="shared" si="6"/>
        <v>F</v>
      </c>
      <c r="O612" s="17" t="str">
        <f t="shared" si="7"/>
        <v>F</v>
      </c>
      <c r="P612" s="8">
        <f t="shared" si="8"/>
        <v>0</v>
      </c>
      <c r="R612" s="17" t="str">
        <f t="shared" si="9"/>
        <v>F</v>
      </c>
      <c r="S612" s="3" t="str">
        <f t="shared" si="10"/>
        <v>T</v>
      </c>
      <c r="T612" s="8">
        <f t="shared" si="11"/>
        <v>0</v>
      </c>
      <c r="V612" s="4">
        <f t="shared" si="12"/>
        <v>0</v>
      </c>
      <c r="W612" s="8">
        <f t="shared" si="13"/>
        <v>-9.2</v>
      </c>
      <c r="X612" s="8">
        <f t="shared" si="14"/>
        <v>0</v>
      </c>
      <c r="Y612" s="8">
        <f t="shared" si="15"/>
        <v>96.3</v>
      </c>
    </row>
    <row r="613">
      <c r="A613" s="2">
        <v>606.0</v>
      </c>
      <c r="B613" s="15">
        <f>IFERROR(__xludf.DUMMYFUNCTION("""COMPUTED_VALUE"""),43265.64583333333)</f>
        <v>43265.64583</v>
      </c>
      <c r="C613" s="8">
        <f>IFERROR(__xludf.DUMMYFUNCTION("""COMPUTED_VALUE"""),1833.75)</f>
        <v>1833.75</v>
      </c>
      <c r="E613" s="15">
        <f>IFERROR(__xludf.DUMMYFUNCTION("""COMPUTED_VALUE"""),43265.64583333333)</f>
        <v>43265.64583</v>
      </c>
      <c r="F613" s="8">
        <f>IFERROR(__xludf.DUMMYFUNCTION("""COMPUTED_VALUE"""),1018.7)</f>
        <v>1018.7</v>
      </c>
      <c r="H613" s="4">
        <f t="shared" si="1"/>
        <v>815.05</v>
      </c>
      <c r="I613" s="16">
        <f t="shared" si="2"/>
        <v>818.292</v>
      </c>
      <c r="J613" s="16">
        <f t="shared" si="3"/>
        <v>4.351921415</v>
      </c>
      <c r="K613" s="16">
        <f t="shared" si="4"/>
        <v>822.6439214</v>
      </c>
      <c r="L613" s="16">
        <f t="shared" si="5"/>
        <v>813.9400786</v>
      </c>
      <c r="N613" s="17" t="str">
        <f t="shared" si="6"/>
        <v>F</v>
      </c>
      <c r="O613" s="17" t="str">
        <f t="shared" si="7"/>
        <v>F</v>
      </c>
      <c r="P613" s="8">
        <f t="shared" si="8"/>
        <v>0</v>
      </c>
      <c r="R613" s="17" t="str">
        <f t="shared" si="9"/>
        <v>F</v>
      </c>
      <c r="S613" s="3" t="str">
        <f t="shared" si="10"/>
        <v>T</v>
      </c>
      <c r="T613" s="8">
        <f t="shared" si="11"/>
        <v>0</v>
      </c>
      <c r="V613" s="4">
        <f t="shared" si="12"/>
        <v>0</v>
      </c>
      <c r="W613" s="8">
        <f t="shared" si="13"/>
        <v>-1.52</v>
      </c>
      <c r="X613" s="8">
        <f t="shared" si="14"/>
        <v>0</v>
      </c>
      <c r="Y613" s="8">
        <f t="shared" si="15"/>
        <v>96.3</v>
      </c>
    </row>
    <row r="614">
      <c r="A614" s="2">
        <v>607.0</v>
      </c>
      <c r="B614" s="15">
        <f>IFERROR(__xludf.DUMMYFUNCTION("""COMPUTED_VALUE"""),43266.64583333333)</f>
        <v>43266.64583</v>
      </c>
      <c r="C614" s="8">
        <f>IFERROR(__xludf.DUMMYFUNCTION("""COMPUTED_VALUE"""),1832.25)</f>
        <v>1832.25</v>
      </c>
      <c r="E614" s="15">
        <f>IFERROR(__xludf.DUMMYFUNCTION("""COMPUTED_VALUE"""),43266.64583333333)</f>
        <v>43266.64583</v>
      </c>
      <c r="F614" s="8">
        <f>IFERROR(__xludf.DUMMYFUNCTION("""COMPUTED_VALUE"""),1014.8)</f>
        <v>1014.8</v>
      </c>
      <c r="H614" s="4">
        <f t="shared" si="1"/>
        <v>817.45</v>
      </c>
      <c r="I614" s="16">
        <f t="shared" si="2"/>
        <v>818.628</v>
      </c>
      <c r="J614" s="16">
        <f t="shared" si="3"/>
        <v>4.16955873</v>
      </c>
      <c r="K614" s="16">
        <f t="shared" si="4"/>
        <v>822.7975587</v>
      </c>
      <c r="L614" s="16">
        <f t="shared" si="5"/>
        <v>814.4584413</v>
      </c>
      <c r="N614" s="17" t="str">
        <f t="shared" si="6"/>
        <v>F</v>
      </c>
      <c r="O614" s="17" t="str">
        <f t="shared" si="7"/>
        <v>F</v>
      </c>
      <c r="P614" s="8">
        <f t="shared" si="8"/>
        <v>0</v>
      </c>
      <c r="R614" s="17" t="str">
        <f t="shared" si="9"/>
        <v>F</v>
      </c>
      <c r="S614" s="3" t="str">
        <f t="shared" si="10"/>
        <v>T</v>
      </c>
      <c r="T614" s="8">
        <f t="shared" si="11"/>
        <v>0</v>
      </c>
      <c r="V614" s="4">
        <f t="shared" si="12"/>
        <v>0</v>
      </c>
      <c r="W614" s="8">
        <f t="shared" si="13"/>
        <v>2.4</v>
      </c>
      <c r="X614" s="8">
        <f t="shared" si="14"/>
        <v>0</v>
      </c>
      <c r="Y614" s="8">
        <f t="shared" si="15"/>
        <v>96.3</v>
      </c>
    </row>
    <row r="615">
      <c r="A615" s="2">
        <v>608.0</v>
      </c>
      <c r="B615" s="15">
        <f>IFERROR(__xludf.DUMMYFUNCTION("""COMPUTED_VALUE"""),43269.64583333333)</f>
        <v>43269.64583</v>
      </c>
      <c r="C615" s="8">
        <f>IFERROR(__xludf.DUMMYFUNCTION("""COMPUTED_VALUE"""),1823.55)</f>
        <v>1823.55</v>
      </c>
      <c r="E615" s="15">
        <f>IFERROR(__xludf.DUMMYFUNCTION("""COMPUTED_VALUE"""),43269.64583333333)</f>
        <v>43269.64583</v>
      </c>
      <c r="F615" s="8">
        <f>IFERROR(__xludf.DUMMYFUNCTION("""COMPUTED_VALUE"""),1009.58)</f>
        <v>1009.58</v>
      </c>
      <c r="H615" s="4">
        <f t="shared" si="1"/>
        <v>813.97</v>
      </c>
      <c r="I615" s="16">
        <f t="shared" si="2"/>
        <v>817.762</v>
      </c>
      <c r="J615" s="16">
        <f t="shared" si="3"/>
        <v>4.673876336</v>
      </c>
      <c r="K615" s="16">
        <f t="shared" si="4"/>
        <v>822.4358763</v>
      </c>
      <c r="L615" s="16">
        <f t="shared" si="5"/>
        <v>813.0881237</v>
      </c>
      <c r="N615" s="17" t="str">
        <f t="shared" si="6"/>
        <v>F</v>
      </c>
      <c r="O615" s="17" t="str">
        <f t="shared" si="7"/>
        <v>F</v>
      </c>
      <c r="P615" s="8">
        <f t="shared" si="8"/>
        <v>0</v>
      </c>
      <c r="R615" s="17" t="str">
        <f t="shared" si="9"/>
        <v>F</v>
      </c>
      <c r="S615" s="3" t="str">
        <f t="shared" si="10"/>
        <v>T</v>
      </c>
      <c r="T615" s="8">
        <f t="shared" si="11"/>
        <v>0</v>
      </c>
      <c r="V615" s="4">
        <f t="shared" si="12"/>
        <v>0</v>
      </c>
      <c r="W615" s="8">
        <f t="shared" si="13"/>
        <v>-3.48</v>
      </c>
      <c r="X615" s="8">
        <f t="shared" si="14"/>
        <v>0</v>
      </c>
      <c r="Y615" s="8">
        <f t="shared" si="15"/>
        <v>96.3</v>
      </c>
    </row>
    <row r="616">
      <c r="A616" s="2">
        <v>609.0</v>
      </c>
      <c r="B616" s="15">
        <f>IFERROR(__xludf.DUMMYFUNCTION("""COMPUTED_VALUE"""),43270.64583333333)</f>
        <v>43270.64583</v>
      </c>
      <c r="C616" s="8">
        <f>IFERROR(__xludf.DUMMYFUNCTION("""COMPUTED_VALUE"""),1828.0)</f>
        <v>1828</v>
      </c>
      <c r="E616" s="15">
        <f>IFERROR(__xludf.DUMMYFUNCTION("""COMPUTED_VALUE"""),43270.64583333333)</f>
        <v>43270.64583</v>
      </c>
      <c r="F616" s="8">
        <f>IFERROR(__xludf.DUMMYFUNCTION("""COMPUTED_VALUE"""),1011.75)</f>
        <v>1011.75</v>
      </c>
      <c r="H616" s="4">
        <f t="shared" si="1"/>
        <v>816.25</v>
      </c>
      <c r="I616" s="16">
        <f t="shared" si="2"/>
        <v>815.858</v>
      </c>
      <c r="J616" s="16">
        <f t="shared" si="3"/>
        <v>1.361293503</v>
      </c>
      <c r="K616" s="16">
        <f t="shared" si="4"/>
        <v>817.2192935</v>
      </c>
      <c r="L616" s="16">
        <f t="shared" si="5"/>
        <v>814.4967065</v>
      </c>
      <c r="N616" s="17" t="str">
        <f t="shared" si="6"/>
        <v>F</v>
      </c>
      <c r="O616" s="17" t="str">
        <f t="shared" si="7"/>
        <v>T</v>
      </c>
      <c r="P616" s="8">
        <f t="shared" si="8"/>
        <v>0</v>
      </c>
      <c r="R616" s="17" t="str">
        <f t="shared" si="9"/>
        <v>F</v>
      </c>
      <c r="S616" s="3" t="str">
        <f t="shared" si="10"/>
        <v>F</v>
      </c>
      <c r="T616" s="8">
        <f t="shared" si="11"/>
        <v>0</v>
      </c>
      <c r="V616" s="4">
        <f t="shared" si="12"/>
        <v>0</v>
      </c>
      <c r="W616" s="8">
        <f t="shared" si="13"/>
        <v>2.28</v>
      </c>
      <c r="X616" s="8">
        <f t="shared" si="14"/>
        <v>0</v>
      </c>
      <c r="Y616" s="8">
        <f t="shared" si="15"/>
        <v>96.3</v>
      </c>
    </row>
    <row r="617">
      <c r="A617" s="2">
        <v>610.0</v>
      </c>
      <c r="B617" s="15">
        <f>IFERROR(__xludf.DUMMYFUNCTION("""COMPUTED_VALUE"""),43271.64583333333)</f>
        <v>43271.64583</v>
      </c>
      <c r="C617" s="8">
        <f>IFERROR(__xludf.DUMMYFUNCTION("""COMPUTED_VALUE"""),1847.0)</f>
        <v>1847</v>
      </c>
      <c r="E617" s="15">
        <f>IFERROR(__xludf.DUMMYFUNCTION("""COMPUTED_VALUE"""),43271.64583333333)</f>
        <v>43271.64583</v>
      </c>
      <c r="F617" s="8">
        <f>IFERROR(__xludf.DUMMYFUNCTION("""COMPUTED_VALUE"""),1028.08)</f>
        <v>1028.08</v>
      </c>
      <c r="H617" s="4">
        <f t="shared" si="1"/>
        <v>818.92</v>
      </c>
      <c r="I617" s="16">
        <f t="shared" si="2"/>
        <v>816.328</v>
      </c>
      <c r="J617" s="16">
        <f t="shared" si="3"/>
        <v>1.947875766</v>
      </c>
      <c r="K617" s="16">
        <f t="shared" si="4"/>
        <v>818.2758758</v>
      </c>
      <c r="L617" s="16">
        <f t="shared" si="5"/>
        <v>814.3801242</v>
      </c>
      <c r="N617" s="17" t="str">
        <f t="shared" si="6"/>
        <v>F</v>
      </c>
      <c r="O617" s="17" t="str">
        <f t="shared" si="7"/>
        <v>T</v>
      </c>
      <c r="P617" s="8">
        <f t="shared" si="8"/>
        <v>0</v>
      </c>
      <c r="R617" s="17" t="str">
        <f t="shared" si="9"/>
        <v>T</v>
      </c>
      <c r="S617" s="3" t="str">
        <f t="shared" si="10"/>
        <v>F</v>
      </c>
      <c r="T617" s="8">
        <f t="shared" si="11"/>
        <v>-1</v>
      </c>
      <c r="V617" s="4">
        <f t="shared" si="12"/>
        <v>-1</v>
      </c>
      <c r="W617" s="8">
        <f t="shared" si="13"/>
        <v>2.67</v>
      </c>
      <c r="X617" s="8">
        <f t="shared" si="14"/>
        <v>0</v>
      </c>
      <c r="Y617" s="8">
        <f t="shared" si="15"/>
        <v>96.3</v>
      </c>
    </row>
    <row r="618">
      <c r="A618" s="2">
        <v>611.0</v>
      </c>
      <c r="B618" s="15">
        <f>IFERROR(__xludf.DUMMYFUNCTION("""COMPUTED_VALUE"""),43272.64583333333)</f>
        <v>43272.64583</v>
      </c>
      <c r="C618" s="8">
        <f>IFERROR(__xludf.DUMMYFUNCTION("""COMPUTED_VALUE"""),1858.9)</f>
        <v>1858.9</v>
      </c>
      <c r="E618" s="15">
        <f>IFERROR(__xludf.DUMMYFUNCTION("""COMPUTED_VALUE"""),43272.64583333333)</f>
        <v>43272.64583</v>
      </c>
      <c r="F618" s="8">
        <f>IFERROR(__xludf.DUMMYFUNCTION("""COMPUTED_VALUE"""),1028.8)</f>
        <v>1028.8</v>
      </c>
      <c r="H618" s="4">
        <f t="shared" si="1"/>
        <v>830.1</v>
      </c>
      <c r="I618" s="16">
        <f t="shared" si="2"/>
        <v>819.338</v>
      </c>
      <c r="J618" s="16">
        <f t="shared" si="3"/>
        <v>6.283133772</v>
      </c>
      <c r="K618" s="16">
        <f t="shared" si="4"/>
        <v>825.6211338</v>
      </c>
      <c r="L618" s="16">
        <f t="shared" si="5"/>
        <v>813.0548662</v>
      </c>
      <c r="N618" s="17" t="str">
        <f t="shared" si="6"/>
        <v>F</v>
      </c>
      <c r="O618" s="17" t="str">
        <f t="shared" si="7"/>
        <v>T</v>
      </c>
      <c r="P618" s="8">
        <f t="shared" si="8"/>
        <v>0</v>
      </c>
      <c r="R618" s="17" t="str">
        <f t="shared" si="9"/>
        <v>T</v>
      </c>
      <c r="S618" s="3" t="str">
        <f t="shared" si="10"/>
        <v>F</v>
      </c>
      <c r="T618" s="8">
        <f t="shared" si="11"/>
        <v>-1</v>
      </c>
      <c r="V618" s="4">
        <f t="shared" si="12"/>
        <v>-1</v>
      </c>
      <c r="W618" s="8">
        <f t="shared" si="13"/>
        <v>11.18</v>
      </c>
      <c r="X618" s="8">
        <f t="shared" si="14"/>
        <v>-11.18</v>
      </c>
      <c r="Y618" s="8">
        <f t="shared" si="15"/>
        <v>85.12</v>
      </c>
    </row>
    <row r="619">
      <c r="A619" s="2">
        <v>612.0</v>
      </c>
      <c r="B619" s="15">
        <f>IFERROR(__xludf.DUMMYFUNCTION("""COMPUTED_VALUE"""),43273.64583333333)</f>
        <v>43273.64583</v>
      </c>
      <c r="C619" s="8">
        <f>IFERROR(__xludf.DUMMYFUNCTION("""COMPUTED_VALUE"""),1906.75)</f>
        <v>1906.75</v>
      </c>
      <c r="E619" s="15">
        <f>IFERROR(__xludf.DUMMYFUNCTION("""COMPUTED_VALUE"""),43273.64583333333)</f>
        <v>43273.64583</v>
      </c>
      <c r="F619" s="8">
        <f>IFERROR(__xludf.DUMMYFUNCTION("""COMPUTED_VALUE"""),1041.68)</f>
        <v>1041.68</v>
      </c>
      <c r="H619" s="4">
        <f t="shared" si="1"/>
        <v>865.07</v>
      </c>
      <c r="I619" s="16">
        <f t="shared" si="2"/>
        <v>828.862</v>
      </c>
      <c r="J619" s="16">
        <f t="shared" si="3"/>
        <v>21.16736568</v>
      </c>
      <c r="K619" s="16">
        <f t="shared" si="4"/>
        <v>850.0293657</v>
      </c>
      <c r="L619" s="16">
        <f t="shared" si="5"/>
        <v>807.6946343</v>
      </c>
      <c r="N619" s="17" t="str">
        <f t="shared" si="6"/>
        <v>F</v>
      </c>
      <c r="O619" s="17" t="str">
        <f t="shared" si="7"/>
        <v>T</v>
      </c>
      <c r="P619" s="8">
        <f t="shared" si="8"/>
        <v>0</v>
      </c>
      <c r="R619" s="17" t="str">
        <f t="shared" si="9"/>
        <v>T</v>
      </c>
      <c r="S619" s="3" t="str">
        <f t="shared" si="10"/>
        <v>F</v>
      </c>
      <c r="T619" s="8">
        <f t="shared" si="11"/>
        <v>-1</v>
      </c>
      <c r="V619" s="4">
        <f t="shared" si="12"/>
        <v>-1</v>
      </c>
      <c r="W619" s="8">
        <f t="shared" si="13"/>
        <v>34.97</v>
      </c>
      <c r="X619" s="8">
        <f t="shared" si="14"/>
        <v>-34.97</v>
      </c>
      <c r="Y619" s="8">
        <f t="shared" si="15"/>
        <v>50.15</v>
      </c>
    </row>
    <row r="620">
      <c r="A620" s="2">
        <v>613.0</v>
      </c>
      <c r="B620" s="15">
        <f>IFERROR(__xludf.DUMMYFUNCTION("""COMPUTED_VALUE"""),43276.64583333333)</f>
        <v>43276.64583</v>
      </c>
      <c r="C620" s="8">
        <f>IFERROR(__xludf.DUMMYFUNCTION("""COMPUTED_VALUE"""),1893.8)</f>
        <v>1893.8</v>
      </c>
      <c r="E620" s="15">
        <f>IFERROR(__xludf.DUMMYFUNCTION("""COMPUTED_VALUE"""),43276.64583333333)</f>
        <v>43276.64583</v>
      </c>
      <c r="F620" s="8">
        <f>IFERROR(__xludf.DUMMYFUNCTION("""COMPUTED_VALUE"""),1047.47)</f>
        <v>1047.47</v>
      </c>
      <c r="H620" s="4">
        <f t="shared" si="1"/>
        <v>846.33</v>
      </c>
      <c r="I620" s="16">
        <f t="shared" si="2"/>
        <v>835.334</v>
      </c>
      <c r="J620" s="16">
        <f t="shared" si="3"/>
        <v>20.40928049</v>
      </c>
      <c r="K620" s="16">
        <f t="shared" si="4"/>
        <v>855.7432805</v>
      </c>
      <c r="L620" s="16">
        <f t="shared" si="5"/>
        <v>814.9247195</v>
      </c>
      <c r="N620" s="17" t="str">
        <f t="shared" si="6"/>
        <v>F</v>
      </c>
      <c r="O620" s="17" t="str">
        <f t="shared" si="7"/>
        <v>T</v>
      </c>
      <c r="P620" s="8">
        <f t="shared" si="8"/>
        <v>0</v>
      </c>
      <c r="R620" s="17" t="str">
        <f t="shared" si="9"/>
        <v>F</v>
      </c>
      <c r="S620" s="3" t="str">
        <f t="shared" si="10"/>
        <v>F</v>
      </c>
      <c r="T620" s="8">
        <f t="shared" si="11"/>
        <v>-1</v>
      </c>
      <c r="V620" s="4">
        <f t="shared" si="12"/>
        <v>-1</v>
      </c>
      <c r="W620" s="8">
        <f t="shared" si="13"/>
        <v>-18.74</v>
      </c>
      <c r="X620" s="8">
        <f t="shared" si="14"/>
        <v>18.74</v>
      </c>
      <c r="Y620" s="8">
        <f t="shared" si="15"/>
        <v>68.89</v>
      </c>
    </row>
    <row r="621">
      <c r="A621" s="2">
        <v>614.0</v>
      </c>
      <c r="B621" s="15">
        <f>IFERROR(__xludf.DUMMYFUNCTION("""COMPUTED_VALUE"""),43277.64583333333)</f>
        <v>43277.64583</v>
      </c>
      <c r="C621" s="8">
        <f>IFERROR(__xludf.DUMMYFUNCTION("""COMPUTED_VALUE"""),1915.85)</f>
        <v>1915.85</v>
      </c>
      <c r="E621" s="15">
        <f>IFERROR(__xludf.DUMMYFUNCTION("""COMPUTED_VALUE"""),43277.64583333333)</f>
        <v>43277.64583</v>
      </c>
      <c r="F621" s="8">
        <f>IFERROR(__xludf.DUMMYFUNCTION("""COMPUTED_VALUE"""),1046.85)</f>
        <v>1046.85</v>
      </c>
      <c r="H621" s="4">
        <f t="shared" si="1"/>
        <v>869</v>
      </c>
      <c r="I621" s="16">
        <f t="shared" si="2"/>
        <v>845.884</v>
      </c>
      <c r="J621" s="16">
        <f t="shared" si="3"/>
        <v>21.67281085</v>
      </c>
      <c r="K621" s="16">
        <f t="shared" si="4"/>
        <v>867.5568108</v>
      </c>
      <c r="L621" s="16">
        <f t="shared" si="5"/>
        <v>824.2111892</v>
      </c>
      <c r="N621" s="17" t="str">
        <f t="shared" si="6"/>
        <v>F</v>
      </c>
      <c r="O621" s="17" t="str">
        <f t="shared" si="7"/>
        <v>T</v>
      </c>
      <c r="P621" s="8">
        <f t="shared" si="8"/>
        <v>0</v>
      </c>
      <c r="R621" s="17" t="str">
        <f t="shared" si="9"/>
        <v>T</v>
      </c>
      <c r="S621" s="3" t="str">
        <f t="shared" si="10"/>
        <v>F</v>
      </c>
      <c r="T621" s="8">
        <f t="shared" si="11"/>
        <v>-1</v>
      </c>
      <c r="V621" s="4">
        <f t="shared" si="12"/>
        <v>-1</v>
      </c>
      <c r="W621" s="8">
        <f t="shared" si="13"/>
        <v>22.67</v>
      </c>
      <c r="X621" s="8">
        <f t="shared" si="14"/>
        <v>-22.67</v>
      </c>
      <c r="Y621" s="8">
        <f t="shared" si="15"/>
        <v>46.22</v>
      </c>
    </row>
    <row r="622">
      <c r="A622" s="2">
        <v>615.0</v>
      </c>
      <c r="B622" s="15">
        <f>IFERROR(__xludf.DUMMYFUNCTION("""COMPUTED_VALUE"""),43278.64583333333)</f>
        <v>43278.64583</v>
      </c>
      <c r="C622" s="8">
        <f>IFERROR(__xludf.DUMMYFUNCTION("""COMPUTED_VALUE"""),1904.85)</f>
        <v>1904.85</v>
      </c>
      <c r="E622" s="15">
        <f>IFERROR(__xludf.DUMMYFUNCTION("""COMPUTED_VALUE"""),43278.64583333333)</f>
        <v>43278.64583</v>
      </c>
      <c r="F622" s="8">
        <f>IFERROR(__xludf.DUMMYFUNCTION("""COMPUTED_VALUE"""),1056.3)</f>
        <v>1056.3</v>
      </c>
      <c r="H622" s="4">
        <f t="shared" si="1"/>
        <v>848.55</v>
      </c>
      <c r="I622" s="16">
        <f t="shared" si="2"/>
        <v>851.81</v>
      </c>
      <c r="J622" s="16">
        <f t="shared" si="3"/>
        <v>15.67885359</v>
      </c>
      <c r="K622" s="16">
        <f t="shared" si="4"/>
        <v>867.4888536</v>
      </c>
      <c r="L622" s="16">
        <f t="shared" si="5"/>
        <v>836.1311464</v>
      </c>
      <c r="N622" s="17" t="str">
        <f t="shared" si="6"/>
        <v>F</v>
      </c>
      <c r="O622" s="17" t="str">
        <f t="shared" si="7"/>
        <v>F</v>
      </c>
      <c r="P622" s="8">
        <f t="shared" si="8"/>
        <v>0</v>
      </c>
      <c r="R622" s="17" t="str">
        <f t="shared" si="9"/>
        <v>F</v>
      </c>
      <c r="S622" s="3" t="str">
        <f t="shared" si="10"/>
        <v>T</v>
      </c>
      <c r="T622" s="8">
        <f t="shared" si="11"/>
        <v>0</v>
      </c>
      <c r="V622" s="4">
        <f t="shared" si="12"/>
        <v>0</v>
      </c>
      <c r="W622" s="8">
        <f t="shared" si="13"/>
        <v>-20.45</v>
      </c>
      <c r="X622" s="8">
        <f t="shared" si="14"/>
        <v>20.45</v>
      </c>
      <c r="Y622" s="8">
        <f t="shared" si="15"/>
        <v>66.67</v>
      </c>
    </row>
    <row r="623">
      <c r="A623" s="2">
        <v>616.0</v>
      </c>
      <c r="B623" s="15">
        <f>IFERROR(__xludf.DUMMYFUNCTION("""COMPUTED_VALUE"""),43279.64583333333)</f>
        <v>43279.64583</v>
      </c>
      <c r="C623" s="8">
        <f>IFERROR(__xludf.DUMMYFUNCTION("""COMPUTED_VALUE"""),1878.0)</f>
        <v>1878</v>
      </c>
      <c r="E623" s="15">
        <f>IFERROR(__xludf.DUMMYFUNCTION("""COMPUTED_VALUE"""),43279.64583333333)</f>
        <v>43279.64583</v>
      </c>
      <c r="F623" s="8">
        <f>IFERROR(__xludf.DUMMYFUNCTION("""COMPUTED_VALUE"""),1065.43)</f>
        <v>1065.43</v>
      </c>
      <c r="H623" s="4">
        <f t="shared" si="1"/>
        <v>812.57</v>
      </c>
      <c r="I623" s="16">
        <f t="shared" si="2"/>
        <v>848.304</v>
      </c>
      <c r="J623" s="16">
        <f t="shared" si="3"/>
        <v>22.30638429</v>
      </c>
      <c r="K623" s="16">
        <f t="shared" si="4"/>
        <v>870.6103843</v>
      </c>
      <c r="L623" s="16">
        <f t="shared" si="5"/>
        <v>825.9976157</v>
      </c>
      <c r="N623" s="17" t="str">
        <f t="shared" si="6"/>
        <v>T</v>
      </c>
      <c r="O623" s="17" t="str">
        <f t="shared" si="7"/>
        <v>F</v>
      </c>
      <c r="P623" s="8">
        <f t="shared" si="8"/>
        <v>1</v>
      </c>
      <c r="R623" s="17" t="str">
        <f t="shared" si="9"/>
        <v>F</v>
      </c>
      <c r="S623" s="3" t="str">
        <f t="shared" si="10"/>
        <v>T</v>
      </c>
      <c r="T623" s="8">
        <f t="shared" si="11"/>
        <v>0</v>
      </c>
      <c r="V623" s="4">
        <f t="shared" si="12"/>
        <v>1</v>
      </c>
      <c r="W623" s="8">
        <f t="shared" si="13"/>
        <v>-35.98</v>
      </c>
      <c r="X623" s="8">
        <f t="shared" si="14"/>
        <v>0</v>
      </c>
      <c r="Y623" s="8">
        <f t="shared" si="15"/>
        <v>66.67</v>
      </c>
    </row>
    <row r="624">
      <c r="A624" s="2">
        <v>617.0</v>
      </c>
      <c r="B624" s="15">
        <f>IFERROR(__xludf.DUMMYFUNCTION("""COMPUTED_VALUE"""),43280.64583333333)</f>
        <v>43280.64583</v>
      </c>
      <c r="C624" s="8">
        <f>IFERROR(__xludf.DUMMYFUNCTION("""COMPUTED_VALUE"""),1908.1)</f>
        <v>1908.1</v>
      </c>
      <c r="E624" s="15">
        <f>IFERROR(__xludf.DUMMYFUNCTION("""COMPUTED_VALUE"""),43280.64583333333)</f>
        <v>43280.64583</v>
      </c>
      <c r="F624" s="8">
        <f>IFERROR(__xludf.DUMMYFUNCTION("""COMPUTED_VALUE"""),1054.22)</f>
        <v>1054.22</v>
      </c>
      <c r="H624" s="4">
        <f t="shared" si="1"/>
        <v>853.88</v>
      </c>
      <c r="I624" s="16">
        <f t="shared" si="2"/>
        <v>846.066</v>
      </c>
      <c r="J624" s="16">
        <f t="shared" si="3"/>
        <v>20.70778187</v>
      </c>
      <c r="K624" s="16">
        <f t="shared" si="4"/>
        <v>866.7737819</v>
      </c>
      <c r="L624" s="16">
        <f t="shared" si="5"/>
        <v>825.3582181</v>
      </c>
      <c r="N624" s="17" t="str">
        <f t="shared" si="6"/>
        <v>F</v>
      </c>
      <c r="O624" s="17" t="str">
        <f t="shared" si="7"/>
        <v>T</v>
      </c>
      <c r="P624" s="8">
        <f t="shared" si="8"/>
        <v>0</v>
      </c>
      <c r="R624" s="17" t="str">
        <f t="shared" si="9"/>
        <v>F</v>
      </c>
      <c r="S624" s="3" t="str">
        <f t="shared" si="10"/>
        <v>F</v>
      </c>
      <c r="T624" s="8">
        <f t="shared" si="11"/>
        <v>0</v>
      </c>
      <c r="V624" s="4">
        <f t="shared" si="12"/>
        <v>0</v>
      </c>
      <c r="W624" s="8">
        <f t="shared" si="13"/>
        <v>41.31</v>
      </c>
      <c r="X624" s="8">
        <f t="shared" si="14"/>
        <v>41.31</v>
      </c>
      <c r="Y624" s="8">
        <f t="shared" si="15"/>
        <v>107.98</v>
      </c>
    </row>
    <row r="625">
      <c r="A625" s="2">
        <v>618.0</v>
      </c>
      <c r="B625" s="15">
        <f>IFERROR(__xludf.DUMMYFUNCTION("""COMPUTED_VALUE"""),43283.64583333333)</f>
        <v>43283.64583</v>
      </c>
      <c r="C625" s="8">
        <f>IFERROR(__xludf.DUMMYFUNCTION("""COMPUTED_VALUE"""),1897.1)</f>
        <v>1897.1</v>
      </c>
      <c r="E625" s="15">
        <f>IFERROR(__xludf.DUMMYFUNCTION("""COMPUTED_VALUE"""),43283.64583333333)</f>
        <v>43283.64583</v>
      </c>
      <c r="F625" s="8">
        <f>IFERROR(__xludf.DUMMYFUNCTION("""COMPUTED_VALUE"""),1036.63)</f>
        <v>1036.63</v>
      </c>
      <c r="H625" s="4">
        <f t="shared" si="1"/>
        <v>860.47</v>
      </c>
      <c r="I625" s="16">
        <f t="shared" si="2"/>
        <v>848.894</v>
      </c>
      <c r="J625" s="16">
        <f t="shared" si="3"/>
        <v>21.69485262</v>
      </c>
      <c r="K625" s="16">
        <f t="shared" si="4"/>
        <v>870.5888526</v>
      </c>
      <c r="L625" s="16">
        <f t="shared" si="5"/>
        <v>827.1991474</v>
      </c>
      <c r="N625" s="17" t="str">
        <f t="shared" si="6"/>
        <v>F</v>
      </c>
      <c r="O625" s="17" t="str">
        <f t="shared" si="7"/>
        <v>T</v>
      </c>
      <c r="P625" s="8">
        <f t="shared" si="8"/>
        <v>0</v>
      </c>
      <c r="R625" s="17" t="str">
        <f t="shared" si="9"/>
        <v>F</v>
      </c>
      <c r="S625" s="3" t="str">
        <f t="shared" si="10"/>
        <v>F</v>
      </c>
      <c r="T625" s="8">
        <f t="shared" si="11"/>
        <v>0</v>
      </c>
      <c r="V625" s="4">
        <f t="shared" si="12"/>
        <v>0</v>
      </c>
      <c r="W625" s="8">
        <f t="shared" si="13"/>
        <v>6.59</v>
      </c>
      <c r="X625" s="8">
        <f t="shared" si="14"/>
        <v>0</v>
      </c>
      <c r="Y625" s="8">
        <f t="shared" si="15"/>
        <v>107.98</v>
      </c>
    </row>
    <row r="626">
      <c r="A626" s="2">
        <v>619.0</v>
      </c>
      <c r="B626" s="15">
        <f>IFERROR(__xludf.DUMMYFUNCTION("""COMPUTED_VALUE"""),43284.64583333333)</f>
        <v>43284.64583</v>
      </c>
      <c r="C626" s="8">
        <f>IFERROR(__xludf.DUMMYFUNCTION("""COMPUTED_VALUE"""),1879.7)</f>
        <v>1879.7</v>
      </c>
      <c r="E626" s="15">
        <f>IFERROR(__xludf.DUMMYFUNCTION("""COMPUTED_VALUE"""),43284.64583333333)</f>
        <v>43284.64583</v>
      </c>
      <c r="F626" s="8">
        <f>IFERROR(__xludf.DUMMYFUNCTION("""COMPUTED_VALUE"""),1035.1)</f>
        <v>1035.1</v>
      </c>
      <c r="H626" s="4">
        <f t="shared" si="1"/>
        <v>844.6</v>
      </c>
      <c r="I626" s="16">
        <f t="shared" si="2"/>
        <v>844.014</v>
      </c>
      <c r="J626" s="16">
        <f t="shared" si="3"/>
        <v>18.55924109</v>
      </c>
      <c r="K626" s="16">
        <f t="shared" si="4"/>
        <v>862.5732411</v>
      </c>
      <c r="L626" s="16">
        <f t="shared" si="5"/>
        <v>825.4547589</v>
      </c>
      <c r="N626" s="17" t="str">
        <f t="shared" si="6"/>
        <v>F</v>
      </c>
      <c r="O626" s="17" t="str">
        <f t="shared" si="7"/>
        <v>T</v>
      </c>
      <c r="P626" s="8">
        <f t="shared" si="8"/>
        <v>0</v>
      </c>
      <c r="R626" s="17" t="str">
        <f t="shared" si="9"/>
        <v>F</v>
      </c>
      <c r="S626" s="3" t="str">
        <f t="shared" si="10"/>
        <v>F</v>
      </c>
      <c r="T626" s="8">
        <f t="shared" si="11"/>
        <v>0</v>
      </c>
      <c r="V626" s="4">
        <f t="shared" si="12"/>
        <v>0</v>
      </c>
      <c r="W626" s="8">
        <f t="shared" si="13"/>
        <v>-15.87</v>
      </c>
      <c r="X626" s="8">
        <f t="shared" si="14"/>
        <v>0</v>
      </c>
      <c r="Y626" s="8">
        <f t="shared" si="15"/>
        <v>107.98</v>
      </c>
    </row>
    <row r="627">
      <c r="A627" s="2">
        <v>620.0</v>
      </c>
      <c r="B627" s="15">
        <f>IFERROR(__xludf.DUMMYFUNCTION("""COMPUTED_VALUE"""),43285.64583333333)</f>
        <v>43285.64583</v>
      </c>
      <c r="C627" s="8">
        <f>IFERROR(__xludf.DUMMYFUNCTION("""COMPUTED_VALUE"""),1922.5)</f>
        <v>1922.5</v>
      </c>
      <c r="E627" s="15">
        <f>IFERROR(__xludf.DUMMYFUNCTION("""COMPUTED_VALUE"""),43285.64583333333)</f>
        <v>43285.64583</v>
      </c>
      <c r="F627" s="8">
        <f>IFERROR(__xludf.DUMMYFUNCTION("""COMPUTED_VALUE"""),1051.78)</f>
        <v>1051.78</v>
      </c>
      <c r="H627" s="4">
        <f t="shared" si="1"/>
        <v>870.72</v>
      </c>
      <c r="I627" s="16">
        <f t="shared" si="2"/>
        <v>848.448</v>
      </c>
      <c r="J627" s="16">
        <f t="shared" si="3"/>
        <v>22.20425117</v>
      </c>
      <c r="K627" s="16">
        <f t="shared" si="4"/>
        <v>870.6522512</v>
      </c>
      <c r="L627" s="16">
        <f t="shared" si="5"/>
        <v>826.2437488</v>
      </c>
      <c r="N627" s="17" t="str">
        <f t="shared" si="6"/>
        <v>F</v>
      </c>
      <c r="O627" s="17" t="str">
        <f t="shared" si="7"/>
        <v>T</v>
      </c>
      <c r="P627" s="8">
        <f t="shared" si="8"/>
        <v>0</v>
      </c>
      <c r="R627" s="17" t="str">
        <f t="shared" si="9"/>
        <v>T</v>
      </c>
      <c r="S627" s="3" t="str">
        <f t="shared" si="10"/>
        <v>F</v>
      </c>
      <c r="T627" s="8">
        <f t="shared" si="11"/>
        <v>-1</v>
      </c>
      <c r="V627" s="4">
        <f t="shared" si="12"/>
        <v>-1</v>
      </c>
      <c r="W627" s="8">
        <f t="shared" si="13"/>
        <v>26.12</v>
      </c>
      <c r="X627" s="8">
        <f t="shared" si="14"/>
        <v>0</v>
      </c>
      <c r="Y627" s="8">
        <f t="shared" si="15"/>
        <v>107.98</v>
      </c>
    </row>
    <row r="628">
      <c r="A628" s="2">
        <v>621.0</v>
      </c>
      <c r="B628" s="15">
        <f>IFERROR(__xludf.DUMMYFUNCTION("""COMPUTED_VALUE"""),43286.64583333333)</f>
        <v>43286.64583</v>
      </c>
      <c r="C628" s="8">
        <f>IFERROR(__xludf.DUMMYFUNCTION("""COMPUTED_VALUE"""),1931.05)</f>
        <v>1931.05</v>
      </c>
      <c r="E628" s="15">
        <f>IFERROR(__xludf.DUMMYFUNCTION("""COMPUTED_VALUE"""),43286.64583333333)</f>
        <v>43286.64583</v>
      </c>
      <c r="F628" s="8">
        <f>IFERROR(__xludf.DUMMYFUNCTION("""COMPUTED_VALUE"""),1061.88)</f>
        <v>1061.88</v>
      </c>
      <c r="H628" s="4">
        <f t="shared" si="1"/>
        <v>869.17</v>
      </c>
      <c r="I628" s="16">
        <f t="shared" si="2"/>
        <v>859.768</v>
      </c>
      <c r="J628" s="16">
        <f t="shared" si="3"/>
        <v>10.88087175</v>
      </c>
      <c r="K628" s="16">
        <f t="shared" si="4"/>
        <v>870.6488717</v>
      </c>
      <c r="L628" s="16">
        <f t="shared" si="5"/>
        <v>848.8871283</v>
      </c>
      <c r="N628" s="17" t="str">
        <f t="shared" si="6"/>
        <v>F</v>
      </c>
      <c r="O628" s="17" t="str">
        <f t="shared" si="7"/>
        <v>T</v>
      </c>
      <c r="P628" s="8">
        <f t="shared" si="8"/>
        <v>0</v>
      </c>
      <c r="R628" s="17" t="str">
        <f t="shared" si="9"/>
        <v>F</v>
      </c>
      <c r="S628" s="3" t="str">
        <f t="shared" si="10"/>
        <v>F</v>
      </c>
      <c r="T628" s="8">
        <f t="shared" si="11"/>
        <v>-1</v>
      </c>
      <c r="V628" s="4">
        <f t="shared" si="12"/>
        <v>-1</v>
      </c>
      <c r="W628" s="8">
        <f t="shared" si="13"/>
        <v>-1.55</v>
      </c>
      <c r="X628" s="8">
        <f t="shared" si="14"/>
        <v>1.55</v>
      </c>
      <c r="Y628" s="8">
        <f t="shared" si="15"/>
        <v>109.53</v>
      </c>
    </row>
    <row r="629">
      <c r="A629" s="2">
        <v>622.0</v>
      </c>
      <c r="B629" s="15">
        <f>IFERROR(__xludf.DUMMYFUNCTION("""COMPUTED_VALUE"""),43287.64583333333)</f>
        <v>43287.64583</v>
      </c>
      <c r="C629" s="8">
        <f>IFERROR(__xludf.DUMMYFUNCTION("""COMPUTED_VALUE"""),1916.85)</f>
        <v>1916.85</v>
      </c>
      <c r="E629" s="15">
        <f>IFERROR(__xludf.DUMMYFUNCTION("""COMPUTED_VALUE"""),43287.64583333333)</f>
        <v>43287.64583</v>
      </c>
      <c r="F629" s="8">
        <f>IFERROR(__xludf.DUMMYFUNCTION("""COMPUTED_VALUE"""),1057.58)</f>
        <v>1057.58</v>
      </c>
      <c r="H629" s="4">
        <f t="shared" si="1"/>
        <v>859.27</v>
      </c>
      <c r="I629" s="16">
        <f t="shared" si="2"/>
        <v>860.846</v>
      </c>
      <c r="J629" s="16">
        <f t="shared" si="3"/>
        <v>10.40844033</v>
      </c>
      <c r="K629" s="16">
        <f t="shared" si="4"/>
        <v>871.2544403</v>
      </c>
      <c r="L629" s="16">
        <f t="shared" si="5"/>
        <v>850.4375597</v>
      </c>
      <c r="N629" s="17" t="str">
        <f t="shared" si="6"/>
        <v>F</v>
      </c>
      <c r="O629" s="17" t="str">
        <f t="shared" si="7"/>
        <v>F</v>
      </c>
      <c r="P629" s="8">
        <f t="shared" si="8"/>
        <v>0</v>
      </c>
      <c r="R629" s="17" t="str">
        <f t="shared" si="9"/>
        <v>F</v>
      </c>
      <c r="S629" s="3" t="str">
        <f t="shared" si="10"/>
        <v>T</v>
      </c>
      <c r="T629" s="8">
        <f t="shared" si="11"/>
        <v>0</v>
      </c>
      <c r="V629" s="4">
        <f t="shared" si="12"/>
        <v>0</v>
      </c>
      <c r="W629" s="8">
        <f t="shared" si="13"/>
        <v>-9.9</v>
      </c>
      <c r="X629" s="8">
        <f t="shared" si="14"/>
        <v>9.9</v>
      </c>
      <c r="Y629" s="8">
        <f t="shared" si="15"/>
        <v>119.43</v>
      </c>
    </row>
    <row r="630">
      <c r="A630" s="2">
        <v>623.0</v>
      </c>
      <c r="B630" s="15">
        <f>IFERROR(__xludf.DUMMYFUNCTION("""COMPUTED_VALUE"""),43290.64583333333)</f>
        <v>43290.64583</v>
      </c>
      <c r="C630" s="8">
        <f>IFERROR(__xludf.DUMMYFUNCTION("""COMPUTED_VALUE"""),1904.9)</f>
        <v>1904.9</v>
      </c>
      <c r="E630" s="15">
        <f>IFERROR(__xludf.DUMMYFUNCTION("""COMPUTED_VALUE"""),43290.64583333333)</f>
        <v>43290.64583</v>
      </c>
      <c r="F630" s="8">
        <f>IFERROR(__xludf.DUMMYFUNCTION("""COMPUTED_VALUE"""),1062.83)</f>
        <v>1062.83</v>
      </c>
      <c r="H630" s="4">
        <f t="shared" si="1"/>
        <v>842.07</v>
      </c>
      <c r="I630" s="16">
        <f t="shared" si="2"/>
        <v>857.166</v>
      </c>
      <c r="J630" s="16">
        <f t="shared" si="3"/>
        <v>13.3980159</v>
      </c>
      <c r="K630" s="16">
        <f t="shared" si="4"/>
        <v>870.5640159</v>
      </c>
      <c r="L630" s="16">
        <f t="shared" si="5"/>
        <v>843.7679841</v>
      </c>
      <c r="N630" s="17" t="str">
        <f t="shared" si="6"/>
        <v>T</v>
      </c>
      <c r="O630" s="17" t="str">
        <f t="shared" si="7"/>
        <v>F</v>
      </c>
      <c r="P630" s="8">
        <f t="shared" si="8"/>
        <v>1</v>
      </c>
      <c r="R630" s="17" t="str">
        <f t="shared" si="9"/>
        <v>F</v>
      </c>
      <c r="S630" s="3" t="str">
        <f t="shared" si="10"/>
        <v>T</v>
      </c>
      <c r="T630" s="8">
        <f t="shared" si="11"/>
        <v>0</v>
      </c>
      <c r="V630" s="4">
        <f t="shared" si="12"/>
        <v>1</v>
      </c>
      <c r="W630" s="8">
        <f t="shared" si="13"/>
        <v>-17.2</v>
      </c>
      <c r="X630" s="8">
        <f t="shared" si="14"/>
        <v>0</v>
      </c>
      <c r="Y630" s="8">
        <f t="shared" si="15"/>
        <v>119.43</v>
      </c>
    </row>
    <row r="631">
      <c r="A631" s="2">
        <v>624.0</v>
      </c>
      <c r="B631" s="15">
        <f>IFERROR(__xludf.DUMMYFUNCTION("""COMPUTED_VALUE"""),43291.64583333333)</f>
        <v>43291.64583</v>
      </c>
      <c r="C631" s="8">
        <f>IFERROR(__xludf.DUMMYFUNCTION("""COMPUTED_VALUE"""),1942.55)</f>
        <v>1942.55</v>
      </c>
      <c r="E631" s="15">
        <f>IFERROR(__xludf.DUMMYFUNCTION("""COMPUTED_VALUE"""),43291.64583333333)</f>
        <v>43291.64583</v>
      </c>
      <c r="F631" s="8">
        <f>IFERROR(__xludf.DUMMYFUNCTION("""COMPUTED_VALUE"""),1073.2)</f>
        <v>1073.2</v>
      </c>
      <c r="H631" s="4">
        <f t="shared" si="1"/>
        <v>869.35</v>
      </c>
      <c r="I631" s="16">
        <f t="shared" si="2"/>
        <v>862.116</v>
      </c>
      <c r="J631" s="16">
        <f t="shared" si="3"/>
        <v>12.10434137</v>
      </c>
      <c r="K631" s="16">
        <f t="shared" si="4"/>
        <v>874.2203414</v>
      </c>
      <c r="L631" s="16">
        <f t="shared" si="5"/>
        <v>850.0116586</v>
      </c>
      <c r="N631" s="17" t="str">
        <f t="shared" si="6"/>
        <v>F</v>
      </c>
      <c r="O631" s="17" t="str">
        <f t="shared" si="7"/>
        <v>T</v>
      </c>
      <c r="P631" s="8">
        <f t="shared" si="8"/>
        <v>0</v>
      </c>
      <c r="R631" s="17" t="str">
        <f t="shared" si="9"/>
        <v>F</v>
      </c>
      <c r="S631" s="3" t="str">
        <f t="shared" si="10"/>
        <v>F</v>
      </c>
      <c r="T631" s="8">
        <f t="shared" si="11"/>
        <v>0</v>
      </c>
      <c r="V631" s="4">
        <f t="shared" si="12"/>
        <v>0</v>
      </c>
      <c r="W631" s="8">
        <f t="shared" si="13"/>
        <v>27.28</v>
      </c>
      <c r="X631" s="8">
        <f t="shared" si="14"/>
        <v>27.28</v>
      </c>
      <c r="Y631" s="8">
        <f t="shared" si="15"/>
        <v>146.71</v>
      </c>
    </row>
    <row r="632">
      <c r="A632" s="2">
        <v>625.0</v>
      </c>
      <c r="B632" s="15">
        <f>IFERROR(__xludf.DUMMYFUNCTION("""COMPUTED_VALUE"""),43292.64583333333)</f>
        <v>43292.64583</v>
      </c>
      <c r="C632" s="8">
        <f>IFERROR(__xludf.DUMMYFUNCTION("""COMPUTED_VALUE"""),1928.1)</f>
        <v>1928.1</v>
      </c>
      <c r="E632" s="15">
        <f>IFERROR(__xludf.DUMMYFUNCTION("""COMPUTED_VALUE"""),43292.64583333333)</f>
        <v>43292.64583</v>
      </c>
      <c r="F632" s="8">
        <f>IFERROR(__xludf.DUMMYFUNCTION("""COMPUTED_VALUE"""),1074.13)</f>
        <v>1074.13</v>
      </c>
      <c r="H632" s="4">
        <f t="shared" si="1"/>
        <v>853.97</v>
      </c>
      <c r="I632" s="16">
        <f t="shared" si="2"/>
        <v>858.766</v>
      </c>
      <c r="J632" s="16">
        <f t="shared" si="3"/>
        <v>11.42668281</v>
      </c>
      <c r="K632" s="16">
        <f t="shared" si="4"/>
        <v>870.1926828</v>
      </c>
      <c r="L632" s="16">
        <f t="shared" si="5"/>
        <v>847.3393172</v>
      </c>
      <c r="N632" s="17" t="str">
        <f t="shared" si="6"/>
        <v>F</v>
      </c>
      <c r="O632" s="17" t="str">
        <f t="shared" si="7"/>
        <v>F</v>
      </c>
      <c r="P632" s="8">
        <f t="shared" si="8"/>
        <v>0</v>
      </c>
      <c r="R632" s="17" t="str">
        <f t="shared" si="9"/>
        <v>F</v>
      </c>
      <c r="S632" s="3" t="str">
        <f t="shared" si="10"/>
        <v>T</v>
      </c>
      <c r="T632" s="8">
        <f t="shared" si="11"/>
        <v>0</v>
      </c>
      <c r="V632" s="4">
        <f t="shared" si="12"/>
        <v>0</v>
      </c>
      <c r="W632" s="8">
        <f t="shared" si="13"/>
        <v>-15.38</v>
      </c>
      <c r="X632" s="8">
        <f t="shared" si="14"/>
        <v>0</v>
      </c>
      <c r="Y632" s="8">
        <f t="shared" si="15"/>
        <v>146.71</v>
      </c>
    </row>
    <row r="633">
      <c r="A633" s="2">
        <v>626.0</v>
      </c>
      <c r="B633" s="15">
        <f>IFERROR(__xludf.DUMMYFUNCTION("""COMPUTED_VALUE"""),43293.64583333333)</f>
        <v>43293.64583</v>
      </c>
      <c r="C633" s="8">
        <f>IFERROR(__xludf.DUMMYFUNCTION("""COMPUTED_VALUE"""),1962.7)</f>
        <v>1962.7</v>
      </c>
      <c r="E633" s="15">
        <f>IFERROR(__xludf.DUMMYFUNCTION("""COMPUTED_VALUE"""),43293.64583333333)</f>
        <v>43293.64583</v>
      </c>
      <c r="F633" s="8">
        <f>IFERROR(__xludf.DUMMYFUNCTION("""COMPUTED_VALUE"""),1082.97)</f>
        <v>1082.97</v>
      </c>
      <c r="H633" s="4">
        <f t="shared" si="1"/>
        <v>879.73</v>
      </c>
      <c r="I633" s="16">
        <f t="shared" si="2"/>
        <v>860.878</v>
      </c>
      <c r="J633" s="16">
        <f t="shared" si="3"/>
        <v>14.41544033</v>
      </c>
      <c r="K633" s="16">
        <f t="shared" si="4"/>
        <v>875.2934403</v>
      </c>
      <c r="L633" s="16">
        <f t="shared" si="5"/>
        <v>846.4625597</v>
      </c>
      <c r="N633" s="17" t="str">
        <f t="shared" si="6"/>
        <v>F</v>
      </c>
      <c r="O633" s="17" t="str">
        <f t="shared" si="7"/>
        <v>T</v>
      </c>
      <c r="P633" s="8">
        <f t="shared" si="8"/>
        <v>0</v>
      </c>
      <c r="R633" s="17" t="str">
        <f t="shared" si="9"/>
        <v>T</v>
      </c>
      <c r="S633" s="3" t="str">
        <f t="shared" si="10"/>
        <v>F</v>
      </c>
      <c r="T633" s="8">
        <f t="shared" si="11"/>
        <v>-1</v>
      </c>
      <c r="V633" s="4">
        <f t="shared" si="12"/>
        <v>-1</v>
      </c>
      <c r="W633" s="8">
        <f t="shared" si="13"/>
        <v>25.76</v>
      </c>
      <c r="X633" s="8">
        <f t="shared" si="14"/>
        <v>0</v>
      </c>
      <c r="Y633" s="8">
        <f t="shared" si="15"/>
        <v>146.71</v>
      </c>
    </row>
    <row r="634">
      <c r="A634" s="2">
        <v>627.0</v>
      </c>
      <c r="B634" s="15">
        <f>IFERROR(__xludf.DUMMYFUNCTION("""COMPUTED_VALUE"""),43294.64583333333)</f>
        <v>43294.64583</v>
      </c>
      <c r="C634" s="8">
        <f>IFERROR(__xludf.DUMMYFUNCTION("""COMPUTED_VALUE"""),1972.5)</f>
        <v>1972.5</v>
      </c>
      <c r="E634" s="15">
        <f>IFERROR(__xludf.DUMMYFUNCTION("""COMPUTED_VALUE"""),43294.64583333333)</f>
        <v>43294.64583</v>
      </c>
      <c r="F634" s="8">
        <f>IFERROR(__xludf.DUMMYFUNCTION("""COMPUTED_VALUE"""),1090.45)</f>
        <v>1090.45</v>
      </c>
      <c r="H634" s="4">
        <f t="shared" si="1"/>
        <v>882.05</v>
      </c>
      <c r="I634" s="16">
        <f t="shared" si="2"/>
        <v>865.434</v>
      </c>
      <c r="J634" s="16">
        <f t="shared" si="3"/>
        <v>17.12528773</v>
      </c>
      <c r="K634" s="16">
        <f t="shared" si="4"/>
        <v>882.5592877</v>
      </c>
      <c r="L634" s="16">
        <f t="shared" si="5"/>
        <v>848.3087123</v>
      </c>
      <c r="N634" s="17" t="str">
        <f t="shared" si="6"/>
        <v>F</v>
      </c>
      <c r="O634" s="17" t="str">
        <f t="shared" si="7"/>
        <v>T</v>
      </c>
      <c r="P634" s="8">
        <f t="shared" si="8"/>
        <v>0</v>
      </c>
      <c r="R634" s="17" t="str">
        <f t="shared" si="9"/>
        <v>F</v>
      </c>
      <c r="S634" s="3" t="str">
        <f t="shared" si="10"/>
        <v>F</v>
      </c>
      <c r="T634" s="8">
        <f t="shared" si="11"/>
        <v>-1</v>
      </c>
      <c r="V634" s="4">
        <f t="shared" si="12"/>
        <v>-1</v>
      </c>
      <c r="W634" s="8">
        <f t="shared" si="13"/>
        <v>2.32</v>
      </c>
      <c r="X634" s="8">
        <f t="shared" si="14"/>
        <v>-2.32</v>
      </c>
      <c r="Y634" s="8">
        <f t="shared" si="15"/>
        <v>144.39</v>
      </c>
    </row>
    <row r="635">
      <c r="A635" s="2">
        <v>628.0</v>
      </c>
      <c r="B635" s="15">
        <f>IFERROR(__xludf.DUMMYFUNCTION("""COMPUTED_VALUE"""),43297.64583333333)</f>
        <v>43297.64583</v>
      </c>
      <c r="C635" s="8">
        <f>IFERROR(__xludf.DUMMYFUNCTION("""COMPUTED_VALUE"""),1991.2)</f>
        <v>1991.2</v>
      </c>
      <c r="E635" s="15">
        <f>IFERROR(__xludf.DUMMYFUNCTION("""COMPUTED_VALUE"""),43297.64583333333)</f>
        <v>43297.64583</v>
      </c>
      <c r="F635" s="8">
        <f>IFERROR(__xludf.DUMMYFUNCTION("""COMPUTED_VALUE"""),1084.43)</f>
        <v>1084.43</v>
      </c>
      <c r="H635" s="4">
        <f t="shared" si="1"/>
        <v>906.77</v>
      </c>
      <c r="I635" s="16">
        <f t="shared" si="2"/>
        <v>878.374</v>
      </c>
      <c r="J635" s="16">
        <f t="shared" si="3"/>
        <v>19.3563447</v>
      </c>
      <c r="K635" s="16">
        <f t="shared" si="4"/>
        <v>897.7303447</v>
      </c>
      <c r="L635" s="16">
        <f t="shared" si="5"/>
        <v>859.0176553</v>
      </c>
      <c r="N635" s="17" t="str">
        <f t="shared" si="6"/>
        <v>F</v>
      </c>
      <c r="O635" s="17" t="str">
        <f t="shared" si="7"/>
        <v>T</v>
      </c>
      <c r="P635" s="8">
        <f t="shared" si="8"/>
        <v>0</v>
      </c>
      <c r="R635" s="17" t="str">
        <f t="shared" si="9"/>
        <v>T</v>
      </c>
      <c r="S635" s="3" t="str">
        <f t="shared" si="10"/>
        <v>F</v>
      </c>
      <c r="T635" s="8">
        <f t="shared" si="11"/>
        <v>-1</v>
      </c>
      <c r="V635" s="4">
        <f t="shared" si="12"/>
        <v>-1</v>
      </c>
      <c r="W635" s="8">
        <f t="shared" si="13"/>
        <v>24.72</v>
      </c>
      <c r="X635" s="8">
        <f t="shared" si="14"/>
        <v>-24.72</v>
      </c>
      <c r="Y635" s="8">
        <f t="shared" si="15"/>
        <v>119.67</v>
      </c>
    </row>
    <row r="636">
      <c r="A636" s="2">
        <v>629.0</v>
      </c>
      <c r="B636" s="15">
        <f>IFERROR(__xludf.DUMMYFUNCTION("""COMPUTED_VALUE"""),43298.64583333333)</f>
        <v>43298.64583</v>
      </c>
      <c r="C636" s="8">
        <f>IFERROR(__xludf.DUMMYFUNCTION("""COMPUTED_VALUE"""),1989.3)</f>
        <v>1989.3</v>
      </c>
      <c r="E636" s="15">
        <f>IFERROR(__xludf.DUMMYFUNCTION("""COMPUTED_VALUE"""),43298.64583333333)</f>
        <v>43298.64583</v>
      </c>
      <c r="F636" s="8">
        <f>IFERROR(__xludf.DUMMYFUNCTION("""COMPUTED_VALUE"""),1088.38)</f>
        <v>1088.38</v>
      </c>
      <c r="H636" s="4">
        <f t="shared" si="1"/>
        <v>900.92</v>
      </c>
      <c r="I636" s="16">
        <f t="shared" si="2"/>
        <v>884.688</v>
      </c>
      <c r="J636" s="16">
        <f t="shared" si="3"/>
        <v>20.77395533</v>
      </c>
      <c r="K636" s="16">
        <f t="shared" si="4"/>
        <v>905.4619553</v>
      </c>
      <c r="L636" s="16">
        <f t="shared" si="5"/>
        <v>863.9140447</v>
      </c>
      <c r="N636" s="17" t="str">
        <f t="shared" si="6"/>
        <v>F</v>
      </c>
      <c r="O636" s="17" t="str">
        <f t="shared" si="7"/>
        <v>T</v>
      </c>
      <c r="P636" s="8">
        <f t="shared" si="8"/>
        <v>0</v>
      </c>
      <c r="R636" s="17" t="str">
        <f t="shared" si="9"/>
        <v>F</v>
      </c>
      <c r="S636" s="3" t="str">
        <f t="shared" si="10"/>
        <v>F</v>
      </c>
      <c r="T636" s="8">
        <f t="shared" si="11"/>
        <v>-1</v>
      </c>
      <c r="V636" s="4">
        <f t="shared" si="12"/>
        <v>-1</v>
      </c>
      <c r="W636" s="8">
        <f t="shared" si="13"/>
        <v>-5.85</v>
      </c>
      <c r="X636" s="8">
        <f t="shared" si="14"/>
        <v>5.85</v>
      </c>
      <c r="Y636" s="8">
        <f t="shared" si="15"/>
        <v>125.52</v>
      </c>
    </row>
    <row r="637">
      <c r="A637" s="2">
        <v>630.0</v>
      </c>
      <c r="B637" s="15">
        <f>IFERROR(__xludf.DUMMYFUNCTION("""COMPUTED_VALUE"""),43299.64583333333)</f>
        <v>43299.64583</v>
      </c>
      <c r="C637" s="8">
        <f>IFERROR(__xludf.DUMMYFUNCTION("""COMPUTED_VALUE"""),2009.45)</f>
        <v>2009.45</v>
      </c>
      <c r="E637" s="15">
        <f>IFERROR(__xludf.DUMMYFUNCTION("""COMPUTED_VALUE"""),43299.64583333333)</f>
        <v>43299.64583</v>
      </c>
      <c r="F637" s="8">
        <f>IFERROR(__xludf.DUMMYFUNCTION("""COMPUTED_VALUE"""),1088.1)</f>
        <v>1088.1</v>
      </c>
      <c r="H637" s="4">
        <f t="shared" si="1"/>
        <v>921.35</v>
      </c>
      <c r="I637" s="16">
        <f t="shared" si="2"/>
        <v>898.164</v>
      </c>
      <c r="J637" s="16">
        <f t="shared" si="3"/>
        <v>17.4551047</v>
      </c>
      <c r="K637" s="16">
        <f t="shared" si="4"/>
        <v>915.6191047</v>
      </c>
      <c r="L637" s="16">
        <f t="shared" si="5"/>
        <v>880.7088953</v>
      </c>
      <c r="N637" s="17" t="str">
        <f t="shared" si="6"/>
        <v>F</v>
      </c>
      <c r="O637" s="17" t="str">
        <f t="shared" si="7"/>
        <v>T</v>
      </c>
      <c r="P637" s="8">
        <f t="shared" si="8"/>
        <v>0</v>
      </c>
      <c r="R637" s="17" t="str">
        <f t="shared" si="9"/>
        <v>T</v>
      </c>
      <c r="S637" s="3" t="str">
        <f t="shared" si="10"/>
        <v>F</v>
      </c>
      <c r="T637" s="8">
        <f t="shared" si="11"/>
        <v>-1</v>
      </c>
      <c r="V637" s="4">
        <f t="shared" si="12"/>
        <v>-1</v>
      </c>
      <c r="W637" s="8">
        <f t="shared" si="13"/>
        <v>20.43</v>
      </c>
      <c r="X637" s="8">
        <f t="shared" si="14"/>
        <v>-20.43</v>
      </c>
      <c r="Y637" s="8">
        <f t="shared" si="15"/>
        <v>105.09</v>
      </c>
    </row>
    <row r="638">
      <c r="A638" s="2">
        <v>631.0</v>
      </c>
      <c r="B638" s="15">
        <f>IFERROR(__xludf.DUMMYFUNCTION("""COMPUTED_VALUE"""),43300.64583333333)</f>
        <v>43300.64583</v>
      </c>
      <c r="C638" s="8">
        <f>IFERROR(__xludf.DUMMYFUNCTION("""COMPUTED_VALUE"""),1988.4)</f>
        <v>1988.4</v>
      </c>
      <c r="E638" s="15">
        <f>IFERROR(__xludf.DUMMYFUNCTION("""COMPUTED_VALUE"""),43300.64583333333)</f>
        <v>43300.64583</v>
      </c>
      <c r="F638" s="8">
        <f>IFERROR(__xludf.DUMMYFUNCTION("""COMPUTED_VALUE"""),1093.05)</f>
        <v>1093.05</v>
      </c>
      <c r="H638" s="4">
        <f t="shared" si="1"/>
        <v>895.35</v>
      </c>
      <c r="I638" s="16">
        <f t="shared" si="2"/>
        <v>901.288</v>
      </c>
      <c r="J638" s="16">
        <f t="shared" si="3"/>
        <v>14.47439187</v>
      </c>
      <c r="K638" s="16">
        <f t="shared" si="4"/>
        <v>915.7623919</v>
      </c>
      <c r="L638" s="16">
        <f t="shared" si="5"/>
        <v>886.8136081</v>
      </c>
      <c r="N638" s="17" t="str">
        <f t="shared" si="6"/>
        <v>F</v>
      </c>
      <c r="O638" s="17" t="str">
        <f t="shared" si="7"/>
        <v>F</v>
      </c>
      <c r="P638" s="8">
        <f t="shared" si="8"/>
        <v>0</v>
      </c>
      <c r="R638" s="17" t="str">
        <f t="shared" si="9"/>
        <v>F</v>
      </c>
      <c r="S638" s="3" t="str">
        <f t="shared" si="10"/>
        <v>T</v>
      </c>
      <c r="T638" s="8">
        <f t="shared" si="11"/>
        <v>0</v>
      </c>
      <c r="V638" s="4">
        <f t="shared" si="12"/>
        <v>0</v>
      </c>
      <c r="W638" s="8">
        <f t="shared" si="13"/>
        <v>-26</v>
      </c>
      <c r="X638" s="8">
        <f t="shared" si="14"/>
        <v>26</v>
      </c>
      <c r="Y638" s="8">
        <f t="shared" si="15"/>
        <v>131.09</v>
      </c>
    </row>
    <row r="639">
      <c r="A639" s="2">
        <v>632.0</v>
      </c>
      <c r="B639" s="15">
        <f>IFERROR(__xludf.DUMMYFUNCTION("""COMPUTED_VALUE"""),43301.64583333333)</f>
        <v>43301.64583</v>
      </c>
      <c r="C639" s="8">
        <f>IFERROR(__xludf.DUMMYFUNCTION("""COMPUTED_VALUE"""),1973.85)</f>
        <v>1973.85</v>
      </c>
      <c r="E639" s="15">
        <f>IFERROR(__xludf.DUMMYFUNCTION("""COMPUTED_VALUE"""),43301.64583333333)</f>
        <v>43301.64583</v>
      </c>
      <c r="F639" s="8">
        <f>IFERROR(__xludf.DUMMYFUNCTION("""COMPUTED_VALUE"""),1094.53)</f>
        <v>1094.53</v>
      </c>
      <c r="H639" s="4">
        <f t="shared" si="1"/>
        <v>879.32</v>
      </c>
      <c r="I639" s="16">
        <f t="shared" si="2"/>
        <v>900.742</v>
      </c>
      <c r="J639" s="16">
        <f t="shared" si="3"/>
        <v>15.40319675</v>
      </c>
      <c r="K639" s="16">
        <f t="shared" si="4"/>
        <v>916.1451967</v>
      </c>
      <c r="L639" s="16">
        <f t="shared" si="5"/>
        <v>885.3388033</v>
      </c>
      <c r="N639" s="17" t="str">
        <f t="shared" si="6"/>
        <v>T</v>
      </c>
      <c r="O639" s="17" t="str">
        <f t="shared" si="7"/>
        <v>F</v>
      </c>
      <c r="P639" s="8">
        <f t="shared" si="8"/>
        <v>1</v>
      </c>
      <c r="R639" s="17" t="str">
        <f t="shared" si="9"/>
        <v>F</v>
      </c>
      <c r="S639" s="3" t="str">
        <f t="shared" si="10"/>
        <v>T</v>
      </c>
      <c r="T639" s="8">
        <f t="shared" si="11"/>
        <v>0</v>
      </c>
      <c r="V639" s="4">
        <f t="shared" si="12"/>
        <v>1</v>
      </c>
      <c r="W639" s="8">
        <f t="shared" si="13"/>
        <v>-16.03</v>
      </c>
      <c r="X639" s="8">
        <f t="shared" si="14"/>
        <v>0</v>
      </c>
      <c r="Y639" s="8">
        <f t="shared" si="15"/>
        <v>131.09</v>
      </c>
    </row>
    <row r="640">
      <c r="A640" s="2">
        <v>633.0</v>
      </c>
      <c r="B640" s="15">
        <f>IFERROR(__xludf.DUMMYFUNCTION("""COMPUTED_VALUE"""),43304.64583333333)</f>
        <v>43304.64583</v>
      </c>
      <c r="C640" s="8">
        <f>IFERROR(__xludf.DUMMYFUNCTION("""COMPUTED_VALUE"""),1966.85)</f>
        <v>1966.85</v>
      </c>
      <c r="E640" s="15">
        <f>IFERROR(__xludf.DUMMYFUNCTION("""COMPUTED_VALUE"""),43304.64583333333)</f>
        <v>43304.64583</v>
      </c>
      <c r="F640" s="8">
        <f>IFERROR(__xludf.DUMMYFUNCTION("""COMPUTED_VALUE"""),1078.22)</f>
        <v>1078.22</v>
      </c>
      <c r="H640" s="4">
        <f t="shared" si="1"/>
        <v>888.63</v>
      </c>
      <c r="I640" s="16">
        <f t="shared" si="2"/>
        <v>897.114</v>
      </c>
      <c r="J640" s="16">
        <f t="shared" si="3"/>
        <v>15.76059739</v>
      </c>
      <c r="K640" s="16">
        <f t="shared" si="4"/>
        <v>912.8745974</v>
      </c>
      <c r="L640" s="16">
        <f t="shared" si="5"/>
        <v>881.3534026</v>
      </c>
      <c r="N640" s="17" t="str">
        <f t="shared" si="6"/>
        <v>F</v>
      </c>
      <c r="O640" s="17" t="str">
        <f t="shared" si="7"/>
        <v>F</v>
      </c>
      <c r="P640" s="8">
        <f t="shared" si="8"/>
        <v>1</v>
      </c>
      <c r="R640" s="17" t="str">
        <f t="shared" si="9"/>
        <v>F</v>
      </c>
      <c r="S640" s="3" t="str">
        <f t="shared" si="10"/>
        <v>T</v>
      </c>
      <c r="T640" s="8">
        <f t="shared" si="11"/>
        <v>0</v>
      </c>
      <c r="V640" s="4">
        <f t="shared" si="12"/>
        <v>1</v>
      </c>
      <c r="W640" s="8">
        <f t="shared" si="13"/>
        <v>9.31</v>
      </c>
      <c r="X640" s="8">
        <f t="shared" si="14"/>
        <v>9.31</v>
      </c>
      <c r="Y640" s="8">
        <f t="shared" si="15"/>
        <v>140.4</v>
      </c>
    </row>
    <row r="641">
      <c r="A641" s="2">
        <v>634.0</v>
      </c>
      <c r="B641" s="15">
        <f>IFERROR(__xludf.DUMMYFUNCTION("""COMPUTED_VALUE"""),43305.64583333333)</f>
        <v>43305.64583</v>
      </c>
      <c r="C641" s="8">
        <f>IFERROR(__xludf.DUMMYFUNCTION("""COMPUTED_VALUE"""),1975.55)</f>
        <v>1975.55</v>
      </c>
      <c r="E641" s="15">
        <f>IFERROR(__xludf.DUMMYFUNCTION("""COMPUTED_VALUE"""),43305.64583333333)</f>
        <v>43305.64583</v>
      </c>
      <c r="F641" s="8">
        <f>IFERROR(__xludf.DUMMYFUNCTION("""COMPUTED_VALUE"""),1079.88)</f>
        <v>1079.88</v>
      </c>
      <c r="H641" s="4">
        <f t="shared" si="1"/>
        <v>895.67</v>
      </c>
      <c r="I641" s="16">
        <f t="shared" si="2"/>
        <v>896.064</v>
      </c>
      <c r="J641" s="16">
        <f t="shared" si="3"/>
        <v>15.61788014</v>
      </c>
      <c r="K641" s="16">
        <f t="shared" si="4"/>
        <v>911.6818801</v>
      </c>
      <c r="L641" s="16">
        <f t="shared" si="5"/>
        <v>880.4461199</v>
      </c>
      <c r="N641" s="17" t="str">
        <f t="shared" si="6"/>
        <v>F</v>
      </c>
      <c r="O641" s="17" t="str">
        <f t="shared" si="7"/>
        <v>F</v>
      </c>
      <c r="P641" s="8">
        <f t="shared" si="8"/>
        <v>1</v>
      </c>
      <c r="R641" s="17" t="str">
        <f t="shared" si="9"/>
        <v>F</v>
      </c>
      <c r="S641" s="3" t="str">
        <f t="shared" si="10"/>
        <v>T</v>
      </c>
      <c r="T641" s="8">
        <f t="shared" si="11"/>
        <v>0</v>
      </c>
      <c r="V641" s="4">
        <f t="shared" si="12"/>
        <v>1</v>
      </c>
      <c r="W641" s="8">
        <f t="shared" si="13"/>
        <v>7.04</v>
      </c>
      <c r="X641" s="8">
        <f t="shared" si="14"/>
        <v>7.04</v>
      </c>
      <c r="Y641" s="8">
        <f t="shared" si="15"/>
        <v>147.44</v>
      </c>
    </row>
    <row r="642">
      <c r="A642" s="2">
        <v>635.0</v>
      </c>
      <c r="B642" s="15">
        <f>IFERROR(__xludf.DUMMYFUNCTION("""COMPUTED_VALUE"""),43306.64583333333)</f>
        <v>43306.64583</v>
      </c>
      <c r="C642" s="8">
        <f>IFERROR(__xludf.DUMMYFUNCTION("""COMPUTED_VALUE"""),2000.85)</f>
        <v>2000.85</v>
      </c>
      <c r="E642" s="15">
        <f>IFERROR(__xludf.DUMMYFUNCTION("""COMPUTED_VALUE"""),43306.64583333333)</f>
        <v>43306.64583</v>
      </c>
      <c r="F642" s="8">
        <f>IFERROR(__xludf.DUMMYFUNCTION("""COMPUTED_VALUE"""),1085.18)</f>
        <v>1085.18</v>
      </c>
      <c r="H642" s="4">
        <f t="shared" si="1"/>
        <v>915.67</v>
      </c>
      <c r="I642" s="16">
        <f t="shared" si="2"/>
        <v>894.928</v>
      </c>
      <c r="J642" s="16">
        <f t="shared" si="3"/>
        <v>13.36257535</v>
      </c>
      <c r="K642" s="16">
        <f t="shared" si="4"/>
        <v>908.2905754</v>
      </c>
      <c r="L642" s="16">
        <f t="shared" si="5"/>
        <v>881.5654246</v>
      </c>
      <c r="N642" s="17" t="str">
        <f t="shared" si="6"/>
        <v>F</v>
      </c>
      <c r="O642" s="17" t="str">
        <f t="shared" si="7"/>
        <v>T</v>
      </c>
      <c r="P642" s="8">
        <f t="shared" si="8"/>
        <v>0</v>
      </c>
      <c r="R642" s="17" t="str">
        <f t="shared" si="9"/>
        <v>T</v>
      </c>
      <c r="S642" s="3" t="str">
        <f t="shared" si="10"/>
        <v>F</v>
      </c>
      <c r="T642" s="8">
        <f t="shared" si="11"/>
        <v>-1</v>
      </c>
      <c r="V642" s="4">
        <f t="shared" si="12"/>
        <v>-1</v>
      </c>
      <c r="W642" s="8">
        <f t="shared" si="13"/>
        <v>20</v>
      </c>
      <c r="X642" s="8">
        <f t="shared" si="14"/>
        <v>20</v>
      </c>
      <c r="Y642" s="8">
        <f t="shared" si="15"/>
        <v>167.44</v>
      </c>
    </row>
    <row r="643">
      <c r="A643" s="2">
        <v>636.0</v>
      </c>
      <c r="B643" s="15">
        <f>IFERROR(__xludf.DUMMYFUNCTION("""COMPUTED_VALUE"""),43307.64583333333)</f>
        <v>43307.64583</v>
      </c>
      <c r="C643" s="8">
        <f>IFERROR(__xludf.DUMMYFUNCTION("""COMPUTED_VALUE"""),2023.4)</f>
        <v>2023.4</v>
      </c>
      <c r="E643" s="15">
        <f>IFERROR(__xludf.DUMMYFUNCTION("""COMPUTED_VALUE"""),43307.64583333333)</f>
        <v>43307.64583</v>
      </c>
      <c r="F643" s="8">
        <f>IFERROR(__xludf.DUMMYFUNCTION("""COMPUTED_VALUE"""),1096.3)</f>
        <v>1096.3</v>
      </c>
      <c r="H643" s="4">
        <f t="shared" si="1"/>
        <v>927.1</v>
      </c>
      <c r="I643" s="16">
        <f t="shared" si="2"/>
        <v>901.278</v>
      </c>
      <c r="J643" s="16">
        <f t="shared" si="3"/>
        <v>19.66901548</v>
      </c>
      <c r="K643" s="16">
        <f t="shared" si="4"/>
        <v>920.9470155</v>
      </c>
      <c r="L643" s="16">
        <f t="shared" si="5"/>
        <v>881.6089845</v>
      </c>
      <c r="N643" s="17" t="str">
        <f t="shared" si="6"/>
        <v>F</v>
      </c>
      <c r="O643" s="17" t="str">
        <f t="shared" si="7"/>
        <v>T</v>
      </c>
      <c r="P643" s="8">
        <f t="shared" si="8"/>
        <v>0</v>
      </c>
      <c r="R643" s="17" t="str">
        <f t="shared" si="9"/>
        <v>T</v>
      </c>
      <c r="S643" s="3" t="str">
        <f t="shared" si="10"/>
        <v>F</v>
      </c>
      <c r="T643" s="8">
        <f t="shared" si="11"/>
        <v>-1</v>
      </c>
      <c r="V643" s="4">
        <f t="shared" si="12"/>
        <v>-1</v>
      </c>
      <c r="W643" s="8">
        <f t="shared" si="13"/>
        <v>11.43</v>
      </c>
      <c r="X643" s="8">
        <f t="shared" si="14"/>
        <v>-11.43</v>
      </c>
      <c r="Y643" s="8">
        <f t="shared" si="15"/>
        <v>156.01</v>
      </c>
    </row>
    <row r="644">
      <c r="A644" s="2">
        <v>637.0</v>
      </c>
      <c r="B644" s="15">
        <f>IFERROR(__xludf.DUMMYFUNCTION("""COMPUTED_VALUE"""),43308.64583333333)</f>
        <v>43308.64583</v>
      </c>
      <c r="C644" s="8">
        <f>IFERROR(__xludf.DUMMYFUNCTION("""COMPUTED_VALUE"""),2047.25)</f>
        <v>2047.25</v>
      </c>
      <c r="E644" s="15">
        <f>IFERROR(__xludf.DUMMYFUNCTION("""COMPUTED_VALUE"""),43308.64583333333)</f>
        <v>43308.64583</v>
      </c>
      <c r="F644" s="8">
        <f>IFERROR(__xludf.DUMMYFUNCTION("""COMPUTED_VALUE"""),1101.08)</f>
        <v>1101.08</v>
      </c>
      <c r="H644" s="4">
        <f t="shared" si="1"/>
        <v>946.17</v>
      </c>
      <c r="I644" s="16">
        <f t="shared" si="2"/>
        <v>914.648</v>
      </c>
      <c r="J644" s="16">
        <f t="shared" si="3"/>
        <v>23.3817989</v>
      </c>
      <c r="K644" s="16">
        <f t="shared" si="4"/>
        <v>938.0297989</v>
      </c>
      <c r="L644" s="16">
        <f t="shared" si="5"/>
        <v>891.2662011</v>
      </c>
      <c r="N644" s="17" t="str">
        <f t="shared" si="6"/>
        <v>F</v>
      </c>
      <c r="O644" s="17" t="str">
        <f t="shared" si="7"/>
        <v>T</v>
      </c>
      <c r="P644" s="8">
        <f t="shared" si="8"/>
        <v>0</v>
      </c>
      <c r="R644" s="17" t="str">
        <f t="shared" si="9"/>
        <v>T</v>
      </c>
      <c r="S644" s="3" t="str">
        <f t="shared" si="10"/>
        <v>F</v>
      </c>
      <c r="T644" s="8">
        <f t="shared" si="11"/>
        <v>-1</v>
      </c>
      <c r="V644" s="4">
        <f t="shared" si="12"/>
        <v>-1</v>
      </c>
      <c r="W644" s="8">
        <f t="shared" si="13"/>
        <v>19.07</v>
      </c>
      <c r="X644" s="8">
        <f t="shared" si="14"/>
        <v>-19.07</v>
      </c>
      <c r="Y644" s="8">
        <f t="shared" si="15"/>
        <v>136.94</v>
      </c>
    </row>
    <row r="645">
      <c r="A645" s="2">
        <v>638.0</v>
      </c>
      <c r="B645" s="15">
        <f>IFERROR(__xludf.DUMMYFUNCTION("""COMPUTED_VALUE"""),43311.64583333333)</f>
        <v>43311.64583</v>
      </c>
      <c r="C645" s="8">
        <f>IFERROR(__xludf.DUMMYFUNCTION("""COMPUTED_VALUE"""),2028.75)</f>
        <v>2028.75</v>
      </c>
      <c r="E645" s="15">
        <f>IFERROR(__xludf.DUMMYFUNCTION("""COMPUTED_VALUE"""),43311.64583333333)</f>
        <v>43311.64583</v>
      </c>
      <c r="F645" s="8">
        <f>IFERROR(__xludf.DUMMYFUNCTION("""COMPUTED_VALUE"""),1084.95)</f>
        <v>1084.95</v>
      </c>
      <c r="H645" s="4">
        <f t="shared" si="1"/>
        <v>943.8</v>
      </c>
      <c r="I645" s="16">
        <f t="shared" si="2"/>
        <v>925.682</v>
      </c>
      <c r="J645" s="16">
        <f t="shared" si="3"/>
        <v>20.92242266</v>
      </c>
      <c r="K645" s="16">
        <f t="shared" si="4"/>
        <v>946.6044227</v>
      </c>
      <c r="L645" s="16">
        <f t="shared" si="5"/>
        <v>904.7595773</v>
      </c>
      <c r="N645" s="17" t="str">
        <f t="shared" si="6"/>
        <v>F</v>
      </c>
      <c r="O645" s="17" t="str">
        <f t="shared" si="7"/>
        <v>T</v>
      </c>
      <c r="P645" s="8">
        <f t="shared" si="8"/>
        <v>0</v>
      </c>
      <c r="R645" s="17" t="str">
        <f t="shared" si="9"/>
        <v>F</v>
      </c>
      <c r="S645" s="3" t="str">
        <f t="shared" si="10"/>
        <v>F</v>
      </c>
      <c r="T645" s="8">
        <f t="shared" si="11"/>
        <v>-1</v>
      </c>
      <c r="V645" s="4">
        <f t="shared" si="12"/>
        <v>-1</v>
      </c>
      <c r="W645" s="8">
        <f t="shared" si="13"/>
        <v>-2.37</v>
      </c>
      <c r="X645" s="8">
        <f t="shared" si="14"/>
        <v>2.37</v>
      </c>
      <c r="Y645" s="8">
        <f t="shared" si="15"/>
        <v>139.31</v>
      </c>
    </row>
    <row r="646">
      <c r="A646" s="2">
        <v>639.0</v>
      </c>
      <c r="B646" s="15">
        <f>IFERROR(__xludf.DUMMYFUNCTION("""COMPUTED_VALUE"""),43312.64583333333)</f>
        <v>43312.64583</v>
      </c>
      <c r="C646" s="8">
        <f>IFERROR(__xludf.DUMMYFUNCTION("""COMPUTED_VALUE"""),1994.85)</f>
        <v>1994.85</v>
      </c>
      <c r="E646" s="15">
        <f>IFERROR(__xludf.DUMMYFUNCTION("""COMPUTED_VALUE"""),43312.64583333333)</f>
        <v>43312.64583</v>
      </c>
      <c r="F646" s="8">
        <f>IFERROR(__xludf.DUMMYFUNCTION("""COMPUTED_VALUE"""),1089.75)</f>
        <v>1089.75</v>
      </c>
      <c r="H646" s="4">
        <f t="shared" si="1"/>
        <v>905.1</v>
      </c>
      <c r="I646" s="16">
        <f t="shared" si="2"/>
        <v>927.568</v>
      </c>
      <c r="J646" s="16">
        <f t="shared" si="3"/>
        <v>17.72078356</v>
      </c>
      <c r="K646" s="16">
        <f t="shared" si="4"/>
        <v>945.2887836</v>
      </c>
      <c r="L646" s="16">
        <f t="shared" si="5"/>
        <v>909.8472164</v>
      </c>
      <c r="N646" s="17" t="str">
        <f t="shared" si="6"/>
        <v>T</v>
      </c>
      <c r="O646" s="17" t="str">
        <f t="shared" si="7"/>
        <v>F</v>
      </c>
      <c r="P646" s="8">
        <f t="shared" si="8"/>
        <v>1</v>
      </c>
      <c r="R646" s="17" t="str">
        <f t="shared" si="9"/>
        <v>F</v>
      </c>
      <c r="S646" s="3" t="str">
        <f t="shared" si="10"/>
        <v>T</v>
      </c>
      <c r="T646" s="8">
        <f t="shared" si="11"/>
        <v>0</v>
      </c>
      <c r="V646" s="4">
        <f t="shared" si="12"/>
        <v>1</v>
      </c>
      <c r="W646" s="8">
        <f t="shared" si="13"/>
        <v>-38.7</v>
      </c>
      <c r="X646" s="8">
        <f t="shared" si="14"/>
        <v>38.7</v>
      </c>
      <c r="Y646" s="8">
        <f t="shared" si="15"/>
        <v>178.01</v>
      </c>
    </row>
    <row r="647">
      <c r="A647" s="2">
        <v>640.0</v>
      </c>
      <c r="B647" s="15">
        <f>IFERROR(__xludf.DUMMYFUNCTION("""COMPUTED_VALUE"""),43313.64583333333)</f>
        <v>43313.64583</v>
      </c>
      <c r="C647" s="8">
        <f>IFERROR(__xludf.DUMMYFUNCTION("""COMPUTED_VALUE"""),1970.15)</f>
        <v>1970.15</v>
      </c>
      <c r="E647" s="15">
        <f>IFERROR(__xludf.DUMMYFUNCTION("""COMPUTED_VALUE"""),43313.64583333333)</f>
        <v>43313.64583</v>
      </c>
      <c r="F647" s="8">
        <f>IFERROR(__xludf.DUMMYFUNCTION("""COMPUTED_VALUE"""),1079.35)</f>
        <v>1079.35</v>
      </c>
      <c r="H647" s="4">
        <f t="shared" si="1"/>
        <v>890.8</v>
      </c>
      <c r="I647" s="16">
        <f t="shared" si="2"/>
        <v>922.594</v>
      </c>
      <c r="J647" s="16">
        <f t="shared" si="3"/>
        <v>24.20085081</v>
      </c>
      <c r="K647" s="16">
        <f t="shared" si="4"/>
        <v>946.7948508</v>
      </c>
      <c r="L647" s="16">
        <f t="shared" si="5"/>
        <v>898.3931492</v>
      </c>
      <c r="N647" s="17" t="str">
        <f t="shared" si="6"/>
        <v>T</v>
      </c>
      <c r="O647" s="17" t="str">
        <f t="shared" si="7"/>
        <v>F</v>
      </c>
      <c r="P647" s="8">
        <f t="shared" si="8"/>
        <v>1</v>
      </c>
      <c r="R647" s="17" t="str">
        <f t="shared" si="9"/>
        <v>F</v>
      </c>
      <c r="S647" s="3" t="str">
        <f t="shared" si="10"/>
        <v>T</v>
      </c>
      <c r="T647" s="8">
        <f t="shared" si="11"/>
        <v>0</v>
      </c>
      <c r="V647" s="4">
        <f t="shared" si="12"/>
        <v>1</v>
      </c>
      <c r="W647" s="8">
        <f t="shared" si="13"/>
        <v>-14.3</v>
      </c>
      <c r="X647" s="8">
        <f t="shared" si="14"/>
        <v>-14.3</v>
      </c>
      <c r="Y647" s="8">
        <f t="shared" si="15"/>
        <v>163.71</v>
      </c>
    </row>
    <row r="648">
      <c r="A648" s="2">
        <v>641.0</v>
      </c>
      <c r="B648" s="15">
        <f>IFERROR(__xludf.DUMMYFUNCTION("""COMPUTED_VALUE"""),43314.64583333333)</f>
        <v>43314.64583</v>
      </c>
      <c r="C648" s="8">
        <f>IFERROR(__xludf.DUMMYFUNCTION("""COMPUTED_VALUE"""),1931.95)</f>
        <v>1931.95</v>
      </c>
      <c r="E648" s="15">
        <f>IFERROR(__xludf.DUMMYFUNCTION("""COMPUTED_VALUE"""),43314.64583333333)</f>
        <v>43314.64583</v>
      </c>
      <c r="F648" s="8">
        <f>IFERROR(__xludf.DUMMYFUNCTION("""COMPUTED_VALUE"""),1065.1)</f>
        <v>1065.1</v>
      </c>
      <c r="H648" s="4">
        <f t="shared" si="1"/>
        <v>866.85</v>
      </c>
      <c r="I648" s="16">
        <f t="shared" si="2"/>
        <v>910.544</v>
      </c>
      <c r="J648" s="16">
        <f t="shared" si="3"/>
        <v>34.29213365</v>
      </c>
      <c r="K648" s="16">
        <f t="shared" si="4"/>
        <v>944.8361336</v>
      </c>
      <c r="L648" s="16">
        <f t="shared" si="5"/>
        <v>876.2518664</v>
      </c>
      <c r="N648" s="17" t="str">
        <f t="shared" si="6"/>
        <v>T</v>
      </c>
      <c r="O648" s="17" t="str">
        <f t="shared" si="7"/>
        <v>F</v>
      </c>
      <c r="P648" s="8">
        <f t="shared" si="8"/>
        <v>1</v>
      </c>
      <c r="R648" s="17" t="str">
        <f t="shared" si="9"/>
        <v>F</v>
      </c>
      <c r="S648" s="3" t="str">
        <f t="shared" si="10"/>
        <v>T</v>
      </c>
      <c r="T648" s="8">
        <f t="shared" si="11"/>
        <v>0</v>
      </c>
      <c r="V648" s="4">
        <f t="shared" si="12"/>
        <v>1</v>
      </c>
      <c r="W648" s="8">
        <f t="shared" si="13"/>
        <v>-23.95</v>
      </c>
      <c r="X648" s="8">
        <f t="shared" si="14"/>
        <v>-23.95</v>
      </c>
      <c r="Y648" s="8">
        <f t="shared" si="15"/>
        <v>139.76</v>
      </c>
    </row>
    <row r="649">
      <c r="A649" s="2">
        <v>642.0</v>
      </c>
      <c r="B649" s="15">
        <f>IFERROR(__xludf.DUMMYFUNCTION("""COMPUTED_VALUE"""),43315.64583333333)</f>
        <v>43315.64583</v>
      </c>
      <c r="C649" s="8">
        <f>IFERROR(__xludf.DUMMYFUNCTION("""COMPUTED_VALUE"""),1977.5)</f>
        <v>1977.5</v>
      </c>
      <c r="E649" s="15">
        <f>IFERROR(__xludf.DUMMYFUNCTION("""COMPUTED_VALUE"""),43315.64583333333)</f>
        <v>43315.64583</v>
      </c>
      <c r="F649" s="8">
        <f>IFERROR(__xludf.DUMMYFUNCTION("""COMPUTED_VALUE"""),1060.83)</f>
        <v>1060.83</v>
      </c>
      <c r="H649" s="4">
        <f t="shared" si="1"/>
        <v>916.67</v>
      </c>
      <c r="I649" s="16">
        <f t="shared" si="2"/>
        <v>904.644</v>
      </c>
      <c r="J649" s="16">
        <f t="shared" si="3"/>
        <v>28.71440283</v>
      </c>
      <c r="K649" s="16">
        <f t="shared" si="4"/>
        <v>933.3584028</v>
      </c>
      <c r="L649" s="16">
        <f t="shared" si="5"/>
        <v>875.9295972</v>
      </c>
      <c r="N649" s="17" t="str">
        <f t="shared" si="6"/>
        <v>F</v>
      </c>
      <c r="O649" s="17" t="str">
        <f t="shared" si="7"/>
        <v>T</v>
      </c>
      <c r="P649" s="8">
        <f t="shared" si="8"/>
        <v>0</v>
      </c>
      <c r="R649" s="17" t="str">
        <f t="shared" si="9"/>
        <v>F</v>
      </c>
      <c r="S649" s="3" t="str">
        <f t="shared" si="10"/>
        <v>F</v>
      </c>
      <c r="T649" s="8">
        <f t="shared" si="11"/>
        <v>0</v>
      </c>
      <c r="V649" s="4">
        <f t="shared" si="12"/>
        <v>0</v>
      </c>
      <c r="W649" s="8">
        <f t="shared" si="13"/>
        <v>49.82</v>
      </c>
      <c r="X649" s="8">
        <f t="shared" si="14"/>
        <v>49.82</v>
      </c>
      <c r="Y649" s="8">
        <f t="shared" si="15"/>
        <v>189.58</v>
      </c>
    </row>
    <row r="650">
      <c r="A650" s="2">
        <v>643.0</v>
      </c>
      <c r="B650" s="15">
        <f>IFERROR(__xludf.DUMMYFUNCTION("""COMPUTED_VALUE"""),43318.64583333333)</f>
        <v>43318.64583</v>
      </c>
      <c r="C650" s="8">
        <f>IFERROR(__xludf.DUMMYFUNCTION("""COMPUTED_VALUE"""),1979.3)</f>
        <v>1979.3</v>
      </c>
      <c r="E650" s="15">
        <f>IFERROR(__xludf.DUMMYFUNCTION("""COMPUTED_VALUE"""),43318.64583333333)</f>
        <v>43318.64583</v>
      </c>
      <c r="F650" s="8">
        <f>IFERROR(__xludf.DUMMYFUNCTION("""COMPUTED_VALUE"""),1057.15)</f>
        <v>1057.15</v>
      </c>
      <c r="H650" s="4">
        <f t="shared" si="1"/>
        <v>922.15</v>
      </c>
      <c r="I650" s="16">
        <f t="shared" si="2"/>
        <v>900.314</v>
      </c>
      <c r="J650" s="16">
        <f t="shared" si="3"/>
        <v>22.23505633</v>
      </c>
      <c r="K650" s="16">
        <f t="shared" si="4"/>
        <v>922.5490563</v>
      </c>
      <c r="L650" s="16">
        <f t="shared" si="5"/>
        <v>878.0789437</v>
      </c>
      <c r="N650" s="17" t="str">
        <f t="shared" si="6"/>
        <v>F</v>
      </c>
      <c r="O650" s="17" t="str">
        <f t="shared" si="7"/>
        <v>T</v>
      </c>
      <c r="P650" s="8">
        <f t="shared" si="8"/>
        <v>0</v>
      </c>
      <c r="R650" s="17" t="str">
        <f t="shared" si="9"/>
        <v>F</v>
      </c>
      <c r="S650" s="3" t="str">
        <f t="shared" si="10"/>
        <v>F</v>
      </c>
      <c r="T650" s="8">
        <f t="shared" si="11"/>
        <v>0</v>
      </c>
      <c r="V650" s="4">
        <f t="shared" si="12"/>
        <v>0</v>
      </c>
      <c r="W650" s="8">
        <f t="shared" si="13"/>
        <v>5.48</v>
      </c>
      <c r="X650" s="8">
        <f t="shared" si="14"/>
        <v>0</v>
      </c>
      <c r="Y650" s="8">
        <f t="shared" si="15"/>
        <v>189.58</v>
      </c>
    </row>
    <row r="651">
      <c r="A651" s="2">
        <v>644.0</v>
      </c>
      <c r="B651" s="15">
        <f>IFERROR(__xludf.DUMMYFUNCTION("""COMPUTED_VALUE"""),43319.64583333333)</f>
        <v>43319.64583</v>
      </c>
      <c r="C651" s="8">
        <f>IFERROR(__xludf.DUMMYFUNCTION("""COMPUTED_VALUE"""),1978.6)</f>
        <v>1978.6</v>
      </c>
      <c r="E651" s="15">
        <f>IFERROR(__xludf.DUMMYFUNCTION("""COMPUTED_VALUE"""),43319.64583333333)</f>
        <v>43319.64583</v>
      </c>
      <c r="F651" s="8">
        <f>IFERROR(__xludf.DUMMYFUNCTION("""COMPUTED_VALUE"""),1065.45)</f>
        <v>1065.45</v>
      </c>
      <c r="H651" s="4">
        <f t="shared" si="1"/>
        <v>913.15</v>
      </c>
      <c r="I651" s="16">
        <f t="shared" si="2"/>
        <v>901.924</v>
      </c>
      <c r="J651" s="16">
        <f t="shared" si="3"/>
        <v>22.94824351</v>
      </c>
      <c r="K651" s="16">
        <f t="shared" si="4"/>
        <v>924.8722435</v>
      </c>
      <c r="L651" s="16">
        <f t="shared" si="5"/>
        <v>878.9757565</v>
      </c>
      <c r="N651" s="17" t="str">
        <f t="shared" si="6"/>
        <v>F</v>
      </c>
      <c r="O651" s="17" t="str">
        <f t="shared" si="7"/>
        <v>T</v>
      </c>
      <c r="P651" s="8">
        <f t="shared" si="8"/>
        <v>0</v>
      </c>
      <c r="R651" s="17" t="str">
        <f t="shared" si="9"/>
        <v>F</v>
      </c>
      <c r="S651" s="3" t="str">
        <f t="shared" si="10"/>
        <v>F</v>
      </c>
      <c r="T651" s="8">
        <f t="shared" si="11"/>
        <v>0</v>
      </c>
      <c r="V651" s="4">
        <f t="shared" si="12"/>
        <v>0</v>
      </c>
      <c r="W651" s="8">
        <f t="shared" si="13"/>
        <v>-9</v>
      </c>
      <c r="X651" s="8">
        <f t="shared" si="14"/>
        <v>0</v>
      </c>
      <c r="Y651" s="8">
        <f t="shared" si="15"/>
        <v>189.58</v>
      </c>
    </row>
    <row r="652">
      <c r="A652" s="2">
        <v>645.0</v>
      </c>
      <c r="B652" s="15">
        <f>IFERROR(__xludf.DUMMYFUNCTION("""COMPUTED_VALUE"""),43320.64583333333)</f>
        <v>43320.64583</v>
      </c>
      <c r="C652" s="8">
        <f>IFERROR(__xludf.DUMMYFUNCTION("""COMPUTED_VALUE"""),1984.6)</f>
        <v>1984.6</v>
      </c>
      <c r="E652" s="15">
        <f>IFERROR(__xludf.DUMMYFUNCTION("""COMPUTED_VALUE"""),43320.64583333333)</f>
        <v>43320.64583</v>
      </c>
      <c r="F652" s="8">
        <f>IFERROR(__xludf.DUMMYFUNCTION("""COMPUTED_VALUE"""),1068.18)</f>
        <v>1068.18</v>
      </c>
      <c r="H652" s="4">
        <f t="shared" si="1"/>
        <v>916.42</v>
      </c>
      <c r="I652" s="16">
        <f t="shared" si="2"/>
        <v>907.048</v>
      </c>
      <c r="J652" s="16">
        <f t="shared" si="3"/>
        <v>22.70242983</v>
      </c>
      <c r="K652" s="16">
        <f t="shared" si="4"/>
        <v>929.7504298</v>
      </c>
      <c r="L652" s="16">
        <f t="shared" si="5"/>
        <v>884.3455702</v>
      </c>
      <c r="N652" s="17" t="str">
        <f t="shared" si="6"/>
        <v>F</v>
      </c>
      <c r="O652" s="17" t="str">
        <f t="shared" si="7"/>
        <v>T</v>
      </c>
      <c r="P652" s="8">
        <f t="shared" si="8"/>
        <v>0</v>
      </c>
      <c r="R652" s="17" t="str">
        <f t="shared" si="9"/>
        <v>F</v>
      </c>
      <c r="S652" s="3" t="str">
        <f t="shared" si="10"/>
        <v>F</v>
      </c>
      <c r="T652" s="8">
        <f t="shared" si="11"/>
        <v>0</v>
      </c>
      <c r="V652" s="4">
        <f t="shared" si="12"/>
        <v>0</v>
      </c>
      <c r="W652" s="8">
        <f t="shared" si="13"/>
        <v>3.27</v>
      </c>
      <c r="X652" s="8">
        <f t="shared" si="14"/>
        <v>0</v>
      </c>
      <c r="Y652" s="8">
        <f t="shared" si="15"/>
        <v>189.58</v>
      </c>
    </row>
    <row r="653">
      <c r="A653" s="2">
        <v>646.0</v>
      </c>
      <c r="B653" s="15">
        <f>IFERROR(__xludf.DUMMYFUNCTION("""COMPUTED_VALUE"""),43321.64583333333)</f>
        <v>43321.64583</v>
      </c>
      <c r="C653" s="8">
        <f>IFERROR(__xludf.DUMMYFUNCTION("""COMPUTED_VALUE"""),1969.95)</f>
        <v>1969.95</v>
      </c>
      <c r="E653" s="15">
        <f>IFERROR(__xludf.DUMMYFUNCTION("""COMPUTED_VALUE"""),43321.64583333333)</f>
        <v>43321.64583</v>
      </c>
      <c r="F653" s="8">
        <f>IFERROR(__xludf.DUMMYFUNCTION("""COMPUTED_VALUE"""),1059.25)</f>
        <v>1059.25</v>
      </c>
      <c r="H653" s="4">
        <f t="shared" si="1"/>
        <v>910.7</v>
      </c>
      <c r="I653" s="16">
        <f t="shared" si="2"/>
        <v>915.818</v>
      </c>
      <c r="J653" s="16">
        <f t="shared" si="3"/>
        <v>4.315515033</v>
      </c>
      <c r="K653" s="16">
        <f t="shared" si="4"/>
        <v>920.133515</v>
      </c>
      <c r="L653" s="16">
        <f t="shared" si="5"/>
        <v>911.502485</v>
      </c>
      <c r="N653" s="17" t="str">
        <f t="shared" si="6"/>
        <v>T</v>
      </c>
      <c r="O653" s="17" t="str">
        <f t="shared" si="7"/>
        <v>F</v>
      </c>
      <c r="P653" s="8">
        <f t="shared" si="8"/>
        <v>1</v>
      </c>
      <c r="R653" s="17" t="str">
        <f t="shared" si="9"/>
        <v>F</v>
      </c>
      <c r="S653" s="3" t="str">
        <f t="shared" si="10"/>
        <v>T</v>
      </c>
      <c r="T653" s="8">
        <f t="shared" si="11"/>
        <v>0</v>
      </c>
      <c r="V653" s="4">
        <f t="shared" si="12"/>
        <v>1</v>
      </c>
      <c r="W653" s="8">
        <f t="shared" si="13"/>
        <v>-5.72</v>
      </c>
      <c r="X653" s="8">
        <f t="shared" si="14"/>
        <v>0</v>
      </c>
      <c r="Y653" s="8">
        <f t="shared" si="15"/>
        <v>189.58</v>
      </c>
    </row>
    <row r="654">
      <c r="A654" s="2">
        <v>647.0</v>
      </c>
      <c r="B654" s="15">
        <f>IFERROR(__xludf.DUMMYFUNCTION("""COMPUTED_VALUE"""),43322.64583333333)</f>
        <v>43322.64583</v>
      </c>
      <c r="C654" s="8">
        <f>IFERROR(__xludf.DUMMYFUNCTION("""COMPUTED_VALUE"""),1974.3)</f>
        <v>1974.3</v>
      </c>
      <c r="E654" s="15">
        <f>IFERROR(__xludf.DUMMYFUNCTION("""COMPUTED_VALUE"""),43322.64583333333)</f>
        <v>43322.64583</v>
      </c>
      <c r="F654" s="8">
        <f>IFERROR(__xludf.DUMMYFUNCTION("""COMPUTED_VALUE"""),1057.22)</f>
        <v>1057.22</v>
      </c>
      <c r="H654" s="4">
        <f t="shared" si="1"/>
        <v>917.08</v>
      </c>
      <c r="I654" s="16">
        <f t="shared" si="2"/>
        <v>915.9</v>
      </c>
      <c r="J654" s="16">
        <f t="shared" si="3"/>
        <v>4.339579473</v>
      </c>
      <c r="K654" s="16">
        <f t="shared" si="4"/>
        <v>920.2395795</v>
      </c>
      <c r="L654" s="16">
        <f t="shared" si="5"/>
        <v>911.5604205</v>
      </c>
      <c r="N654" s="17" t="str">
        <f t="shared" si="6"/>
        <v>F</v>
      </c>
      <c r="O654" s="17" t="str">
        <f t="shared" si="7"/>
        <v>T</v>
      </c>
      <c r="P654" s="8">
        <f t="shared" si="8"/>
        <v>0</v>
      </c>
      <c r="R654" s="17" t="str">
        <f t="shared" si="9"/>
        <v>F</v>
      </c>
      <c r="S654" s="3" t="str">
        <f t="shared" si="10"/>
        <v>F</v>
      </c>
      <c r="T654" s="8">
        <f t="shared" si="11"/>
        <v>0</v>
      </c>
      <c r="V654" s="4">
        <f t="shared" si="12"/>
        <v>0</v>
      </c>
      <c r="W654" s="8">
        <f t="shared" si="13"/>
        <v>6.38</v>
      </c>
      <c r="X654" s="8">
        <f t="shared" si="14"/>
        <v>6.38</v>
      </c>
      <c r="Y654" s="8">
        <f t="shared" si="15"/>
        <v>195.96</v>
      </c>
    </row>
    <row r="655">
      <c r="A655" s="2">
        <v>648.0</v>
      </c>
      <c r="B655" s="15">
        <f>IFERROR(__xludf.DUMMYFUNCTION("""COMPUTED_VALUE"""),43325.64583333333)</f>
        <v>43325.64583</v>
      </c>
      <c r="C655" s="8">
        <f>IFERROR(__xludf.DUMMYFUNCTION("""COMPUTED_VALUE"""),1947.0)</f>
        <v>1947</v>
      </c>
      <c r="E655" s="15">
        <f>IFERROR(__xludf.DUMMYFUNCTION("""COMPUTED_VALUE"""),43325.64583333333)</f>
        <v>43325.64583</v>
      </c>
      <c r="F655" s="8">
        <f>IFERROR(__xludf.DUMMYFUNCTION("""COMPUTED_VALUE"""),1045.83)</f>
        <v>1045.83</v>
      </c>
      <c r="H655" s="4">
        <f t="shared" si="1"/>
        <v>901.17</v>
      </c>
      <c r="I655" s="16">
        <f t="shared" si="2"/>
        <v>911.704</v>
      </c>
      <c r="J655" s="16">
        <f t="shared" si="3"/>
        <v>6.426626642</v>
      </c>
      <c r="K655" s="16">
        <f t="shared" si="4"/>
        <v>918.1306266</v>
      </c>
      <c r="L655" s="16">
        <f t="shared" si="5"/>
        <v>905.2773734</v>
      </c>
      <c r="N655" s="17" t="str">
        <f t="shared" si="6"/>
        <v>T</v>
      </c>
      <c r="O655" s="17" t="str">
        <f t="shared" si="7"/>
        <v>F</v>
      </c>
      <c r="P655" s="8">
        <f t="shared" si="8"/>
        <v>1</v>
      </c>
      <c r="R655" s="17" t="str">
        <f t="shared" si="9"/>
        <v>F</v>
      </c>
      <c r="S655" s="3" t="str">
        <f t="shared" si="10"/>
        <v>T</v>
      </c>
      <c r="T655" s="8">
        <f t="shared" si="11"/>
        <v>0</v>
      </c>
      <c r="V655" s="4">
        <f t="shared" si="12"/>
        <v>1</v>
      </c>
      <c r="W655" s="8">
        <f t="shared" si="13"/>
        <v>-15.91</v>
      </c>
      <c r="X655" s="8">
        <f t="shared" si="14"/>
        <v>0</v>
      </c>
      <c r="Y655" s="8">
        <f t="shared" si="15"/>
        <v>195.96</v>
      </c>
    </row>
    <row r="656">
      <c r="A656" s="2">
        <v>649.0</v>
      </c>
      <c r="B656" s="15">
        <f>IFERROR(__xludf.DUMMYFUNCTION("""COMPUTED_VALUE"""),43326.64583333333)</f>
        <v>43326.64583</v>
      </c>
      <c r="C656" s="8">
        <f>IFERROR(__xludf.DUMMYFUNCTION("""COMPUTED_VALUE"""),1941.5)</f>
        <v>1941.5</v>
      </c>
      <c r="E656" s="15">
        <f>IFERROR(__xludf.DUMMYFUNCTION("""COMPUTED_VALUE"""),43326.64583333333)</f>
        <v>43326.64583</v>
      </c>
      <c r="F656" s="8">
        <f>IFERROR(__xludf.DUMMYFUNCTION("""COMPUTED_VALUE"""),1044.55)</f>
        <v>1044.55</v>
      </c>
      <c r="H656" s="4">
        <f t="shared" si="1"/>
        <v>896.95</v>
      </c>
      <c r="I656" s="16">
        <f t="shared" si="2"/>
        <v>908.464</v>
      </c>
      <c r="J656" s="16">
        <f t="shared" si="3"/>
        <v>9.059631891</v>
      </c>
      <c r="K656" s="16">
        <f t="shared" si="4"/>
        <v>917.5236319</v>
      </c>
      <c r="L656" s="16">
        <f t="shared" si="5"/>
        <v>899.4043681</v>
      </c>
      <c r="N656" s="17" t="str">
        <f t="shared" si="6"/>
        <v>T</v>
      </c>
      <c r="O656" s="17" t="str">
        <f t="shared" si="7"/>
        <v>F</v>
      </c>
      <c r="P656" s="8">
        <f t="shared" si="8"/>
        <v>1</v>
      </c>
      <c r="R656" s="17" t="str">
        <f t="shared" si="9"/>
        <v>F</v>
      </c>
      <c r="S656" s="3" t="str">
        <f t="shared" si="10"/>
        <v>T</v>
      </c>
      <c r="T656" s="8">
        <f t="shared" si="11"/>
        <v>0</v>
      </c>
      <c r="V656" s="4">
        <f t="shared" si="12"/>
        <v>1</v>
      </c>
      <c r="W656" s="8">
        <f t="shared" si="13"/>
        <v>-4.22</v>
      </c>
      <c r="X656" s="8">
        <f t="shared" si="14"/>
        <v>-4.22</v>
      </c>
      <c r="Y656" s="8">
        <f t="shared" si="15"/>
        <v>191.74</v>
      </c>
    </row>
    <row r="657">
      <c r="A657" s="2">
        <v>650.0</v>
      </c>
      <c r="B657" s="15">
        <f>IFERROR(__xludf.DUMMYFUNCTION("""COMPUTED_VALUE"""),43328.64583333333)</f>
        <v>43328.64583</v>
      </c>
      <c r="C657" s="8">
        <f>IFERROR(__xludf.DUMMYFUNCTION("""COMPUTED_VALUE"""),1891.2)</f>
        <v>1891.2</v>
      </c>
      <c r="E657" s="15">
        <f>IFERROR(__xludf.DUMMYFUNCTION("""COMPUTED_VALUE"""),43328.64583333333)</f>
        <v>43328.64583</v>
      </c>
      <c r="F657" s="8">
        <f>IFERROR(__xludf.DUMMYFUNCTION("""COMPUTED_VALUE"""),1037.85)</f>
        <v>1037.85</v>
      </c>
      <c r="H657" s="4">
        <f t="shared" si="1"/>
        <v>853.35</v>
      </c>
      <c r="I657" s="16">
        <f t="shared" si="2"/>
        <v>895.85</v>
      </c>
      <c r="J657" s="16">
        <f t="shared" si="3"/>
        <v>25.03496455</v>
      </c>
      <c r="K657" s="16">
        <f t="shared" si="4"/>
        <v>920.8849645</v>
      </c>
      <c r="L657" s="16">
        <f t="shared" si="5"/>
        <v>870.8150355</v>
      </c>
      <c r="N657" s="17" t="str">
        <f t="shared" si="6"/>
        <v>T</v>
      </c>
      <c r="O657" s="17" t="str">
        <f t="shared" si="7"/>
        <v>F</v>
      </c>
      <c r="P657" s="8">
        <f t="shared" si="8"/>
        <v>1</v>
      </c>
      <c r="R657" s="17" t="str">
        <f t="shared" si="9"/>
        <v>F</v>
      </c>
      <c r="S657" s="3" t="str">
        <f t="shared" si="10"/>
        <v>T</v>
      </c>
      <c r="T657" s="8">
        <f t="shared" si="11"/>
        <v>0</v>
      </c>
      <c r="V657" s="4">
        <f t="shared" si="12"/>
        <v>1</v>
      </c>
      <c r="W657" s="8">
        <f t="shared" si="13"/>
        <v>-43.6</v>
      </c>
      <c r="X657" s="8">
        <f t="shared" si="14"/>
        <v>-43.6</v>
      </c>
      <c r="Y657" s="8">
        <f t="shared" si="15"/>
        <v>148.14</v>
      </c>
    </row>
    <row r="658">
      <c r="A658" s="2">
        <v>651.0</v>
      </c>
      <c r="B658" s="15">
        <f>IFERROR(__xludf.DUMMYFUNCTION("""COMPUTED_VALUE"""),43329.64583333333)</f>
        <v>43329.64583</v>
      </c>
      <c r="C658" s="8">
        <f>IFERROR(__xludf.DUMMYFUNCTION("""COMPUTED_VALUE"""),1885.65)</f>
        <v>1885.65</v>
      </c>
      <c r="E658" s="15">
        <f>IFERROR(__xludf.DUMMYFUNCTION("""COMPUTED_VALUE"""),43329.64583333333)</f>
        <v>43329.64583</v>
      </c>
      <c r="F658" s="8">
        <f>IFERROR(__xludf.DUMMYFUNCTION("""COMPUTED_VALUE"""),1038.68)</f>
        <v>1038.68</v>
      </c>
      <c r="H658" s="4">
        <f t="shared" si="1"/>
        <v>846.97</v>
      </c>
      <c r="I658" s="16">
        <f t="shared" si="2"/>
        <v>883.104</v>
      </c>
      <c r="J658" s="16">
        <f t="shared" si="3"/>
        <v>31.07823644</v>
      </c>
      <c r="K658" s="16">
        <f t="shared" si="4"/>
        <v>914.1822364</v>
      </c>
      <c r="L658" s="16">
        <f t="shared" si="5"/>
        <v>852.0257636</v>
      </c>
      <c r="N658" s="17" t="str">
        <f t="shared" si="6"/>
        <v>T</v>
      </c>
      <c r="O658" s="17" t="str">
        <f t="shared" si="7"/>
        <v>F</v>
      </c>
      <c r="P658" s="8">
        <f t="shared" si="8"/>
        <v>1</v>
      </c>
      <c r="R658" s="17" t="str">
        <f t="shared" si="9"/>
        <v>F</v>
      </c>
      <c r="S658" s="3" t="str">
        <f t="shared" si="10"/>
        <v>T</v>
      </c>
      <c r="T658" s="8">
        <f t="shared" si="11"/>
        <v>0</v>
      </c>
      <c r="V658" s="4">
        <f t="shared" si="12"/>
        <v>1</v>
      </c>
      <c r="W658" s="8">
        <f t="shared" si="13"/>
        <v>-6.38</v>
      </c>
      <c r="X658" s="8">
        <f t="shared" si="14"/>
        <v>-6.38</v>
      </c>
      <c r="Y658" s="8">
        <f t="shared" si="15"/>
        <v>141.76</v>
      </c>
    </row>
    <row r="659">
      <c r="A659" s="2">
        <v>652.0</v>
      </c>
      <c r="B659" s="15">
        <f>IFERROR(__xludf.DUMMYFUNCTION("""COMPUTED_VALUE"""),43332.64583333333)</f>
        <v>43332.64583</v>
      </c>
      <c r="C659" s="8">
        <f>IFERROR(__xludf.DUMMYFUNCTION("""COMPUTED_VALUE"""),1920.05)</f>
        <v>1920.05</v>
      </c>
      <c r="E659" s="15">
        <f>IFERROR(__xludf.DUMMYFUNCTION("""COMPUTED_VALUE"""),43332.64583333333)</f>
        <v>43332.64583</v>
      </c>
      <c r="F659" s="8">
        <f>IFERROR(__xludf.DUMMYFUNCTION("""COMPUTED_VALUE"""),1048.1)</f>
        <v>1048.1</v>
      </c>
      <c r="H659" s="4">
        <f t="shared" si="1"/>
        <v>871.95</v>
      </c>
      <c r="I659" s="16">
        <f t="shared" si="2"/>
        <v>874.078</v>
      </c>
      <c r="J659" s="16">
        <f t="shared" si="3"/>
        <v>24.62786471</v>
      </c>
      <c r="K659" s="16">
        <f t="shared" si="4"/>
        <v>898.7058647</v>
      </c>
      <c r="L659" s="16">
        <f t="shared" si="5"/>
        <v>849.4501353</v>
      </c>
      <c r="N659" s="17" t="str">
        <f t="shared" si="6"/>
        <v>F</v>
      </c>
      <c r="O659" s="17" t="str">
        <f t="shared" si="7"/>
        <v>F</v>
      </c>
      <c r="P659" s="8">
        <f t="shared" si="8"/>
        <v>1</v>
      </c>
      <c r="R659" s="17" t="str">
        <f t="shared" si="9"/>
        <v>F</v>
      </c>
      <c r="S659" s="3" t="str">
        <f t="shared" si="10"/>
        <v>T</v>
      </c>
      <c r="T659" s="8">
        <f t="shared" si="11"/>
        <v>0</v>
      </c>
      <c r="V659" s="4">
        <f t="shared" si="12"/>
        <v>1</v>
      </c>
      <c r="W659" s="8">
        <f t="shared" si="13"/>
        <v>24.98</v>
      </c>
      <c r="X659" s="8">
        <f t="shared" si="14"/>
        <v>24.98</v>
      </c>
      <c r="Y659" s="8">
        <f t="shared" si="15"/>
        <v>166.74</v>
      </c>
    </row>
    <row r="660">
      <c r="A660" s="2">
        <v>653.0</v>
      </c>
      <c r="B660" s="15">
        <f>IFERROR(__xludf.DUMMYFUNCTION("""COMPUTED_VALUE"""),43333.64583333333)</f>
        <v>43333.64583</v>
      </c>
      <c r="C660" s="8">
        <f>IFERROR(__xludf.DUMMYFUNCTION("""COMPUTED_VALUE"""),1913.35)</f>
        <v>1913.35</v>
      </c>
      <c r="E660" s="15">
        <f>IFERROR(__xludf.DUMMYFUNCTION("""COMPUTED_VALUE"""),43333.64583333333)</f>
        <v>43333.64583</v>
      </c>
      <c r="F660" s="8">
        <f>IFERROR(__xludf.DUMMYFUNCTION("""COMPUTED_VALUE"""),1048.03)</f>
        <v>1048.03</v>
      </c>
      <c r="H660" s="4">
        <f t="shared" si="1"/>
        <v>865.32</v>
      </c>
      <c r="I660" s="16">
        <f t="shared" si="2"/>
        <v>866.908</v>
      </c>
      <c r="J660" s="16">
        <f t="shared" si="3"/>
        <v>19.44099072</v>
      </c>
      <c r="K660" s="16">
        <f t="shared" si="4"/>
        <v>886.3489907</v>
      </c>
      <c r="L660" s="16">
        <f t="shared" si="5"/>
        <v>847.4670093</v>
      </c>
      <c r="N660" s="17" t="str">
        <f t="shared" si="6"/>
        <v>F</v>
      </c>
      <c r="O660" s="17" t="str">
        <f t="shared" si="7"/>
        <v>F</v>
      </c>
      <c r="P660" s="8">
        <f t="shared" si="8"/>
        <v>1</v>
      </c>
      <c r="R660" s="17" t="str">
        <f t="shared" si="9"/>
        <v>F</v>
      </c>
      <c r="S660" s="3" t="str">
        <f t="shared" si="10"/>
        <v>T</v>
      </c>
      <c r="T660" s="8">
        <f t="shared" si="11"/>
        <v>0</v>
      </c>
      <c r="V660" s="4">
        <f t="shared" si="12"/>
        <v>1</v>
      </c>
      <c r="W660" s="8">
        <f t="shared" si="13"/>
        <v>-6.63</v>
      </c>
      <c r="X660" s="8">
        <f t="shared" si="14"/>
        <v>-6.63</v>
      </c>
      <c r="Y660" s="8">
        <f t="shared" si="15"/>
        <v>160.11</v>
      </c>
    </row>
    <row r="661">
      <c r="A661" s="2">
        <v>654.0</v>
      </c>
      <c r="B661" s="15">
        <f>IFERROR(__xludf.DUMMYFUNCTION("""COMPUTED_VALUE"""),43335.64583333333)</f>
        <v>43335.64583</v>
      </c>
      <c r="C661" s="8">
        <f>IFERROR(__xludf.DUMMYFUNCTION("""COMPUTED_VALUE"""),1906.3)</f>
        <v>1906.3</v>
      </c>
      <c r="E661" s="15">
        <f>IFERROR(__xludf.DUMMYFUNCTION("""COMPUTED_VALUE"""),43335.64583333333)</f>
        <v>43335.64583</v>
      </c>
      <c r="F661" s="8">
        <f>IFERROR(__xludf.DUMMYFUNCTION("""COMPUTED_VALUE"""),1039.95)</f>
        <v>1039.95</v>
      </c>
      <c r="H661" s="4">
        <f t="shared" si="1"/>
        <v>866.35</v>
      </c>
      <c r="I661" s="16">
        <f t="shared" si="2"/>
        <v>860.788</v>
      </c>
      <c r="J661" s="16">
        <f t="shared" si="3"/>
        <v>10.27528686</v>
      </c>
      <c r="K661" s="16">
        <f t="shared" si="4"/>
        <v>871.0632869</v>
      </c>
      <c r="L661" s="16">
        <f t="shared" si="5"/>
        <v>850.5127131</v>
      </c>
      <c r="N661" s="17" t="str">
        <f t="shared" si="6"/>
        <v>F</v>
      </c>
      <c r="O661" s="17" t="str">
        <f t="shared" si="7"/>
        <v>T</v>
      </c>
      <c r="P661" s="8">
        <f t="shared" si="8"/>
        <v>0</v>
      </c>
      <c r="R661" s="17" t="str">
        <f t="shared" si="9"/>
        <v>F</v>
      </c>
      <c r="S661" s="3" t="str">
        <f t="shared" si="10"/>
        <v>F</v>
      </c>
      <c r="T661" s="8">
        <f t="shared" si="11"/>
        <v>0</v>
      </c>
      <c r="V661" s="4">
        <f t="shared" si="12"/>
        <v>0</v>
      </c>
      <c r="W661" s="8">
        <f t="shared" si="13"/>
        <v>1.03</v>
      </c>
      <c r="X661" s="8">
        <f t="shared" si="14"/>
        <v>1.03</v>
      </c>
      <c r="Y661" s="8">
        <f t="shared" si="15"/>
        <v>161.14</v>
      </c>
    </row>
    <row r="662">
      <c r="A662" s="2">
        <v>655.0</v>
      </c>
      <c r="B662" s="15">
        <f>IFERROR(__xludf.DUMMYFUNCTION("""COMPUTED_VALUE"""),43336.64583333333)</f>
        <v>43336.64583</v>
      </c>
      <c r="C662" s="8">
        <f>IFERROR(__xludf.DUMMYFUNCTION("""COMPUTED_VALUE"""),1919.05)</f>
        <v>1919.05</v>
      </c>
      <c r="E662" s="15">
        <f>IFERROR(__xludf.DUMMYFUNCTION("""COMPUTED_VALUE"""),43336.64583333333)</f>
        <v>43336.64583</v>
      </c>
      <c r="F662" s="8">
        <f>IFERROR(__xludf.DUMMYFUNCTION("""COMPUTED_VALUE"""),1034.93)</f>
        <v>1034.93</v>
      </c>
      <c r="H662" s="4">
        <f t="shared" si="1"/>
        <v>884.12</v>
      </c>
      <c r="I662" s="16">
        <f t="shared" si="2"/>
        <v>866.942</v>
      </c>
      <c r="J662" s="16">
        <f t="shared" si="3"/>
        <v>13.43526963</v>
      </c>
      <c r="K662" s="16">
        <f t="shared" si="4"/>
        <v>880.3772696</v>
      </c>
      <c r="L662" s="16">
        <f t="shared" si="5"/>
        <v>853.5067304</v>
      </c>
      <c r="N662" s="17" t="str">
        <f t="shared" si="6"/>
        <v>F</v>
      </c>
      <c r="O662" s="17" t="str">
        <f t="shared" si="7"/>
        <v>T</v>
      </c>
      <c r="P662" s="8">
        <f t="shared" si="8"/>
        <v>0</v>
      </c>
      <c r="R662" s="17" t="str">
        <f t="shared" si="9"/>
        <v>T</v>
      </c>
      <c r="S662" s="3" t="str">
        <f t="shared" si="10"/>
        <v>F</v>
      </c>
      <c r="T662" s="8">
        <f t="shared" si="11"/>
        <v>-1</v>
      </c>
      <c r="V662" s="4">
        <f t="shared" si="12"/>
        <v>-1</v>
      </c>
      <c r="W662" s="8">
        <f t="shared" si="13"/>
        <v>17.77</v>
      </c>
      <c r="X662" s="8">
        <f t="shared" si="14"/>
        <v>0</v>
      </c>
      <c r="Y662" s="8">
        <f t="shared" si="15"/>
        <v>161.14</v>
      </c>
    </row>
    <row r="663">
      <c r="A663" s="2">
        <v>656.0</v>
      </c>
      <c r="B663" s="15">
        <f>IFERROR(__xludf.DUMMYFUNCTION("""COMPUTED_VALUE"""),43339.64583333333)</f>
        <v>43339.64583</v>
      </c>
      <c r="C663" s="8">
        <f>IFERROR(__xludf.DUMMYFUNCTION("""COMPUTED_VALUE"""),1924.85)</f>
        <v>1924.85</v>
      </c>
      <c r="E663" s="15">
        <f>IFERROR(__xludf.DUMMYFUNCTION("""COMPUTED_VALUE"""),43339.64583333333)</f>
        <v>43339.64583</v>
      </c>
      <c r="F663" s="8">
        <f>IFERROR(__xludf.DUMMYFUNCTION("""COMPUTED_VALUE"""),1040.22)</f>
        <v>1040.22</v>
      </c>
      <c r="H663" s="4">
        <f t="shared" si="1"/>
        <v>884.63</v>
      </c>
      <c r="I663" s="16">
        <f t="shared" si="2"/>
        <v>874.474</v>
      </c>
      <c r="J663" s="16">
        <f t="shared" si="3"/>
        <v>9.38556498</v>
      </c>
      <c r="K663" s="16">
        <f t="shared" si="4"/>
        <v>883.859565</v>
      </c>
      <c r="L663" s="16">
        <f t="shared" si="5"/>
        <v>865.088435</v>
      </c>
      <c r="N663" s="17" t="str">
        <f t="shared" si="6"/>
        <v>F</v>
      </c>
      <c r="O663" s="17" t="str">
        <f t="shared" si="7"/>
        <v>T</v>
      </c>
      <c r="P663" s="8">
        <f t="shared" si="8"/>
        <v>0</v>
      </c>
      <c r="R663" s="17" t="str">
        <f t="shared" si="9"/>
        <v>T</v>
      </c>
      <c r="S663" s="3" t="str">
        <f t="shared" si="10"/>
        <v>F</v>
      </c>
      <c r="T663" s="8">
        <f t="shared" si="11"/>
        <v>-1</v>
      </c>
      <c r="V663" s="4">
        <f t="shared" si="12"/>
        <v>-1</v>
      </c>
      <c r="W663" s="8">
        <f t="shared" si="13"/>
        <v>0.51</v>
      </c>
      <c r="X663" s="8">
        <f t="shared" si="14"/>
        <v>-0.51</v>
      </c>
      <c r="Y663" s="8">
        <f t="shared" si="15"/>
        <v>160.63</v>
      </c>
    </row>
    <row r="664">
      <c r="A664" s="2">
        <v>657.0</v>
      </c>
      <c r="B664" s="15">
        <f>IFERROR(__xludf.DUMMYFUNCTION("""COMPUTED_VALUE"""),43340.64583333333)</f>
        <v>43340.64583</v>
      </c>
      <c r="C664" s="8">
        <f>IFERROR(__xludf.DUMMYFUNCTION("""COMPUTED_VALUE"""),1955.15)</f>
        <v>1955.15</v>
      </c>
      <c r="E664" s="15">
        <f>IFERROR(__xludf.DUMMYFUNCTION("""COMPUTED_VALUE"""),43340.64583333333)</f>
        <v>43340.64583</v>
      </c>
      <c r="F664" s="8">
        <f>IFERROR(__xludf.DUMMYFUNCTION("""COMPUTED_VALUE"""),1047.43)</f>
        <v>1047.43</v>
      </c>
      <c r="H664" s="4">
        <f t="shared" si="1"/>
        <v>907.72</v>
      </c>
      <c r="I664" s="16">
        <f t="shared" si="2"/>
        <v>881.628</v>
      </c>
      <c r="J664" s="16">
        <f t="shared" si="3"/>
        <v>17.28715332</v>
      </c>
      <c r="K664" s="16">
        <f t="shared" si="4"/>
        <v>898.9151533</v>
      </c>
      <c r="L664" s="16">
        <f t="shared" si="5"/>
        <v>864.3408467</v>
      </c>
      <c r="N664" s="17" t="str">
        <f t="shared" si="6"/>
        <v>F</v>
      </c>
      <c r="O664" s="17" t="str">
        <f t="shared" si="7"/>
        <v>T</v>
      </c>
      <c r="P664" s="8">
        <f t="shared" si="8"/>
        <v>0</v>
      </c>
      <c r="R664" s="17" t="str">
        <f t="shared" si="9"/>
        <v>T</v>
      </c>
      <c r="S664" s="3" t="str">
        <f t="shared" si="10"/>
        <v>F</v>
      </c>
      <c r="T664" s="8">
        <f t="shared" si="11"/>
        <v>-1</v>
      </c>
      <c r="V664" s="4">
        <f t="shared" si="12"/>
        <v>-1</v>
      </c>
      <c r="W664" s="8">
        <f t="shared" si="13"/>
        <v>23.09</v>
      </c>
      <c r="X664" s="8">
        <f t="shared" si="14"/>
        <v>-23.09</v>
      </c>
      <c r="Y664" s="8">
        <f t="shared" si="15"/>
        <v>137.54</v>
      </c>
    </row>
    <row r="665">
      <c r="A665" s="2">
        <v>658.0</v>
      </c>
      <c r="B665" s="15">
        <f>IFERROR(__xludf.DUMMYFUNCTION("""COMPUTED_VALUE"""),43341.64583333333)</f>
        <v>43341.64583</v>
      </c>
      <c r="C665" s="8">
        <f>IFERROR(__xludf.DUMMYFUNCTION("""COMPUTED_VALUE"""),1956.25)</f>
        <v>1956.25</v>
      </c>
      <c r="E665" s="15">
        <f>IFERROR(__xludf.DUMMYFUNCTION("""COMPUTED_VALUE"""),43341.64583333333)</f>
        <v>43341.64583</v>
      </c>
      <c r="F665" s="8">
        <f>IFERROR(__xludf.DUMMYFUNCTION("""COMPUTED_VALUE"""),1039.25)</f>
        <v>1039.25</v>
      </c>
      <c r="H665" s="4">
        <f t="shared" si="1"/>
        <v>917</v>
      </c>
      <c r="I665" s="16">
        <f t="shared" si="2"/>
        <v>891.964</v>
      </c>
      <c r="J665" s="16">
        <f t="shared" si="3"/>
        <v>20.28820914</v>
      </c>
      <c r="K665" s="16">
        <f t="shared" si="4"/>
        <v>912.2522091</v>
      </c>
      <c r="L665" s="16">
        <f t="shared" si="5"/>
        <v>871.6757909</v>
      </c>
      <c r="N665" s="17" t="str">
        <f t="shared" si="6"/>
        <v>F</v>
      </c>
      <c r="O665" s="17" t="str">
        <f t="shared" si="7"/>
        <v>T</v>
      </c>
      <c r="P665" s="8">
        <f t="shared" si="8"/>
        <v>0</v>
      </c>
      <c r="R665" s="17" t="str">
        <f t="shared" si="9"/>
        <v>T</v>
      </c>
      <c r="S665" s="3" t="str">
        <f t="shared" si="10"/>
        <v>F</v>
      </c>
      <c r="T665" s="8">
        <f t="shared" si="11"/>
        <v>-1</v>
      </c>
      <c r="V665" s="4">
        <f t="shared" si="12"/>
        <v>-1</v>
      </c>
      <c r="W665" s="8">
        <f t="shared" si="13"/>
        <v>9.28</v>
      </c>
      <c r="X665" s="8">
        <f t="shared" si="14"/>
        <v>-9.28</v>
      </c>
      <c r="Y665" s="8">
        <f t="shared" si="15"/>
        <v>128.26</v>
      </c>
    </row>
    <row r="666">
      <c r="A666" s="2">
        <v>659.0</v>
      </c>
      <c r="B666" s="15">
        <f>IFERROR(__xludf.DUMMYFUNCTION("""COMPUTED_VALUE"""),43342.64583333333)</f>
        <v>43342.64583</v>
      </c>
      <c r="C666" s="8">
        <f>IFERROR(__xludf.DUMMYFUNCTION("""COMPUTED_VALUE"""),1934.15)</f>
        <v>1934.15</v>
      </c>
      <c r="E666" s="15">
        <f>IFERROR(__xludf.DUMMYFUNCTION("""COMPUTED_VALUE"""),43342.64583333333)</f>
        <v>43342.64583</v>
      </c>
      <c r="F666" s="8">
        <f>IFERROR(__xludf.DUMMYFUNCTION("""COMPUTED_VALUE"""),1033.05)</f>
        <v>1033.05</v>
      </c>
      <c r="H666" s="4">
        <f t="shared" si="1"/>
        <v>901.1</v>
      </c>
      <c r="I666" s="16">
        <f t="shared" si="2"/>
        <v>898.914</v>
      </c>
      <c r="J666" s="16">
        <f t="shared" si="3"/>
        <v>14.42500191</v>
      </c>
      <c r="K666" s="16">
        <f t="shared" si="4"/>
        <v>913.3390019</v>
      </c>
      <c r="L666" s="16">
        <f t="shared" si="5"/>
        <v>884.4889981</v>
      </c>
      <c r="N666" s="17" t="str">
        <f t="shared" si="6"/>
        <v>F</v>
      </c>
      <c r="O666" s="17" t="str">
        <f t="shared" si="7"/>
        <v>T</v>
      </c>
      <c r="P666" s="8">
        <f t="shared" si="8"/>
        <v>0</v>
      </c>
      <c r="R666" s="17" t="str">
        <f t="shared" si="9"/>
        <v>F</v>
      </c>
      <c r="S666" s="3" t="str">
        <f t="shared" si="10"/>
        <v>F</v>
      </c>
      <c r="T666" s="8">
        <f t="shared" si="11"/>
        <v>-1</v>
      </c>
      <c r="V666" s="4">
        <f t="shared" si="12"/>
        <v>-1</v>
      </c>
      <c r="W666" s="8">
        <f t="shared" si="13"/>
        <v>-15.9</v>
      </c>
      <c r="X666" s="8">
        <f t="shared" si="14"/>
        <v>15.9</v>
      </c>
      <c r="Y666" s="8">
        <f t="shared" si="15"/>
        <v>144.16</v>
      </c>
    </row>
    <row r="667">
      <c r="A667" s="2">
        <v>660.0</v>
      </c>
      <c r="B667" s="15">
        <f>IFERROR(__xludf.DUMMYFUNCTION("""COMPUTED_VALUE"""),43343.64583333333)</f>
        <v>43343.64583</v>
      </c>
      <c r="C667" s="8">
        <f>IFERROR(__xludf.DUMMYFUNCTION("""COMPUTED_VALUE"""),1935.95)</f>
        <v>1935.95</v>
      </c>
      <c r="E667" s="15">
        <f>IFERROR(__xludf.DUMMYFUNCTION("""COMPUTED_VALUE"""),43343.64583333333)</f>
        <v>43343.64583</v>
      </c>
      <c r="F667" s="8">
        <f>IFERROR(__xludf.DUMMYFUNCTION("""COMPUTED_VALUE"""),1030.6)</f>
        <v>1030.6</v>
      </c>
      <c r="H667" s="4">
        <f t="shared" si="1"/>
        <v>905.35</v>
      </c>
      <c r="I667" s="16">
        <f t="shared" si="2"/>
        <v>903.16</v>
      </c>
      <c r="J667" s="16">
        <f t="shared" si="3"/>
        <v>11.88212733</v>
      </c>
      <c r="K667" s="16">
        <f t="shared" si="4"/>
        <v>915.0421273</v>
      </c>
      <c r="L667" s="16">
        <f t="shared" si="5"/>
        <v>891.2778727</v>
      </c>
      <c r="N667" s="17" t="str">
        <f t="shared" si="6"/>
        <v>F</v>
      </c>
      <c r="O667" s="17" t="str">
        <f t="shared" si="7"/>
        <v>T</v>
      </c>
      <c r="P667" s="8">
        <f t="shared" si="8"/>
        <v>0</v>
      </c>
      <c r="R667" s="17" t="str">
        <f t="shared" si="9"/>
        <v>F</v>
      </c>
      <c r="S667" s="3" t="str">
        <f t="shared" si="10"/>
        <v>F</v>
      </c>
      <c r="T667" s="8">
        <f t="shared" si="11"/>
        <v>-1</v>
      </c>
      <c r="V667" s="4">
        <f t="shared" si="12"/>
        <v>-1</v>
      </c>
      <c r="W667" s="8">
        <f t="shared" si="13"/>
        <v>4.25</v>
      </c>
      <c r="X667" s="8">
        <f t="shared" si="14"/>
        <v>-4.25</v>
      </c>
      <c r="Y667" s="8">
        <f t="shared" si="15"/>
        <v>139.91</v>
      </c>
    </row>
    <row r="668">
      <c r="A668" s="2">
        <v>661.0</v>
      </c>
      <c r="B668" s="15">
        <f>IFERROR(__xludf.DUMMYFUNCTION("""COMPUTED_VALUE"""),43346.64583333333)</f>
        <v>43346.64583</v>
      </c>
      <c r="C668" s="8">
        <f>IFERROR(__xludf.DUMMYFUNCTION("""COMPUTED_VALUE"""),1944.8)</f>
        <v>1944.8</v>
      </c>
      <c r="E668" s="15">
        <f>IFERROR(__xludf.DUMMYFUNCTION("""COMPUTED_VALUE"""),43346.64583333333)</f>
        <v>43346.64583</v>
      </c>
      <c r="F668" s="8">
        <f>IFERROR(__xludf.DUMMYFUNCTION("""COMPUTED_VALUE"""),1037.53)</f>
        <v>1037.53</v>
      </c>
      <c r="H668" s="4">
        <f t="shared" si="1"/>
        <v>907.27</v>
      </c>
      <c r="I668" s="16">
        <f t="shared" si="2"/>
        <v>907.688</v>
      </c>
      <c r="J668" s="16">
        <f t="shared" si="3"/>
        <v>5.825742013</v>
      </c>
      <c r="K668" s="16">
        <f t="shared" si="4"/>
        <v>913.513742</v>
      </c>
      <c r="L668" s="16">
        <f t="shared" si="5"/>
        <v>901.862258</v>
      </c>
      <c r="N668" s="17" t="str">
        <f t="shared" si="6"/>
        <v>F</v>
      </c>
      <c r="O668" s="17" t="str">
        <f t="shared" si="7"/>
        <v>F</v>
      </c>
      <c r="P668" s="8">
        <f t="shared" si="8"/>
        <v>0</v>
      </c>
      <c r="R668" s="17" t="str">
        <f t="shared" si="9"/>
        <v>F</v>
      </c>
      <c r="S668" s="3" t="str">
        <f t="shared" si="10"/>
        <v>T</v>
      </c>
      <c r="T668" s="8">
        <f t="shared" si="11"/>
        <v>0</v>
      </c>
      <c r="V668" s="4">
        <f t="shared" si="12"/>
        <v>0</v>
      </c>
      <c r="W668" s="8">
        <f t="shared" si="13"/>
        <v>1.92</v>
      </c>
      <c r="X668" s="8">
        <f t="shared" si="14"/>
        <v>-1.92</v>
      </c>
      <c r="Y668" s="8">
        <f t="shared" si="15"/>
        <v>137.99</v>
      </c>
    </row>
    <row r="669">
      <c r="A669" s="2">
        <v>662.0</v>
      </c>
      <c r="B669" s="15">
        <f>IFERROR(__xludf.DUMMYFUNCTION("""COMPUTED_VALUE"""),43347.64583333333)</f>
        <v>43347.64583</v>
      </c>
      <c r="C669" s="8">
        <f>IFERROR(__xludf.DUMMYFUNCTION("""COMPUTED_VALUE"""),1954.8)</f>
        <v>1954.8</v>
      </c>
      <c r="E669" s="15">
        <f>IFERROR(__xludf.DUMMYFUNCTION("""COMPUTED_VALUE"""),43347.64583333333)</f>
        <v>43347.64583</v>
      </c>
      <c r="F669" s="8">
        <f>IFERROR(__xludf.DUMMYFUNCTION("""COMPUTED_VALUE"""),1025.9)</f>
        <v>1025.9</v>
      </c>
      <c r="H669" s="4">
        <f t="shared" si="1"/>
        <v>928.9</v>
      </c>
      <c r="I669" s="16">
        <f t="shared" si="2"/>
        <v>911.924</v>
      </c>
      <c r="J669" s="16">
        <f t="shared" si="3"/>
        <v>11.13537741</v>
      </c>
      <c r="K669" s="16">
        <f t="shared" si="4"/>
        <v>923.0593774</v>
      </c>
      <c r="L669" s="16">
        <f t="shared" si="5"/>
        <v>900.7886226</v>
      </c>
      <c r="N669" s="17" t="str">
        <f t="shared" si="6"/>
        <v>F</v>
      </c>
      <c r="O669" s="17" t="str">
        <f t="shared" si="7"/>
        <v>T</v>
      </c>
      <c r="P669" s="8">
        <f t="shared" si="8"/>
        <v>0</v>
      </c>
      <c r="R669" s="17" t="str">
        <f t="shared" si="9"/>
        <v>T</v>
      </c>
      <c r="S669" s="3" t="str">
        <f t="shared" si="10"/>
        <v>F</v>
      </c>
      <c r="T669" s="8">
        <f t="shared" si="11"/>
        <v>-1</v>
      </c>
      <c r="V669" s="4">
        <f t="shared" si="12"/>
        <v>-1</v>
      </c>
      <c r="W669" s="8">
        <f t="shared" si="13"/>
        <v>21.63</v>
      </c>
      <c r="X669" s="8">
        <f t="shared" si="14"/>
        <v>0</v>
      </c>
      <c r="Y669" s="8">
        <f t="shared" si="15"/>
        <v>137.99</v>
      </c>
    </row>
    <row r="670">
      <c r="A670" s="2">
        <v>663.0</v>
      </c>
      <c r="B670" s="15">
        <f>IFERROR(__xludf.DUMMYFUNCTION("""COMPUTED_VALUE"""),43348.64583333333)</f>
        <v>43348.64583</v>
      </c>
      <c r="C670" s="8">
        <f>IFERROR(__xludf.DUMMYFUNCTION("""COMPUTED_VALUE"""),1937.4)</f>
        <v>1937.4</v>
      </c>
      <c r="E670" s="15">
        <f>IFERROR(__xludf.DUMMYFUNCTION("""COMPUTED_VALUE"""),43348.64583333333)</f>
        <v>43348.64583</v>
      </c>
      <c r="F670" s="8">
        <f>IFERROR(__xludf.DUMMYFUNCTION("""COMPUTED_VALUE"""),1022.93)</f>
        <v>1022.93</v>
      </c>
      <c r="H670" s="4">
        <f t="shared" si="1"/>
        <v>914.47</v>
      </c>
      <c r="I670" s="16">
        <f t="shared" si="2"/>
        <v>911.418</v>
      </c>
      <c r="J670" s="16">
        <f t="shared" si="3"/>
        <v>10.90209475</v>
      </c>
      <c r="K670" s="16">
        <f t="shared" si="4"/>
        <v>922.3200948</v>
      </c>
      <c r="L670" s="16">
        <f t="shared" si="5"/>
        <v>900.5159052</v>
      </c>
      <c r="N670" s="17" t="str">
        <f t="shared" si="6"/>
        <v>F</v>
      </c>
      <c r="O670" s="17" t="str">
        <f t="shared" si="7"/>
        <v>T</v>
      </c>
      <c r="P670" s="8">
        <f t="shared" si="8"/>
        <v>0</v>
      </c>
      <c r="R670" s="17" t="str">
        <f t="shared" si="9"/>
        <v>F</v>
      </c>
      <c r="S670" s="3" t="str">
        <f t="shared" si="10"/>
        <v>F</v>
      </c>
      <c r="T670" s="8">
        <f t="shared" si="11"/>
        <v>-1</v>
      </c>
      <c r="V670" s="4">
        <f t="shared" si="12"/>
        <v>-1</v>
      </c>
      <c r="W670" s="8">
        <f t="shared" si="13"/>
        <v>-14.43</v>
      </c>
      <c r="X670" s="8">
        <f t="shared" si="14"/>
        <v>14.43</v>
      </c>
      <c r="Y670" s="8">
        <f t="shared" si="15"/>
        <v>152.42</v>
      </c>
    </row>
    <row r="671">
      <c r="A671" s="2">
        <v>664.0</v>
      </c>
      <c r="B671" s="15">
        <f>IFERROR(__xludf.DUMMYFUNCTION("""COMPUTED_VALUE"""),43349.64583333333)</f>
        <v>43349.64583</v>
      </c>
      <c r="C671" s="8">
        <f>IFERROR(__xludf.DUMMYFUNCTION("""COMPUTED_VALUE"""),1956.15)</f>
        <v>1956.15</v>
      </c>
      <c r="E671" s="15">
        <f>IFERROR(__xludf.DUMMYFUNCTION("""COMPUTED_VALUE"""),43349.64583333333)</f>
        <v>43349.64583</v>
      </c>
      <c r="F671" s="8">
        <f>IFERROR(__xludf.DUMMYFUNCTION("""COMPUTED_VALUE"""),1026.1)</f>
        <v>1026.1</v>
      </c>
      <c r="H671" s="4">
        <f t="shared" si="1"/>
        <v>930.05</v>
      </c>
      <c r="I671" s="16">
        <f t="shared" si="2"/>
        <v>917.208</v>
      </c>
      <c r="J671" s="16">
        <f t="shared" si="3"/>
        <v>11.70995816</v>
      </c>
      <c r="K671" s="16">
        <f t="shared" si="4"/>
        <v>928.9179582</v>
      </c>
      <c r="L671" s="16">
        <f t="shared" si="5"/>
        <v>905.4980418</v>
      </c>
      <c r="N671" s="17" t="str">
        <f t="shared" si="6"/>
        <v>F</v>
      </c>
      <c r="O671" s="17" t="str">
        <f t="shared" si="7"/>
        <v>T</v>
      </c>
      <c r="P671" s="8">
        <f t="shared" si="8"/>
        <v>0</v>
      </c>
      <c r="R671" s="17" t="str">
        <f t="shared" si="9"/>
        <v>T</v>
      </c>
      <c r="S671" s="3" t="str">
        <f t="shared" si="10"/>
        <v>F</v>
      </c>
      <c r="T671" s="8">
        <f t="shared" si="11"/>
        <v>-1</v>
      </c>
      <c r="V671" s="4">
        <f t="shared" si="12"/>
        <v>-1</v>
      </c>
      <c r="W671" s="8">
        <f t="shared" si="13"/>
        <v>15.58</v>
      </c>
      <c r="X671" s="8">
        <f t="shared" si="14"/>
        <v>-15.58</v>
      </c>
      <c r="Y671" s="8">
        <f t="shared" si="15"/>
        <v>136.84</v>
      </c>
    </row>
    <row r="672">
      <c r="A672" s="2">
        <v>665.0</v>
      </c>
      <c r="B672" s="15">
        <f>IFERROR(__xludf.DUMMYFUNCTION("""COMPUTED_VALUE"""),43350.64583333333)</f>
        <v>43350.64583</v>
      </c>
      <c r="C672" s="8">
        <f>IFERROR(__xludf.DUMMYFUNCTION("""COMPUTED_VALUE"""),1920.0)</f>
        <v>1920</v>
      </c>
      <c r="E672" s="15">
        <f>IFERROR(__xludf.DUMMYFUNCTION("""COMPUTED_VALUE"""),43350.64583333333)</f>
        <v>43350.64583</v>
      </c>
      <c r="F672" s="8">
        <f>IFERROR(__xludf.DUMMYFUNCTION("""COMPUTED_VALUE"""),1028.47)</f>
        <v>1028.47</v>
      </c>
      <c r="H672" s="4">
        <f t="shared" si="1"/>
        <v>891.53</v>
      </c>
      <c r="I672" s="16">
        <f t="shared" si="2"/>
        <v>914.444</v>
      </c>
      <c r="J672" s="16">
        <f t="shared" si="3"/>
        <v>16.03933852</v>
      </c>
      <c r="K672" s="16">
        <f t="shared" si="4"/>
        <v>930.4833385</v>
      </c>
      <c r="L672" s="16">
        <f t="shared" si="5"/>
        <v>898.4046615</v>
      </c>
      <c r="N672" s="17" t="str">
        <f t="shared" si="6"/>
        <v>T</v>
      </c>
      <c r="O672" s="17" t="str">
        <f t="shared" si="7"/>
        <v>F</v>
      </c>
      <c r="P672" s="8">
        <f t="shared" si="8"/>
        <v>1</v>
      </c>
      <c r="R672" s="17" t="str">
        <f t="shared" si="9"/>
        <v>F</v>
      </c>
      <c r="S672" s="3" t="str">
        <f t="shared" si="10"/>
        <v>T</v>
      </c>
      <c r="T672" s="8">
        <f t="shared" si="11"/>
        <v>0</v>
      </c>
      <c r="V672" s="4">
        <f t="shared" si="12"/>
        <v>1</v>
      </c>
      <c r="W672" s="8">
        <f t="shared" si="13"/>
        <v>-38.52</v>
      </c>
      <c r="X672" s="8">
        <f t="shared" si="14"/>
        <v>38.52</v>
      </c>
      <c r="Y672" s="8">
        <f t="shared" si="15"/>
        <v>175.36</v>
      </c>
    </row>
    <row r="673">
      <c r="A673" s="2">
        <v>666.0</v>
      </c>
      <c r="B673" s="15">
        <f>IFERROR(__xludf.DUMMYFUNCTION("""COMPUTED_VALUE"""),43353.64583333333)</f>
        <v>43353.64583</v>
      </c>
      <c r="C673" s="8">
        <f>IFERROR(__xludf.DUMMYFUNCTION("""COMPUTED_VALUE"""),1883.55)</f>
        <v>1883.55</v>
      </c>
      <c r="E673" s="15">
        <f>IFERROR(__xludf.DUMMYFUNCTION("""COMPUTED_VALUE"""),43353.64583333333)</f>
        <v>43353.64583</v>
      </c>
      <c r="F673" s="8">
        <f>IFERROR(__xludf.DUMMYFUNCTION("""COMPUTED_VALUE"""),1020.58)</f>
        <v>1020.58</v>
      </c>
      <c r="H673" s="4">
        <f t="shared" si="1"/>
        <v>862.97</v>
      </c>
      <c r="I673" s="16">
        <f t="shared" si="2"/>
        <v>905.584</v>
      </c>
      <c r="J673" s="16">
        <f t="shared" si="3"/>
        <v>28.4369914</v>
      </c>
      <c r="K673" s="16">
        <f t="shared" si="4"/>
        <v>934.0209914</v>
      </c>
      <c r="L673" s="16">
        <f t="shared" si="5"/>
        <v>877.1470086</v>
      </c>
      <c r="N673" s="17" t="str">
        <f t="shared" si="6"/>
        <v>T</v>
      </c>
      <c r="O673" s="17" t="str">
        <f t="shared" si="7"/>
        <v>F</v>
      </c>
      <c r="P673" s="8">
        <f t="shared" si="8"/>
        <v>1</v>
      </c>
      <c r="R673" s="17" t="str">
        <f t="shared" si="9"/>
        <v>F</v>
      </c>
      <c r="S673" s="3" t="str">
        <f t="shared" si="10"/>
        <v>T</v>
      </c>
      <c r="T673" s="8">
        <f t="shared" si="11"/>
        <v>0</v>
      </c>
      <c r="V673" s="4">
        <f t="shared" si="12"/>
        <v>1</v>
      </c>
      <c r="W673" s="8">
        <f t="shared" si="13"/>
        <v>-28.56</v>
      </c>
      <c r="X673" s="8">
        <f t="shared" si="14"/>
        <v>-28.56</v>
      </c>
      <c r="Y673" s="8">
        <f t="shared" si="15"/>
        <v>146.8</v>
      </c>
    </row>
    <row r="674">
      <c r="A674" s="2">
        <v>667.0</v>
      </c>
      <c r="B674" s="15">
        <f>IFERROR(__xludf.DUMMYFUNCTION("""COMPUTED_VALUE"""),43354.64583333333)</f>
        <v>43354.64583</v>
      </c>
      <c r="C674" s="8">
        <f>IFERROR(__xludf.DUMMYFUNCTION("""COMPUTED_VALUE"""),1868.05)</f>
        <v>1868.05</v>
      </c>
      <c r="E674" s="15">
        <f>IFERROR(__xludf.DUMMYFUNCTION("""COMPUTED_VALUE"""),43354.64583333333)</f>
        <v>43354.64583</v>
      </c>
      <c r="F674" s="8">
        <f>IFERROR(__xludf.DUMMYFUNCTION("""COMPUTED_VALUE"""),1000.2)</f>
        <v>1000.2</v>
      </c>
      <c r="H674" s="4">
        <f t="shared" si="1"/>
        <v>867.85</v>
      </c>
      <c r="I674" s="16">
        <f t="shared" si="2"/>
        <v>893.374</v>
      </c>
      <c r="J674" s="16">
        <f t="shared" si="3"/>
        <v>29.02347464</v>
      </c>
      <c r="K674" s="16">
        <f t="shared" si="4"/>
        <v>922.3974746</v>
      </c>
      <c r="L674" s="16">
        <f t="shared" si="5"/>
        <v>864.3505254</v>
      </c>
      <c r="N674" s="17" t="str">
        <f t="shared" si="6"/>
        <v>F</v>
      </c>
      <c r="O674" s="17" t="str">
        <f t="shared" si="7"/>
        <v>F</v>
      </c>
      <c r="P674" s="8">
        <f t="shared" si="8"/>
        <v>1</v>
      </c>
      <c r="R674" s="17" t="str">
        <f t="shared" si="9"/>
        <v>F</v>
      </c>
      <c r="S674" s="3" t="str">
        <f t="shared" si="10"/>
        <v>T</v>
      </c>
      <c r="T674" s="8">
        <f t="shared" si="11"/>
        <v>0</v>
      </c>
      <c r="V674" s="4">
        <f t="shared" si="12"/>
        <v>1</v>
      </c>
      <c r="W674" s="8">
        <f t="shared" si="13"/>
        <v>4.88</v>
      </c>
      <c r="X674" s="8">
        <f t="shared" si="14"/>
        <v>4.88</v>
      </c>
      <c r="Y674" s="8">
        <f t="shared" si="15"/>
        <v>151.68</v>
      </c>
    </row>
    <row r="675">
      <c r="A675" s="2">
        <v>668.0</v>
      </c>
      <c r="B675" s="15">
        <f>IFERROR(__xludf.DUMMYFUNCTION("""COMPUTED_VALUE"""),43355.64583333333)</f>
        <v>43355.64583</v>
      </c>
      <c r="C675" s="8">
        <f>IFERROR(__xludf.DUMMYFUNCTION("""COMPUTED_VALUE"""),1877.8)</f>
        <v>1877.8</v>
      </c>
      <c r="E675" s="15">
        <f>IFERROR(__xludf.DUMMYFUNCTION("""COMPUTED_VALUE"""),43355.64583333333)</f>
        <v>43355.64583</v>
      </c>
      <c r="F675" s="8">
        <f>IFERROR(__xludf.DUMMYFUNCTION("""COMPUTED_VALUE"""),1005.93)</f>
        <v>1005.93</v>
      </c>
      <c r="H675" s="4">
        <f t="shared" si="1"/>
        <v>871.87</v>
      </c>
      <c r="I675" s="16">
        <f t="shared" si="2"/>
        <v>884.854</v>
      </c>
      <c r="J675" s="16">
        <f t="shared" si="3"/>
        <v>27.49489553</v>
      </c>
      <c r="K675" s="16">
        <f t="shared" si="4"/>
        <v>912.3488955</v>
      </c>
      <c r="L675" s="16">
        <f t="shared" si="5"/>
        <v>857.3591045</v>
      </c>
      <c r="N675" s="17" t="str">
        <f t="shared" si="6"/>
        <v>F</v>
      </c>
      <c r="O675" s="17" t="str">
        <f t="shared" si="7"/>
        <v>F</v>
      </c>
      <c r="P675" s="8">
        <f t="shared" si="8"/>
        <v>1</v>
      </c>
      <c r="R675" s="17" t="str">
        <f t="shared" si="9"/>
        <v>F</v>
      </c>
      <c r="S675" s="3" t="str">
        <f t="shared" si="10"/>
        <v>T</v>
      </c>
      <c r="T675" s="8">
        <f t="shared" si="11"/>
        <v>0</v>
      </c>
      <c r="V675" s="4">
        <f t="shared" si="12"/>
        <v>1</v>
      </c>
      <c r="W675" s="8">
        <f t="shared" si="13"/>
        <v>4.02</v>
      </c>
      <c r="X675" s="8">
        <f t="shared" si="14"/>
        <v>4.02</v>
      </c>
      <c r="Y675" s="8">
        <f t="shared" si="15"/>
        <v>155.7</v>
      </c>
    </row>
    <row r="676">
      <c r="A676" s="2">
        <v>669.0</v>
      </c>
      <c r="B676" s="15">
        <f>IFERROR(__xludf.DUMMYFUNCTION("""COMPUTED_VALUE"""),43357.64583333333)</f>
        <v>43357.64583</v>
      </c>
      <c r="C676" s="8">
        <f>IFERROR(__xludf.DUMMYFUNCTION("""COMPUTED_VALUE"""),1925.45)</f>
        <v>1925.45</v>
      </c>
      <c r="E676" s="15">
        <f>IFERROR(__xludf.DUMMYFUNCTION("""COMPUTED_VALUE"""),43357.64583333333)</f>
        <v>43357.64583</v>
      </c>
      <c r="F676" s="8">
        <f>IFERROR(__xludf.DUMMYFUNCTION("""COMPUTED_VALUE"""),1014.8)</f>
        <v>1014.8</v>
      </c>
      <c r="H676" s="4">
        <f t="shared" si="1"/>
        <v>910.65</v>
      </c>
      <c r="I676" s="16">
        <f t="shared" si="2"/>
        <v>880.974</v>
      </c>
      <c r="J676" s="16">
        <f t="shared" si="3"/>
        <v>19.82019374</v>
      </c>
      <c r="K676" s="16">
        <f t="shared" si="4"/>
        <v>900.7941937</v>
      </c>
      <c r="L676" s="16">
        <f t="shared" si="5"/>
        <v>861.1538063</v>
      </c>
      <c r="N676" s="17" t="str">
        <f t="shared" si="6"/>
        <v>F</v>
      </c>
      <c r="O676" s="17" t="str">
        <f t="shared" si="7"/>
        <v>T</v>
      </c>
      <c r="P676" s="8">
        <f t="shared" si="8"/>
        <v>0</v>
      </c>
      <c r="R676" s="17" t="str">
        <f t="shared" si="9"/>
        <v>T</v>
      </c>
      <c r="S676" s="3" t="str">
        <f t="shared" si="10"/>
        <v>F</v>
      </c>
      <c r="T676" s="8">
        <f t="shared" si="11"/>
        <v>-1</v>
      </c>
      <c r="V676" s="4">
        <f t="shared" si="12"/>
        <v>-1</v>
      </c>
      <c r="W676" s="8">
        <f t="shared" si="13"/>
        <v>38.78</v>
      </c>
      <c r="X676" s="8">
        <f t="shared" si="14"/>
        <v>38.78</v>
      </c>
      <c r="Y676" s="8">
        <f t="shared" si="15"/>
        <v>194.48</v>
      </c>
    </row>
    <row r="677">
      <c r="A677" s="2">
        <v>670.0</v>
      </c>
      <c r="B677" s="15">
        <f>IFERROR(__xludf.DUMMYFUNCTION("""COMPUTED_VALUE"""),43360.64583333333)</f>
        <v>43360.64583</v>
      </c>
      <c r="C677" s="8">
        <f>IFERROR(__xludf.DUMMYFUNCTION("""COMPUTED_VALUE"""),1878.85)</f>
        <v>1878.85</v>
      </c>
      <c r="E677" s="15">
        <f>IFERROR(__xludf.DUMMYFUNCTION("""COMPUTED_VALUE"""),43360.64583333333)</f>
        <v>43360.64583</v>
      </c>
      <c r="F677" s="8">
        <f>IFERROR(__xludf.DUMMYFUNCTION("""COMPUTED_VALUE"""),996.1)</f>
        <v>996.1</v>
      </c>
      <c r="H677" s="4">
        <f t="shared" si="1"/>
        <v>882.75</v>
      </c>
      <c r="I677" s="16">
        <f t="shared" si="2"/>
        <v>879.218</v>
      </c>
      <c r="J677" s="16">
        <f t="shared" si="3"/>
        <v>19.02411417</v>
      </c>
      <c r="K677" s="16">
        <f t="shared" si="4"/>
        <v>898.2421142</v>
      </c>
      <c r="L677" s="16">
        <f t="shared" si="5"/>
        <v>860.1938858</v>
      </c>
      <c r="N677" s="17" t="str">
        <f t="shared" si="6"/>
        <v>F</v>
      </c>
      <c r="O677" s="17" t="str">
        <f t="shared" si="7"/>
        <v>T</v>
      </c>
      <c r="P677" s="8">
        <f t="shared" si="8"/>
        <v>0</v>
      </c>
      <c r="R677" s="17" t="str">
        <f t="shared" si="9"/>
        <v>F</v>
      </c>
      <c r="S677" s="3" t="str">
        <f t="shared" si="10"/>
        <v>F</v>
      </c>
      <c r="T677" s="8">
        <f t="shared" si="11"/>
        <v>-1</v>
      </c>
      <c r="V677" s="4">
        <f t="shared" si="12"/>
        <v>-1</v>
      </c>
      <c r="W677" s="8">
        <f t="shared" si="13"/>
        <v>-27.9</v>
      </c>
      <c r="X677" s="8">
        <f t="shared" si="14"/>
        <v>27.9</v>
      </c>
      <c r="Y677" s="8">
        <f t="shared" si="15"/>
        <v>222.38</v>
      </c>
    </row>
    <row r="678">
      <c r="A678" s="2">
        <v>671.0</v>
      </c>
      <c r="B678" s="15">
        <f>IFERROR(__xludf.DUMMYFUNCTION("""COMPUTED_VALUE"""),43361.64583333333)</f>
        <v>43361.64583</v>
      </c>
      <c r="C678" s="8">
        <f>IFERROR(__xludf.DUMMYFUNCTION("""COMPUTED_VALUE"""),1855.7)</f>
        <v>1855.7</v>
      </c>
      <c r="E678" s="15">
        <f>IFERROR(__xludf.DUMMYFUNCTION("""COMPUTED_VALUE"""),43361.64583333333)</f>
        <v>43361.64583</v>
      </c>
      <c r="F678" s="8">
        <f>IFERROR(__xludf.DUMMYFUNCTION("""COMPUTED_VALUE"""),994.6)</f>
        <v>994.6</v>
      </c>
      <c r="H678" s="4">
        <f t="shared" si="1"/>
        <v>861.1</v>
      </c>
      <c r="I678" s="16">
        <f t="shared" si="2"/>
        <v>878.844</v>
      </c>
      <c r="J678" s="16">
        <f t="shared" si="3"/>
        <v>19.43728839</v>
      </c>
      <c r="K678" s="16">
        <f t="shared" si="4"/>
        <v>898.2812884</v>
      </c>
      <c r="L678" s="16">
        <f t="shared" si="5"/>
        <v>859.4067116</v>
      </c>
      <c r="N678" s="17" t="str">
        <f t="shared" si="6"/>
        <v>F</v>
      </c>
      <c r="O678" s="17" t="str">
        <f t="shared" si="7"/>
        <v>F</v>
      </c>
      <c r="P678" s="8">
        <f t="shared" si="8"/>
        <v>0</v>
      </c>
      <c r="R678" s="17" t="str">
        <f t="shared" si="9"/>
        <v>F</v>
      </c>
      <c r="S678" s="3" t="str">
        <f t="shared" si="10"/>
        <v>T</v>
      </c>
      <c r="T678" s="8">
        <f t="shared" si="11"/>
        <v>0</v>
      </c>
      <c r="V678" s="4">
        <f t="shared" si="12"/>
        <v>0</v>
      </c>
      <c r="W678" s="8">
        <f t="shared" si="13"/>
        <v>-21.65</v>
      </c>
      <c r="X678" s="8">
        <f t="shared" si="14"/>
        <v>21.65</v>
      </c>
      <c r="Y678" s="8">
        <f t="shared" si="15"/>
        <v>244.03</v>
      </c>
    </row>
    <row r="679">
      <c r="A679" s="2">
        <v>672.0</v>
      </c>
      <c r="B679" s="15">
        <f>IFERROR(__xludf.DUMMYFUNCTION("""COMPUTED_VALUE"""),43362.64583333333)</f>
        <v>43362.64583</v>
      </c>
      <c r="C679" s="8">
        <f>IFERROR(__xludf.DUMMYFUNCTION("""COMPUTED_VALUE"""),1830.65)</f>
        <v>1830.65</v>
      </c>
      <c r="E679" s="15">
        <f>IFERROR(__xludf.DUMMYFUNCTION("""COMPUTED_VALUE"""),43362.64583333333)</f>
        <v>43362.64583</v>
      </c>
      <c r="F679" s="8">
        <f>IFERROR(__xludf.DUMMYFUNCTION("""COMPUTED_VALUE"""),980.68)</f>
        <v>980.68</v>
      </c>
      <c r="H679" s="4">
        <f t="shared" si="1"/>
        <v>849.97</v>
      </c>
      <c r="I679" s="16">
        <f t="shared" si="2"/>
        <v>875.268</v>
      </c>
      <c r="J679" s="16">
        <f t="shared" si="3"/>
        <v>23.23861915</v>
      </c>
      <c r="K679" s="16">
        <f t="shared" si="4"/>
        <v>898.5066192</v>
      </c>
      <c r="L679" s="16">
        <f t="shared" si="5"/>
        <v>852.0293808</v>
      </c>
      <c r="N679" s="17" t="str">
        <f t="shared" si="6"/>
        <v>T</v>
      </c>
      <c r="O679" s="17" t="str">
        <f t="shared" si="7"/>
        <v>F</v>
      </c>
      <c r="P679" s="8">
        <f t="shared" si="8"/>
        <v>1</v>
      </c>
      <c r="R679" s="17" t="str">
        <f t="shared" si="9"/>
        <v>F</v>
      </c>
      <c r="S679" s="3" t="str">
        <f t="shared" si="10"/>
        <v>T</v>
      </c>
      <c r="T679" s="8">
        <f t="shared" si="11"/>
        <v>0</v>
      </c>
      <c r="V679" s="4">
        <f t="shared" si="12"/>
        <v>1</v>
      </c>
      <c r="W679" s="8">
        <f t="shared" si="13"/>
        <v>-11.13</v>
      </c>
      <c r="X679" s="8">
        <f t="shared" si="14"/>
        <v>0</v>
      </c>
      <c r="Y679" s="8">
        <f t="shared" si="15"/>
        <v>244.03</v>
      </c>
    </row>
    <row r="680">
      <c r="A680" s="2">
        <v>673.0</v>
      </c>
      <c r="B680" s="15">
        <f>IFERROR(__xludf.DUMMYFUNCTION("""COMPUTED_VALUE"""),43364.64583333333)</f>
        <v>43364.64583</v>
      </c>
      <c r="C680" s="8">
        <f>IFERROR(__xludf.DUMMYFUNCTION("""COMPUTED_VALUE"""),1839.4)</f>
        <v>1839.4</v>
      </c>
      <c r="E680" s="15">
        <f>IFERROR(__xludf.DUMMYFUNCTION("""COMPUTED_VALUE"""),43364.64583333333)</f>
        <v>43364.64583</v>
      </c>
      <c r="F680" s="8">
        <f>IFERROR(__xludf.DUMMYFUNCTION("""COMPUTED_VALUE"""),985.13)</f>
        <v>985.13</v>
      </c>
      <c r="H680" s="4">
        <f t="shared" si="1"/>
        <v>854.27</v>
      </c>
      <c r="I680" s="16">
        <f t="shared" si="2"/>
        <v>871.748</v>
      </c>
      <c r="J680" s="16">
        <f t="shared" si="3"/>
        <v>25.13737894</v>
      </c>
      <c r="K680" s="16">
        <f t="shared" si="4"/>
        <v>896.8853789</v>
      </c>
      <c r="L680" s="16">
        <f t="shared" si="5"/>
        <v>846.6106211</v>
      </c>
      <c r="N680" s="17" t="str">
        <f t="shared" si="6"/>
        <v>F</v>
      </c>
      <c r="O680" s="17" t="str">
        <f t="shared" si="7"/>
        <v>F</v>
      </c>
      <c r="P680" s="8">
        <f t="shared" si="8"/>
        <v>1</v>
      </c>
      <c r="R680" s="17" t="str">
        <f t="shared" si="9"/>
        <v>F</v>
      </c>
      <c r="S680" s="3" t="str">
        <f t="shared" si="10"/>
        <v>T</v>
      </c>
      <c r="T680" s="8">
        <f t="shared" si="11"/>
        <v>0</v>
      </c>
      <c r="V680" s="4">
        <f t="shared" si="12"/>
        <v>1</v>
      </c>
      <c r="W680" s="8">
        <f t="shared" si="13"/>
        <v>4.3</v>
      </c>
      <c r="X680" s="8">
        <f t="shared" si="14"/>
        <v>4.3</v>
      </c>
      <c r="Y680" s="8">
        <f t="shared" si="15"/>
        <v>248.33</v>
      </c>
    </row>
    <row r="681">
      <c r="A681" s="2">
        <v>674.0</v>
      </c>
      <c r="B681" s="15">
        <f>IFERROR(__xludf.DUMMYFUNCTION("""COMPUTED_VALUE"""),43367.64583333333)</f>
        <v>43367.64583</v>
      </c>
      <c r="C681" s="8">
        <f>IFERROR(__xludf.DUMMYFUNCTION("""COMPUTED_VALUE"""),1718.7)</f>
        <v>1718.7</v>
      </c>
      <c r="E681" s="15">
        <f>IFERROR(__xludf.DUMMYFUNCTION("""COMPUTED_VALUE"""),43367.64583333333)</f>
        <v>43367.64583</v>
      </c>
      <c r="F681" s="8">
        <f>IFERROR(__xludf.DUMMYFUNCTION("""COMPUTED_VALUE"""),962.85)</f>
        <v>962.85</v>
      </c>
      <c r="H681" s="4">
        <f t="shared" si="1"/>
        <v>755.85</v>
      </c>
      <c r="I681" s="16">
        <f t="shared" si="2"/>
        <v>840.788</v>
      </c>
      <c r="J681" s="16">
        <f t="shared" si="3"/>
        <v>49.12719227</v>
      </c>
      <c r="K681" s="16">
        <f t="shared" si="4"/>
        <v>889.9151923</v>
      </c>
      <c r="L681" s="16">
        <f t="shared" si="5"/>
        <v>791.6608077</v>
      </c>
      <c r="N681" s="17" t="str">
        <f t="shared" si="6"/>
        <v>T</v>
      </c>
      <c r="O681" s="17" t="str">
        <f t="shared" si="7"/>
        <v>F</v>
      </c>
      <c r="P681" s="8">
        <f t="shared" si="8"/>
        <v>1</v>
      </c>
      <c r="R681" s="17" t="str">
        <f t="shared" si="9"/>
        <v>F</v>
      </c>
      <c r="S681" s="3" t="str">
        <f t="shared" si="10"/>
        <v>T</v>
      </c>
      <c r="T681" s="8">
        <f t="shared" si="11"/>
        <v>0</v>
      </c>
      <c r="V681" s="4">
        <f t="shared" si="12"/>
        <v>1</v>
      </c>
      <c r="W681" s="8">
        <f t="shared" si="13"/>
        <v>-98.42</v>
      </c>
      <c r="X681" s="8">
        <f t="shared" si="14"/>
        <v>-98.42</v>
      </c>
      <c r="Y681" s="8">
        <f t="shared" si="15"/>
        <v>149.91</v>
      </c>
    </row>
    <row r="682">
      <c r="A682" s="2">
        <v>675.0</v>
      </c>
      <c r="B682" s="15">
        <f>IFERROR(__xludf.DUMMYFUNCTION("""COMPUTED_VALUE"""),43368.64583333333)</f>
        <v>43368.64583</v>
      </c>
      <c r="C682" s="8">
        <f>IFERROR(__xludf.DUMMYFUNCTION("""COMPUTED_VALUE"""),1773.35)</f>
        <v>1773.35</v>
      </c>
      <c r="E682" s="15">
        <f>IFERROR(__xludf.DUMMYFUNCTION("""COMPUTED_VALUE"""),43368.64583333333)</f>
        <v>43368.64583</v>
      </c>
      <c r="F682" s="8">
        <f>IFERROR(__xludf.DUMMYFUNCTION("""COMPUTED_VALUE"""),976.2)</f>
        <v>976.2</v>
      </c>
      <c r="H682" s="4">
        <f t="shared" si="1"/>
        <v>797.15</v>
      </c>
      <c r="I682" s="16">
        <f t="shared" si="2"/>
        <v>823.668</v>
      </c>
      <c r="J682" s="16">
        <f t="shared" si="3"/>
        <v>45.63966937</v>
      </c>
      <c r="K682" s="16">
        <f t="shared" si="4"/>
        <v>869.3076694</v>
      </c>
      <c r="L682" s="16">
        <f t="shared" si="5"/>
        <v>778.0283306</v>
      </c>
      <c r="N682" s="17" t="str">
        <f t="shared" si="6"/>
        <v>F</v>
      </c>
      <c r="O682" s="17" t="str">
        <f t="shared" si="7"/>
        <v>F</v>
      </c>
      <c r="P682" s="8">
        <f t="shared" si="8"/>
        <v>1</v>
      </c>
      <c r="R682" s="17" t="str">
        <f t="shared" si="9"/>
        <v>F</v>
      </c>
      <c r="S682" s="3" t="str">
        <f t="shared" si="10"/>
        <v>T</v>
      </c>
      <c r="T682" s="8">
        <f t="shared" si="11"/>
        <v>0</v>
      </c>
      <c r="V682" s="4">
        <f t="shared" si="12"/>
        <v>1</v>
      </c>
      <c r="W682" s="8">
        <f t="shared" si="13"/>
        <v>41.3</v>
      </c>
      <c r="X682" s="8">
        <f t="shared" si="14"/>
        <v>41.3</v>
      </c>
      <c r="Y682" s="8">
        <f t="shared" si="15"/>
        <v>191.21</v>
      </c>
    </row>
    <row r="683">
      <c r="A683" s="2">
        <v>676.0</v>
      </c>
      <c r="B683" s="15">
        <f>IFERROR(__xludf.DUMMYFUNCTION("""COMPUTED_VALUE"""),43369.64583333333)</f>
        <v>43369.64583</v>
      </c>
      <c r="C683" s="8">
        <f>IFERROR(__xludf.DUMMYFUNCTION("""COMPUTED_VALUE"""),1767.45)</f>
        <v>1767.45</v>
      </c>
      <c r="E683" s="15">
        <f>IFERROR(__xludf.DUMMYFUNCTION("""COMPUTED_VALUE"""),43369.64583333333)</f>
        <v>43369.64583</v>
      </c>
      <c r="F683" s="8">
        <f>IFERROR(__xludf.DUMMYFUNCTION("""COMPUTED_VALUE"""),984.1)</f>
        <v>984.1</v>
      </c>
      <c r="H683" s="4">
        <f t="shared" si="1"/>
        <v>783.35</v>
      </c>
      <c r="I683" s="16">
        <f t="shared" si="2"/>
        <v>808.118</v>
      </c>
      <c r="J683" s="16">
        <f t="shared" si="3"/>
        <v>42.85817215</v>
      </c>
      <c r="K683" s="16">
        <f t="shared" si="4"/>
        <v>850.9761721</v>
      </c>
      <c r="L683" s="16">
        <f t="shared" si="5"/>
        <v>765.2598279</v>
      </c>
      <c r="N683" s="17" t="str">
        <f t="shared" si="6"/>
        <v>F</v>
      </c>
      <c r="O683" s="17" t="str">
        <f t="shared" si="7"/>
        <v>F</v>
      </c>
      <c r="P683" s="8">
        <f t="shared" si="8"/>
        <v>1</v>
      </c>
      <c r="R683" s="17" t="str">
        <f t="shared" si="9"/>
        <v>F</v>
      </c>
      <c r="S683" s="3" t="str">
        <f t="shared" si="10"/>
        <v>T</v>
      </c>
      <c r="T683" s="8">
        <f t="shared" si="11"/>
        <v>0</v>
      </c>
      <c r="V683" s="4">
        <f t="shared" si="12"/>
        <v>1</v>
      </c>
      <c r="W683" s="8">
        <f t="shared" si="13"/>
        <v>-13.8</v>
      </c>
      <c r="X683" s="8">
        <f t="shared" si="14"/>
        <v>-13.8</v>
      </c>
      <c r="Y683" s="8">
        <f t="shared" si="15"/>
        <v>177.41</v>
      </c>
    </row>
    <row r="684">
      <c r="A684" s="2">
        <v>677.0</v>
      </c>
      <c r="B684" s="15">
        <f>IFERROR(__xludf.DUMMYFUNCTION("""COMPUTED_VALUE"""),43370.64583333333)</f>
        <v>43370.64583</v>
      </c>
      <c r="C684" s="8">
        <f>IFERROR(__xludf.DUMMYFUNCTION("""COMPUTED_VALUE"""),1729.0)</f>
        <v>1729</v>
      </c>
      <c r="E684" s="15">
        <f>IFERROR(__xludf.DUMMYFUNCTION("""COMPUTED_VALUE"""),43370.64583333333)</f>
        <v>43370.64583</v>
      </c>
      <c r="F684" s="8">
        <f>IFERROR(__xludf.DUMMYFUNCTION("""COMPUTED_VALUE"""),988.08)</f>
        <v>988.08</v>
      </c>
      <c r="H684" s="4">
        <f t="shared" si="1"/>
        <v>740.92</v>
      </c>
      <c r="I684" s="16">
        <f t="shared" si="2"/>
        <v>786.308</v>
      </c>
      <c r="J684" s="16">
        <f t="shared" si="3"/>
        <v>43.96843322</v>
      </c>
      <c r="K684" s="16">
        <f t="shared" si="4"/>
        <v>830.2764332</v>
      </c>
      <c r="L684" s="16">
        <f t="shared" si="5"/>
        <v>742.3395668</v>
      </c>
      <c r="N684" s="17" t="str">
        <f t="shared" si="6"/>
        <v>T</v>
      </c>
      <c r="O684" s="17" t="str">
        <f t="shared" si="7"/>
        <v>F</v>
      </c>
      <c r="P684" s="8">
        <f t="shared" si="8"/>
        <v>1</v>
      </c>
      <c r="R684" s="17" t="str">
        <f t="shared" si="9"/>
        <v>F</v>
      </c>
      <c r="S684" s="3" t="str">
        <f t="shared" si="10"/>
        <v>T</v>
      </c>
      <c r="T684" s="8">
        <f t="shared" si="11"/>
        <v>0</v>
      </c>
      <c r="V684" s="4">
        <f t="shared" si="12"/>
        <v>1</v>
      </c>
      <c r="W684" s="8">
        <f t="shared" si="13"/>
        <v>-42.43</v>
      </c>
      <c r="X684" s="8">
        <f t="shared" si="14"/>
        <v>-42.43</v>
      </c>
      <c r="Y684" s="8">
        <f t="shared" si="15"/>
        <v>134.98</v>
      </c>
    </row>
    <row r="685">
      <c r="A685" s="2">
        <v>678.0</v>
      </c>
      <c r="B685" s="15">
        <f>IFERROR(__xludf.DUMMYFUNCTION("""COMPUTED_VALUE"""),43371.64583333333)</f>
        <v>43371.64583</v>
      </c>
      <c r="C685" s="8">
        <f>IFERROR(__xludf.DUMMYFUNCTION("""COMPUTED_VALUE"""),1754.5)</f>
        <v>1754.5</v>
      </c>
      <c r="E685" s="15">
        <f>IFERROR(__xludf.DUMMYFUNCTION("""COMPUTED_VALUE"""),43371.64583333333)</f>
        <v>43371.64583</v>
      </c>
      <c r="F685" s="8">
        <f>IFERROR(__xludf.DUMMYFUNCTION("""COMPUTED_VALUE"""),1003.03)</f>
        <v>1003.03</v>
      </c>
      <c r="H685" s="4">
        <f t="shared" si="1"/>
        <v>751.47</v>
      </c>
      <c r="I685" s="16">
        <f t="shared" si="2"/>
        <v>765.748</v>
      </c>
      <c r="J685" s="16">
        <f t="shared" si="3"/>
        <v>23.52752261</v>
      </c>
      <c r="K685" s="16">
        <f t="shared" si="4"/>
        <v>789.2755226</v>
      </c>
      <c r="L685" s="16">
        <f t="shared" si="5"/>
        <v>742.2204774</v>
      </c>
      <c r="N685" s="17" t="str">
        <f t="shared" si="6"/>
        <v>F</v>
      </c>
      <c r="O685" s="17" t="str">
        <f t="shared" si="7"/>
        <v>F</v>
      </c>
      <c r="P685" s="8">
        <f t="shared" si="8"/>
        <v>1</v>
      </c>
      <c r="R685" s="17" t="str">
        <f t="shared" si="9"/>
        <v>F</v>
      </c>
      <c r="S685" s="3" t="str">
        <f t="shared" si="10"/>
        <v>T</v>
      </c>
      <c r="T685" s="8">
        <f t="shared" si="11"/>
        <v>0</v>
      </c>
      <c r="V685" s="4">
        <f t="shared" si="12"/>
        <v>1</v>
      </c>
      <c r="W685" s="8">
        <f t="shared" si="13"/>
        <v>10.55</v>
      </c>
      <c r="X685" s="8">
        <f t="shared" si="14"/>
        <v>10.55</v>
      </c>
      <c r="Y685" s="8">
        <f t="shared" si="15"/>
        <v>145.53</v>
      </c>
    </row>
    <row r="686">
      <c r="A686" s="2">
        <v>679.0</v>
      </c>
      <c r="B686" s="15">
        <f>IFERROR(__xludf.DUMMYFUNCTION("""COMPUTED_VALUE"""),43374.64583333333)</f>
        <v>43374.64583</v>
      </c>
      <c r="C686" s="8">
        <f>IFERROR(__xludf.DUMMYFUNCTION("""COMPUTED_VALUE"""),1806.35)</f>
        <v>1806.35</v>
      </c>
      <c r="E686" s="15">
        <f>IFERROR(__xludf.DUMMYFUNCTION("""COMPUTED_VALUE"""),43374.64583333333)</f>
        <v>43374.64583</v>
      </c>
      <c r="F686" s="8">
        <f>IFERROR(__xludf.DUMMYFUNCTION("""COMPUTED_VALUE"""),1017.73)</f>
        <v>1017.73</v>
      </c>
      <c r="H686" s="4">
        <f t="shared" si="1"/>
        <v>788.62</v>
      </c>
      <c r="I686" s="16">
        <f t="shared" si="2"/>
        <v>772.302</v>
      </c>
      <c r="J686" s="16">
        <f t="shared" si="3"/>
        <v>24.61991409</v>
      </c>
      <c r="K686" s="16">
        <f t="shared" si="4"/>
        <v>796.9219141</v>
      </c>
      <c r="L686" s="16">
        <f t="shared" si="5"/>
        <v>747.6820859</v>
      </c>
      <c r="N686" s="17" t="str">
        <f t="shared" si="6"/>
        <v>F</v>
      </c>
      <c r="O686" s="17" t="str">
        <f t="shared" si="7"/>
        <v>T</v>
      </c>
      <c r="P686" s="8">
        <f t="shared" si="8"/>
        <v>0</v>
      </c>
      <c r="R686" s="17" t="str">
        <f t="shared" si="9"/>
        <v>F</v>
      </c>
      <c r="S686" s="3" t="str">
        <f t="shared" si="10"/>
        <v>F</v>
      </c>
      <c r="T686" s="8">
        <f t="shared" si="11"/>
        <v>0</v>
      </c>
      <c r="V686" s="4">
        <f t="shared" si="12"/>
        <v>0</v>
      </c>
      <c r="W686" s="8">
        <f t="shared" si="13"/>
        <v>37.15</v>
      </c>
      <c r="X686" s="8">
        <f t="shared" si="14"/>
        <v>37.15</v>
      </c>
      <c r="Y686" s="8">
        <f t="shared" si="15"/>
        <v>182.68</v>
      </c>
    </row>
    <row r="687">
      <c r="A687" s="2">
        <v>680.0</v>
      </c>
      <c r="B687" s="15">
        <f>IFERROR(__xludf.DUMMYFUNCTION("""COMPUTED_VALUE"""),43376.64583333333)</f>
        <v>43376.64583</v>
      </c>
      <c r="C687" s="8">
        <f>IFERROR(__xludf.DUMMYFUNCTION("""COMPUTED_VALUE"""),1797.55)</f>
        <v>1797.55</v>
      </c>
      <c r="E687" s="15">
        <f>IFERROR(__xludf.DUMMYFUNCTION("""COMPUTED_VALUE"""),43376.64583333333)</f>
        <v>43376.64583</v>
      </c>
      <c r="F687" s="8">
        <f>IFERROR(__xludf.DUMMYFUNCTION("""COMPUTED_VALUE"""),1015.58)</f>
        <v>1015.58</v>
      </c>
      <c r="H687" s="4">
        <f t="shared" si="1"/>
        <v>781.97</v>
      </c>
      <c r="I687" s="16">
        <f t="shared" si="2"/>
        <v>769.266</v>
      </c>
      <c r="J687" s="16">
        <f t="shared" si="3"/>
        <v>21.53207677</v>
      </c>
      <c r="K687" s="16">
        <f t="shared" si="4"/>
        <v>790.7980768</v>
      </c>
      <c r="L687" s="16">
        <f t="shared" si="5"/>
        <v>747.7339232</v>
      </c>
      <c r="N687" s="17" t="str">
        <f t="shared" si="6"/>
        <v>F</v>
      </c>
      <c r="O687" s="17" t="str">
        <f t="shared" si="7"/>
        <v>T</v>
      </c>
      <c r="P687" s="8">
        <f t="shared" si="8"/>
        <v>0</v>
      </c>
      <c r="R687" s="17" t="str">
        <f t="shared" si="9"/>
        <v>F</v>
      </c>
      <c r="S687" s="3" t="str">
        <f t="shared" si="10"/>
        <v>F</v>
      </c>
      <c r="T687" s="8">
        <f t="shared" si="11"/>
        <v>0</v>
      </c>
      <c r="V687" s="4">
        <f t="shared" si="12"/>
        <v>0</v>
      </c>
      <c r="W687" s="8">
        <f t="shared" si="13"/>
        <v>-6.65</v>
      </c>
      <c r="X687" s="8">
        <f t="shared" si="14"/>
        <v>0</v>
      </c>
      <c r="Y687" s="8">
        <f t="shared" si="15"/>
        <v>182.68</v>
      </c>
    </row>
    <row r="688">
      <c r="A688" s="2">
        <v>681.0</v>
      </c>
      <c r="B688" s="15">
        <f>IFERROR(__xludf.DUMMYFUNCTION("""COMPUTED_VALUE"""),43377.64583333333)</f>
        <v>43377.64583</v>
      </c>
      <c r="C688" s="8">
        <f>IFERROR(__xludf.DUMMYFUNCTION("""COMPUTED_VALUE"""),1778.45)</f>
        <v>1778.45</v>
      </c>
      <c r="E688" s="15">
        <f>IFERROR(__xludf.DUMMYFUNCTION("""COMPUTED_VALUE"""),43377.64583333333)</f>
        <v>43377.64583</v>
      </c>
      <c r="F688" s="8">
        <f>IFERROR(__xludf.DUMMYFUNCTION("""COMPUTED_VALUE"""),978.88)</f>
        <v>978.88</v>
      </c>
      <c r="H688" s="4">
        <f t="shared" si="1"/>
        <v>799.57</v>
      </c>
      <c r="I688" s="16">
        <f t="shared" si="2"/>
        <v>772.51</v>
      </c>
      <c r="J688" s="16">
        <f t="shared" si="3"/>
        <v>25.10914674</v>
      </c>
      <c r="K688" s="16">
        <f t="shared" si="4"/>
        <v>797.6191467</v>
      </c>
      <c r="L688" s="16">
        <f t="shared" si="5"/>
        <v>747.4008533</v>
      </c>
      <c r="N688" s="17" t="str">
        <f t="shared" si="6"/>
        <v>F</v>
      </c>
      <c r="O688" s="17" t="str">
        <f t="shared" si="7"/>
        <v>T</v>
      </c>
      <c r="P688" s="8">
        <f t="shared" si="8"/>
        <v>0</v>
      </c>
      <c r="R688" s="17" t="str">
        <f t="shared" si="9"/>
        <v>T</v>
      </c>
      <c r="S688" s="3" t="str">
        <f t="shared" si="10"/>
        <v>F</v>
      </c>
      <c r="T688" s="8">
        <f t="shared" si="11"/>
        <v>-1</v>
      </c>
      <c r="V688" s="4">
        <f t="shared" si="12"/>
        <v>-1</v>
      </c>
      <c r="W688" s="8">
        <f t="shared" si="13"/>
        <v>17.6</v>
      </c>
      <c r="X688" s="8">
        <f t="shared" si="14"/>
        <v>0</v>
      </c>
      <c r="Y688" s="8">
        <f t="shared" si="15"/>
        <v>182.68</v>
      </c>
    </row>
    <row r="689">
      <c r="A689" s="2">
        <v>682.0</v>
      </c>
      <c r="B689" s="15">
        <f>IFERROR(__xludf.DUMMYFUNCTION("""COMPUTED_VALUE"""),43378.64583333333)</f>
        <v>43378.64583</v>
      </c>
      <c r="C689" s="8">
        <f>IFERROR(__xludf.DUMMYFUNCTION("""COMPUTED_VALUE"""),1708.65)</f>
        <v>1708.65</v>
      </c>
      <c r="E689" s="15">
        <f>IFERROR(__xludf.DUMMYFUNCTION("""COMPUTED_VALUE"""),43378.64583333333)</f>
        <v>43378.64583</v>
      </c>
      <c r="F689" s="8">
        <f>IFERROR(__xludf.DUMMYFUNCTION("""COMPUTED_VALUE"""),982.65)</f>
        <v>982.65</v>
      </c>
      <c r="H689" s="4">
        <f t="shared" si="1"/>
        <v>726</v>
      </c>
      <c r="I689" s="16">
        <f t="shared" si="2"/>
        <v>769.526</v>
      </c>
      <c r="J689" s="16">
        <f t="shared" si="3"/>
        <v>30.17700996</v>
      </c>
      <c r="K689" s="16">
        <f t="shared" si="4"/>
        <v>799.70301</v>
      </c>
      <c r="L689" s="16">
        <f t="shared" si="5"/>
        <v>739.34899</v>
      </c>
      <c r="N689" s="17" t="str">
        <f t="shared" si="6"/>
        <v>T</v>
      </c>
      <c r="O689" s="17" t="str">
        <f t="shared" si="7"/>
        <v>F</v>
      </c>
      <c r="P689" s="8">
        <f t="shared" si="8"/>
        <v>1</v>
      </c>
      <c r="R689" s="17" t="str">
        <f t="shared" si="9"/>
        <v>F</v>
      </c>
      <c r="S689" s="3" t="str">
        <f t="shared" si="10"/>
        <v>T</v>
      </c>
      <c r="T689" s="8">
        <f t="shared" si="11"/>
        <v>0</v>
      </c>
      <c r="V689" s="4">
        <f t="shared" si="12"/>
        <v>1</v>
      </c>
      <c r="W689" s="8">
        <f t="shared" si="13"/>
        <v>-73.57</v>
      </c>
      <c r="X689" s="8">
        <f t="shared" si="14"/>
        <v>73.57</v>
      </c>
      <c r="Y689" s="8">
        <f t="shared" si="15"/>
        <v>256.25</v>
      </c>
    </row>
    <row r="690">
      <c r="A690" s="2">
        <v>683.0</v>
      </c>
      <c r="B690" s="15">
        <f>IFERROR(__xludf.DUMMYFUNCTION("""COMPUTED_VALUE"""),43381.64583333333)</f>
        <v>43381.64583</v>
      </c>
      <c r="C690" s="8">
        <f>IFERROR(__xludf.DUMMYFUNCTION("""COMPUTED_VALUE"""),1667.7)</f>
        <v>1667.7</v>
      </c>
      <c r="E690" s="15">
        <f>IFERROR(__xludf.DUMMYFUNCTION("""COMPUTED_VALUE"""),43381.64583333333)</f>
        <v>43381.64583</v>
      </c>
      <c r="F690" s="8">
        <f>IFERROR(__xludf.DUMMYFUNCTION("""COMPUTED_VALUE"""),972.5)</f>
        <v>972.5</v>
      </c>
      <c r="H690" s="4">
        <f t="shared" si="1"/>
        <v>695.2</v>
      </c>
      <c r="I690" s="16">
        <f t="shared" si="2"/>
        <v>758.272</v>
      </c>
      <c r="J690" s="16">
        <f t="shared" si="3"/>
        <v>45.29812435</v>
      </c>
      <c r="K690" s="16">
        <f t="shared" si="4"/>
        <v>803.5701244</v>
      </c>
      <c r="L690" s="16">
        <f t="shared" si="5"/>
        <v>712.9738756</v>
      </c>
      <c r="N690" s="17" t="str">
        <f t="shared" si="6"/>
        <v>T</v>
      </c>
      <c r="O690" s="17" t="str">
        <f t="shared" si="7"/>
        <v>F</v>
      </c>
      <c r="P690" s="8">
        <f t="shared" si="8"/>
        <v>1</v>
      </c>
      <c r="R690" s="17" t="str">
        <f t="shared" si="9"/>
        <v>F</v>
      </c>
      <c r="S690" s="3" t="str">
        <f t="shared" si="10"/>
        <v>T</v>
      </c>
      <c r="T690" s="8">
        <f t="shared" si="11"/>
        <v>0</v>
      </c>
      <c r="V690" s="4">
        <f t="shared" si="12"/>
        <v>1</v>
      </c>
      <c r="W690" s="8">
        <f t="shared" si="13"/>
        <v>-30.8</v>
      </c>
      <c r="X690" s="8">
        <f t="shared" si="14"/>
        <v>-30.8</v>
      </c>
      <c r="Y690" s="8">
        <f t="shared" si="15"/>
        <v>225.45</v>
      </c>
    </row>
    <row r="691">
      <c r="A691" s="2">
        <v>684.0</v>
      </c>
      <c r="B691" s="15">
        <f>IFERROR(__xludf.DUMMYFUNCTION("""COMPUTED_VALUE"""),43382.64583333333)</f>
        <v>43382.64583</v>
      </c>
      <c r="C691" s="8">
        <f>IFERROR(__xludf.DUMMYFUNCTION("""COMPUTED_VALUE"""),1712.75)</f>
        <v>1712.75</v>
      </c>
      <c r="E691" s="15">
        <f>IFERROR(__xludf.DUMMYFUNCTION("""COMPUTED_VALUE"""),43382.64583333333)</f>
        <v>43382.64583</v>
      </c>
      <c r="F691" s="8">
        <f>IFERROR(__xludf.DUMMYFUNCTION("""COMPUTED_VALUE"""),970.3)</f>
        <v>970.3</v>
      </c>
      <c r="H691" s="4">
        <f t="shared" si="1"/>
        <v>742.45</v>
      </c>
      <c r="I691" s="16">
        <f t="shared" si="2"/>
        <v>749.038</v>
      </c>
      <c r="J691" s="16">
        <f t="shared" si="3"/>
        <v>42.16242723</v>
      </c>
      <c r="K691" s="16">
        <f t="shared" si="4"/>
        <v>791.2004272</v>
      </c>
      <c r="L691" s="16">
        <f t="shared" si="5"/>
        <v>706.8755728</v>
      </c>
      <c r="N691" s="17" t="str">
        <f t="shared" si="6"/>
        <v>F</v>
      </c>
      <c r="O691" s="17" t="str">
        <f t="shared" si="7"/>
        <v>F</v>
      </c>
      <c r="P691" s="8">
        <f t="shared" si="8"/>
        <v>1</v>
      </c>
      <c r="R691" s="17" t="str">
        <f t="shared" si="9"/>
        <v>F</v>
      </c>
      <c r="S691" s="3" t="str">
        <f t="shared" si="10"/>
        <v>T</v>
      </c>
      <c r="T691" s="8">
        <f t="shared" si="11"/>
        <v>0</v>
      </c>
      <c r="V691" s="4">
        <f t="shared" si="12"/>
        <v>1</v>
      </c>
      <c r="W691" s="8">
        <f t="shared" si="13"/>
        <v>47.25</v>
      </c>
      <c r="X691" s="8">
        <f t="shared" si="14"/>
        <v>47.25</v>
      </c>
      <c r="Y691" s="8">
        <f t="shared" si="15"/>
        <v>272.7</v>
      </c>
    </row>
    <row r="692">
      <c r="A692" s="2">
        <v>685.0</v>
      </c>
      <c r="B692" s="15">
        <f>IFERROR(__xludf.DUMMYFUNCTION("""COMPUTED_VALUE"""),43383.64583333333)</f>
        <v>43383.64583</v>
      </c>
      <c r="C692" s="8">
        <f>IFERROR(__xludf.DUMMYFUNCTION("""COMPUTED_VALUE"""),1736.95)</f>
        <v>1736.95</v>
      </c>
      <c r="E692" s="15">
        <f>IFERROR(__xludf.DUMMYFUNCTION("""COMPUTED_VALUE"""),43383.64583333333)</f>
        <v>43383.64583</v>
      </c>
      <c r="F692" s="8">
        <f>IFERROR(__xludf.DUMMYFUNCTION("""COMPUTED_VALUE"""),983.58)</f>
        <v>983.58</v>
      </c>
      <c r="H692" s="4">
        <f t="shared" si="1"/>
        <v>753.37</v>
      </c>
      <c r="I692" s="16">
        <f t="shared" si="2"/>
        <v>743.318</v>
      </c>
      <c r="J692" s="16">
        <f t="shared" si="3"/>
        <v>38.34494321</v>
      </c>
      <c r="K692" s="16">
        <f t="shared" si="4"/>
        <v>781.6629432</v>
      </c>
      <c r="L692" s="16">
        <f t="shared" si="5"/>
        <v>704.9730568</v>
      </c>
      <c r="N692" s="17" t="str">
        <f t="shared" si="6"/>
        <v>F</v>
      </c>
      <c r="O692" s="17" t="str">
        <f t="shared" si="7"/>
        <v>T</v>
      </c>
      <c r="P692" s="8">
        <f t="shared" si="8"/>
        <v>0</v>
      </c>
      <c r="R692" s="17" t="str">
        <f t="shared" si="9"/>
        <v>F</v>
      </c>
      <c r="S692" s="3" t="str">
        <f t="shared" si="10"/>
        <v>F</v>
      </c>
      <c r="T692" s="8">
        <f t="shared" si="11"/>
        <v>0</v>
      </c>
      <c r="V692" s="4">
        <f t="shared" si="12"/>
        <v>0</v>
      </c>
      <c r="W692" s="8">
        <f t="shared" si="13"/>
        <v>10.92</v>
      </c>
      <c r="X692" s="8">
        <f t="shared" si="14"/>
        <v>10.92</v>
      </c>
      <c r="Y692" s="8">
        <f t="shared" si="15"/>
        <v>283.62</v>
      </c>
    </row>
    <row r="693">
      <c r="A693" s="2">
        <v>686.0</v>
      </c>
      <c r="B693" s="15">
        <f>IFERROR(__xludf.DUMMYFUNCTION("""COMPUTED_VALUE"""),43384.64583333333)</f>
        <v>43384.64583</v>
      </c>
      <c r="C693" s="8">
        <f>IFERROR(__xludf.DUMMYFUNCTION("""COMPUTED_VALUE"""),1684.55)</f>
        <v>1684.55</v>
      </c>
      <c r="E693" s="15">
        <f>IFERROR(__xludf.DUMMYFUNCTION("""COMPUTED_VALUE"""),43384.64583333333)</f>
        <v>43384.64583</v>
      </c>
      <c r="F693" s="8">
        <f>IFERROR(__xludf.DUMMYFUNCTION("""COMPUTED_VALUE"""),968.78)</f>
        <v>968.78</v>
      </c>
      <c r="H693" s="4">
        <f t="shared" si="1"/>
        <v>715.77</v>
      </c>
      <c r="I693" s="16">
        <f t="shared" si="2"/>
        <v>726.558</v>
      </c>
      <c r="J693" s="16">
        <f t="shared" si="3"/>
        <v>22.75662255</v>
      </c>
      <c r="K693" s="16">
        <f t="shared" si="4"/>
        <v>749.3146226</v>
      </c>
      <c r="L693" s="16">
        <f t="shared" si="5"/>
        <v>703.8013774</v>
      </c>
      <c r="N693" s="17" t="str">
        <f t="shared" si="6"/>
        <v>F</v>
      </c>
      <c r="O693" s="17" t="str">
        <f t="shared" si="7"/>
        <v>F</v>
      </c>
      <c r="P693" s="8">
        <f t="shared" si="8"/>
        <v>0</v>
      </c>
      <c r="R693" s="17" t="str">
        <f t="shared" si="9"/>
        <v>F</v>
      </c>
      <c r="S693" s="3" t="str">
        <f t="shared" si="10"/>
        <v>T</v>
      </c>
      <c r="T693" s="8">
        <f t="shared" si="11"/>
        <v>0</v>
      </c>
      <c r="V693" s="4">
        <f t="shared" si="12"/>
        <v>0</v>
      </c>
      <c r="W693" s="8">
        <f t="shared" si="13"/>
        <v>-37.6</v>
      </c>
      <c r="X693" s="8">
        <f t="shared" si="14"/>
        <v>0</v>
      </c>
      <c r="Y693" s="8">
        <f t="shared" si="15"/>
        <v>283.62</v>
      </c>
    </row>
    <row r="694">
      <c r="A694" s="2">
        <v>687.0</v>
      </c>
      <c r="B694" s="15">
        <f>IFERROR(__xludf.DUMMYFUNCTION("""COMPUTED_VALUE"""),43385.64583333333)</f>
        <v>43385.64583</v>
      </c>
      <c r="C694" s="8">
        <f>IFERROR(__xludf.DUMMYFUNCTION("""COMPUTED_VALUE"""),1730.3)</f>
        <v>1730.3</v>
      </c>
      <c r="E694" s="15">
        <f>IFERROR(__xludf.DUMMYFUNCTION("""COMPUTED_VALUE"""),43385.64583333333)</f>
        <v>43385.64583</v>
      </c>
      <c r="F694" s="8">
        <f>IFERROR(__xludf.DUMMYFUNCTION("""COMPUTED_VALUE"""),990.93)</f>
        <v>990.93</v>
      </c>
      <c r="H694" s="4">
        <f t="shared" si="1"/>
        <v>739.37</v>
      </c>
      <c r="I694" s="16">
        <f t="shared" si="2"/>
        <v>729.232</v>
      </c>
      <c r="J694" s="16">
        <f t="shared" si="3"/>
        <v>23.44962729</v>
      </c>
      <c r="K694" s="16">
        <f t="shared" si="4"/>
        <v>752.6816273</v>
      </c>
      <c r="L694" s="16">
        <f t="shared" si="5"/>
        <v>705.7823727</v>
      </c>
      <c r="N694" s="17" t="str">
        <f t="shared" si="6"/>
        <v>F</v>
      </c>
      <c r="O694" s="17" t="str">
        <f t="shared" si="7"/>
        <v>T</v>
      </c>
      <c r="P694" s="8">
        <f t="shared" si="8"/>
        <v>0</v>
      </c>
      <c r="R694" s="17" t="str">
        <f t="shared" si="9"/>
        <v>F</v>
      </c>
      <c r="S694" s="3" t="str">
        <f t="shared" si="10"/>
        <v>F</v>
      </c>
      <c r="T694" s="8">
        <f t="shared" si="11"/>
        <v>0</v>
      </c>
      <c r="V694" s="4">
        <f t="shared" si="12"/>
        <v>0</v>
      </c>
      <c r="W694" s="8">
        <f t="shared" si="13"/>
        <v>23.6</v>
      </c>
      <c r="X694" s="8">
        <f t="shared" si="14"/>
        <v>0</v>
      </c>
      <c r="Y694" s="8">
        <f t="shared" si="15"/>
        <v>283.62</v>
      </c>
    </row>
    <row r="695">
      <c r="A695" s="2">
        <v>688.0</v>
      </c>
      <c r="B695" s="15">
        <f>IFERROR(__xludf.DUMMYFUNCTION("""COMPUTED_VALUE"""),43388.64583333333)</f>
        <v>43388.64583</v>
      </c>
      <c r="C695" s="8">
        <f>IFERROR(__xludf.DUMMYFUNCTION("""COMPUTED_VALUE"""),1732.9)</f>
        <v>1732.9</v>
      </c>
      <c r="E695" s="15">
        <f>IFERROR(__xludf.DUMMYFUNCTION("""COMPUTED_VALUE"""),43388.64583333333)</f>
        <v>43388.64583</v>
      </c>
      <c r="F695" s="8">
        <f>IFERROR(__xludf.DUMMYFUNCTION("""COMPUTED_VALUE"""),1004.03)</f>
        <v>1004.03</v>
      </c>
      <c r="H695" s="4">
        <f t="shared" si="1"/>
        <v>728.87</v>
      </c>
      <c r="I695" s="16">
        <f t="shared" si="2"/>
        <v>735.966</v>
      </c>
      <c r="J695" s="16">
        <f t="shared" si="3"/>
        <v>14.27200336</v>
      </c>
      <c r="K695" s="16">
        <f t="shared" si="4"/>
        <v>750.2380034</v>
      </c>
      <c r="L695" s="16">
        <f t="shared" si="5"/>
        <v>721.6939966</v>
      </c>
      <c r="N695" s="17" t="str">
        <f t="shared" si="6"/>
        <v>F</v>
      </c>
      <c r="O695" s="17" t="str">
        <f t="shared" si="7"/>
        <v>F</v>
      </c>
      <c r="P695" s="8">
        <f t="shared" si="8"/>
        <v>0</v>
      </c>
      <c r="R695" s="17" t="str">
        <f t="shared" si="9"/>
        <v>F</v>
      </c>
      <c r="S695" s="3" t="str">
        <f t="shared" si="10"/>
        <v>T</v>
      </c>
      <c r="T695" s="8">
        <f t="shared" si="11"/>
        <v>0</v>
      </c>
      <c r="V695" s="4">
        <f t="shared" si="12"/>
        <v>0</v>
      </c>
      <c r="W695" s="8">
        <f t="shared" si="13"/>
        <v>-10.5</v>
      </c>
      <c r="X695" s="8">
        <f t="shared" si="14"/>
        <v>0</v>
      </c>
      <c r="Y695" s="8">
        <f t="shared" si="15"/>
        <v>283.62</v>
      </c>
    </row>
    <row r="696">
      <c r="A696" s="2">
        <v>689.0</v>
      </c>
      <c r="B696" s="15">
        <f>IFERROR(__xludf.DUMMYFUNCTION("""COMPUTED_VALUE"""),43389.64583333333)</f>
        <v>43389.64583</v>
      </c>
      <c r="C696" s="8">
        <f>IFERROR(__xludf.DUMMYFUNCTION("""COMPUTED_VALUE"""),1756.25)</f>
        <v>1756.25</v>
      </c>
      <c r="E696" s="15">
        <f>IFERROR(__xludf.DUMMYFUNCTION("""COMPUTED_VALUE"""),43389.64583333333)</f>
        <v>43389.64583</v>
      </c>
      <c r="F696" s="8">
        <f>IFERROR(__xludf.DUMMYFUNCTION("""COMPUTED_VALUE"""),996.38)</f>
        <v>996.38</v>
      </c>
      <c r="H696" s="4">
        <f t="shared" si="1"/>
        <v>759.87</v>
      </c>
      <c r="I696" s="16">
        <f t="shared" si="2"/>
        <v>739.45</v>
      </c>
      <c r="J696" s="16">
        <f t="shared" si="3"/>
        <v>17.91248168</v>
      </c>
      <c r="K696" s="16">
        <f t="shared" si="4"/>
        <v>757.3624817</v>
      </c>
      <c r="L696" s="16">
        <f t="shared" si="5"/>
        <v>721.5375183</v>
      </c>
      <c r="N696" s="17" t="str">
        <f t="shared" si="6"/>
        <v>F</v>
      </c>
      <c r="O696" s="17" t="str">
        <f t="shared" si="7"/>
        <v>T</v>
      </c>
      <c r="P696" s="8">
        <f t="shared" si="8"/>
        <v>0</v>
      </c>
      <c r="R696" s="17" t="str">
        <f t="shared" si="9"/>
        <v>T</v>
      </c>
      <c r="S696" s="3" t="str">
        <f t="shared" si="10"/>
        <v>F</v>
      </c>
      <c r="T696" s="8">
        <f t="shared" si="11"/>
        <v>-1</v>
      </c>
      <c r="V696" s="4">
        <f t="shared" si="12"/>
        <v>-1</v>
      </c>
      <c r="W696" s="8">
        <f t="shared" si="13"/>
        <v>31</v>
      </c>
      <c r="X696" s="8">
        <f t="shared" si="14"/>
        <v>0</v>
      </c>
      <c r="Y696" s="8">
        <f t="shared" si="15"/>
        <v>283.62</v>
      </c>
    </row>
    <row r="697">
      <c r="A697" s="2">
        <v>690.0</v>
      </c>
      <c r="B697" s="15">
        <f>IFERROR(__xludf.DUMMYFUNCTION("""COMPUTED_VALUE"""),43390.64583333333)</f>
        <v>43390.64583</v>
      </c>
      <c r="C697" s="8">
        <f>IFERROR(__xludf.DUMMYFUNCTION("""COMPUTED_VALUE"""),1737.8)</f>
        <v>1737.8</v>
      </c>
      <c r="E697" s="15">
        <f>IFERROR(__xludf.DUMMYFUNCTION("""COMPUTED_VALUE"""),43390.64583333333)</f>
        <v>43390.64583</v>
      </c>
      <c r="F697" s="8">
        <f>IFERROR(__xludf.DUMMYFUNCTION("""COMPUTED_VALUE"""),987.3)</f>
        <v>987.3</v>
      </c>
      <c r="H697" s="4">
        <f t="shared" si="1"/>
        <v>750.5</v>
      </c>
      <c r="I697" s="16">
        <f t="shared" si="2"/>
        <v>738.876</v>
      </c>
      <c r="J697" s="16">
        <f t="shared" si="3"/>
        <v>17.39336598</v>
      </c>
      <c r="K697" s="16">
        <f t="shared" si="4"/>
        <v>756.269366</v>
      </c>
      <c r="L697" s="16">
        <f t="shared" si="5"/>
        <v>721.482634</v>
      </c>
      <c r="N697" s="17" t="str">
        <f t="shared" si="6"/>
        <v>F</v>
      </c>
      <c r="O697" s="17" t="str">
        <f t="shared" si="7"/>
        <v>T</v>
      </c>
      <c r="P697" s="8">
        <f t="shared" si="8"/>
        <v>0</v>
      </c>
      <c r="R697" s="17" t="str">
        <f t="shared" si="9"/>
        <v>F</v>
      </c>
      <c r="S697" s="3" t="str">
        <f t="shared" si="10"/>
        <v>F</v>
      </c>
      <c r="T697" s="8">
        <f t="shared" si="11"/>
        <v>-1</v>
      </c>
      <c r="V697" s="4">
        <f t="shared" si="12"/>
        <v>-1</v>
      </c>
      <c r="W697" s="8">
        <f t="shared" si="13"/>
        <v>-9.37</v>
      </c>
      <c r="X697" s="8">
        <f t="shared" si="14"/>
        <v>9.37</v>
      </c>
      <c r="Y697" s="8">
        <f t="shared" si="15"/>
        <v>292.99</v>
      </c>
    </row>
    <row r="698">
      <c r="A698" s="2">
        <v>691.0</v>
      </c>
      <c r="B698" s="15">
        <f>IFERROR(__xludf.DUMMYFUNCTION("""COMPUTED_VALUE"""),43392.64583333333)</f>
        <v>43392.64583</v>
      </c>
      <c r="C698" s="8">
        <f>IFERROR(__xludf.DUMMYFUNCTION("""COMPUTED_VALUE"""),1660.25)</f>
        <v>1660.25</v>
      </c>
      <c r="E698" s="15">
        <f>IFERROR(__xludf.DUMMYFUNCTION("""COMPUTED_VALUE"""),43392.64583333333)</f>
        <v>43392.64583</v>
      </c>
      <c r="F698" s="8">
        <f>IFERROR(__xludf.DUMMYFUNCTION("""COMPUTED_VALUE"""),983.88)</f>
        <v>983.88</v>
      </c>
      <c r="H698" s="4">
        <f t="shared" si="1"/>
        <v>676.37</v>
      </c>
      <c r="I698" s="16">
        <f t="shared" si="2"/>
        <v>730.996</v>
      </c>
      <c r="J698" s="16">
        <f t="shared" si="3"/>
        <v>32.68316662</v>
      </c>
      <c r="K698" s="16">
        <f t="shared" si="4"/>
        <v>763.6791666</v>
      </c>
      <c r="L698" s="16">
        <f t="shared" si="5"/>
        <v>698.3128334</v>
      </c>
      <c r="N698" s="17" t="str">
        <f t="shared" si="6"/>
        <v>T</v>
      </c>
      <c r="O698" s="17" t="str">
        <f t="shared" si="7"/>
        <v>F</v>
      </c>
      <c r="P698" s="8">
        <f t="shared" si="8"/>
        <v>1</v>
      </c>
      <c r="R698" s="17" t="str">
        <f t="shared" si="9"/>
        <v>F</v>
      </c>
      <c r="S698" s="3" t="str">
        <f t="shared" si="10"/>
        <v>T</v>
      </c>
      <c r="T698" s="8">
        <f t="shared" si="11"/>
        <v>0</v>
      </c>
      <c r="V698" s="4">
        <f t="shared" si="12"/>
        <v>1</v>
      </c>
      <c r="W698" s="8">
        <f t="shared" si="13"/>
        <v>-74.13</v>
      </c>
      <c r="X698" s="8">
        <f t="shared" si="14"/>
        <v>74.13</v>
      </c>
      <c r="Y698" s="8">
        <f t="shared" si="15"/>
        <v>367.12</v>
      </c>
    </row>
    <row r="699">
      <c r="A699" s="2">
        <v>692.0</v>
      </c>
      <c r="B699" s="15">
        <f>IFERROR(__xludf.DUMMYFUNCTION("""COMPUTED_VALUE"""),43395.64583333333)</f>
        <v>43395.64583</v>
      </c>
      <c r="C699" s="8">
        <f>IFERROR(__xludf.DUMMYFUNCTION("""COMPUTED_VALUE"""),1658.3)</f>
        <v>1658.3</v>
      </c>
      <c r="E699" s="15">
        <f>IFERROR(__xludf.DUMMYFUNCTION("""COMPUTED_VALUE"""),43395.64583333333)</f>
        <v>43395.64583</v>
      </c>
      <c r="F699" s="8">
        <f>IFERROR(__xludf.DUMMYFUNCTION("""COMPUTED_VALUE"""),999.45)</f>
        <v>999.45</v>
      </c>
      <c r="H699" s="4">
        <f t="shared" si="1"/>
        <v>658.85</v>
      </c>
      <c r="I699" s="16">
        <f t="shared" si="2"/>
        <v>714.892</v>
      </c>
      <c r="J699" s="16">
        <f t="shared" si="3"/>
        <v>45.03050322</v>
      </c>
      <c r="K699" s="16">
        <f t="shared" si="4"/>
        <v>759.9225032</v>
      </c>
      <c r="L699" s="16">
        <f t="shared" si="5"/>
        <v>669.8614968</v>
      </c>
      <c r="N699" s="17" t="str">
        <f t="shared" si="6"/>
        <v>T</v>
      </c>
      <c r="O699" s="17" t="str">
        <f t="shared" si="7"/>
        <v>F</v>
      </c>
      <c r="P699" s="8">
        <f t="shared" si="8"/>
        <v>1</v>
      </c>
      <c r="R699" s="17" t="str">
        <f t="shared" si="9"/>
        <v>F</v>
      </c>
      <c r="S699" s="3" t="str">
        <f t="shared" si="10"/>
        <v>T</v>
      </c>
      <c r="T699" s="8">
        <f t="shared" si="11"/>
        <v>0</v>
      </c>
      <c r="V699" s="4">
        <f t="shared" si="12"/>
        <v>1</v>
      </c>
      <c r="W699" s="8">
        <f t="shared" si="13"/>
        <v>-17.52</v>
      </c>
      <c r="X699" s="8">
        <f t="shared" si="14"/>
        <v>-17.52</v>
      </c>
      <c r="Y699" s="8">
        <f t="shared" si="15"/>
        <v>349.6</v>
      </c>
    </row>
    <row r="700">
      <c r="A700" s="2">
        <v>693.0</v>
      </c>
      <c r="B700" s="15">
        <f>IFERROR(__xludf.DUMMYFUNCTION("""COMPUTED_VALUE"""),43396.64583333333)</f>
        <v>43396.64583</v>
      </c>
      <c r="C700" s="8">
        <f>IFERROR(__xludf.DUMMYFUNCTION("""COMPUTED_VALUE"""),1686.75)</f>
        <v>1686.75</v>
      </c>
      <c r="E700" s="15">
        <f>IFERROR(__xludf.DUMMYFUNCTION("""COMPUTED_VALUE"""),43396.64583333333)</f>
        <v>43396.64583</v>
      </c>
      <c r="F700" s="8">
        <f>IFERROR(__xludf.DUMMYFUNCTION("""COMPUTED_VALUE"""),992.43)</f>
        <v>992.43</v>
      </c>
      <c r="H700" s="4">
        <f t="shared" si="1"/>
        <v>694.32</v>
      </c>
      <c r="I700" s="16">
        <f t="shared" si="2"/>
        <v>707.982</v>
      </c>
      <c r="J700" s="16">
        <f t="shared" si="3"/>
        <v>45.00018633</v>
      </c>
      <c r="K700" s="16">
        <f t="shared" si="4"/>
        <v>752.9821863</v>
      </c>
      <c r="L700" s="16">
        <f t="shared" si="5"/>
        <v>662.9818137</v>
      </c>
      <c r="N700" s="17" t="str">
        <f t="shared" si="6"/>
        <v>F</v>
      </c>
      <c r="O700" s="17" t="str">
        <f t="shared" si="7"/>
        <v>F</v>
      </c>
      <c r="P700" s="8">
        <f t="shared" si="8"/>
        <v>1</v>
      </c>
      <c r="R700" s="17" t="str">
        <f t="shared" si="9"/>
        <v>F</v>
      </c>
      <c r="S700" s="3" t="str">
        <f t="shared" si="10"/>
        <v>T</v>
      </c>
      <c r="T700" s="8">
        <f t="shared" si="11"/>
        <v>0</v>
      </c>
      <c r="V700" s="4">
        <f t="shared" si="12"/>
        <v>1</v>
      </c>
      <c r="W700" s="8">
        <f t="shared" si="13"/>
        <v>35.47</v>
      </c>
      <c r="X700" s="8">
        <f t="shared" si="14"/>
        <v>35.47</v>
      </c>
      <c r="Y700" s="8">
        <f t="shared" si="15"/>
        <v>385.07</v>
      </c>
    </row>
    <row r="701">
      <c r="A701" s="2">
        <v>694.0</v>
      </c>
      <c r="B701" s="15">
        <f>IFERROR(__xludf.DUMMYFUNCTION("""COMPUTED_VALUE"""),43397.64583333333)</f>
        <v>43397.64583</v>
      </c>
      <c r="C701" s="8">
        <f>IFERROR(__xludf.DUMMYFUNCTION("""COMPUTED_VALUE"""),1741.45)</f>
        <v>1741.45</v>
      </c>
      <c r="E701" s="15">
        <f>IFERROR(__xludf.DUMMYFUNCTION("""COMPUTED_VALUE"""),43397.64583333333)</f>
        <v>43397.64583</v>
      </c>
      <c r="F701" s="8">
        <f>IFERROR(__xludf.DUMMYFUNCTION("""COMPUTED_VALUE"""),996.13)</f>
        <v>996.13</v>
      </c>
      <c r="H701" s="4">
        <f t="shared" si="1"/>
        <v>745.32</v>
      </c>
      <c r="I701" s="16">
        <f t="shared" si="2"/>
        <v>705.072</v>
      </c>
      <c r="J701" s="16">
        <f t="shared" si="3"/>
        <v>41.10805359</v>
      </c>
      <c r="K701" s="16">
        <f t="shared" si="4"/>
        <v>746.1800536</v>
      </c>
      <c r="L701" s="16">
        <f t="shared" si="5"/>
        <v>663.9639464</v>
      </c>
      <c r="N701" s="17" t="str">
        <f t="shared" si="6"/>
        <v>F</v>
      </c>
      <c r="O701" s="17" t="str">
        <f t="shared" si="7"/>
        <v>T</v>
      </c>
      <c r="P701" s="8">
        <f t="shared" si="8"/>
        <v>0</v>
      </c>
      <c r="R701" s="17" t="str">
        <f t="shared" si="9"/>
        <v>F</v>
      </c>
      <c r="S701" s="3" t="str">
        <f t="shared" si="10"/>
        <v>F</v>
      </c>
      <c r="T701" s="8">
        <f t="shared" si="11"/>
        <v>0</v>
      </c>
      <c r="V701" s="4">
        <f t="shared" si="12"/>
        <v>0</v>
      </c>
      <c r="W701" s="8">
        <f t="shared" si="13"/>
        <v>51</v>
      </c>
      <c r="X701" s="8">
        <f t="shared" si="14"/>
        <v>51</v>
      </c>
      <c r="Y701" s="8">
        <f t="shared" si="15"/>
        <v>436.07</v>
      </c>
    </row>
    <row r="702">
      <c r="A702" s="2">
        <v>695.0</v>
      </c>
      <c r="B702" s="15">
        <f>IFERROR(__xludf.DUMMYFUNCTION("""COMPUTED_VALUE"""),43398.64583333333)</f>
        <v>43398.64583</v>
      </c>
      <c r="C702" s="8">
        <f>IFERROR(__xludf.DUMMYFUNCTION("""COMPUTED_VALUE"""),1694.45)</f>
        <v>1694.45</v>
      </c>
      <c r="E702" s="15">
        <f>IFERROR(__xludf.DUMMYFUNCTION("""COMPUTED_VALUE"""),43398.64583333333)</f>
        <v>43398.64583</v>
      </c>
      <c r="F702" s="8">
        <f>IFERROR(__xludf.DUMMYFUNCTION("""COMPUTED_VALUE"""),984.4)</f>
        <v>984.4</v>
      </c>
      <c r="H702" s="4">
        <f t="shared" si="1"/>
        <v>710.05</v>
      </c>
      <c r="I702" s="16">
        <f t="shared" si="2"/>
        <v>696.982</v>
      </c>
      <c r="J702" s="16">
        <f t="shared" si="3"/>
        <v>33.1410813</v>
      </c>
      <c r="K702" s="16">
        <f t="shared" si="4"/>
        <v>730.1230813</v>
      </c>
      <c r="L702" s="16">
        <f t="shared" si="5"/>
        <v>663.8409187</v>
      </c>
      <c r="N702" s="17" t="str">
        <f t="shared" si="6"/>
        <v>F</v>
      </c>
      <c r="O702" s="17" t="str">
        <f t="shared" si="7"/>
        <v>T</v>
      </c>
      <c r="P702" s="8">
        <f t="shared" si="8"/>
        <v>0</v>
      </c>
      <c r="R702" s="17" t="str">
        <f t="shared" si="9"/>
        <v>F</v>
      </c>
      <c r="S702" s="3" t="str">
        <f t="shared" si="10"/>
        <v>F</v>
      </c>
      <c r="T702" s="8">
        <f t="shared" si="11"/>
        <v>0</v>
      </c>
      <c r="V702" s="4">
        <f t="shared" si="12"/>
        <v>0</v>
      </c>
      <c r="W702" s="8">
        <f t="shared" si="13"/>
        <v>-35.27</v>
      </c>
      <c r="X702" s="8">
        <f t="shared" si="14"/>
        <v>0</v>
      </c>
      <c r="Y702" s="8">
        <f t="shared" si="15"/>
        <v>436.07</v>
      </c>
    </row>
    <row r="703">
      <c r="A703" s="2">
        <v>696.0</v>
      </c>
      <c r="B703" s="15">
        <f>IFERROR(__xludf.DUMMYFUNCTION("""COMPUTED_VALUE"""),43399.64583333333)</f>
        <v>43399.64583</v>
      </c>
      <c r="C703" s="8">
        <f>IFERROR(__xludf.DUMMYFUNCTION("""COMPUTED_VALUE"""),1702.1)</f>
        <v>1702.1</v>
      </c>
      <c r="E703" s="15">
        <f>IFERROR(__xludf.DUMMYFUNCTION("""COMPUTED_VALUE"""),43399.64583333333)</f>
        <v>43399.64583</v>
      </c>
      <c r="F703" s="8">
        <f>IFERROR(__xludf.DUMMYFUNCTION("""COMPUTED_VALUE"""),980.6)</f>
        <v>980.6</v>
      </c>
      <c r="H703" s="4">
        <f t="shared" si="1"/>
        <v>721.5</v>
      </c>
      <c r="I703" s="16">
        <f t="shared" si="2"/>
        <v>706.008</v>
      </c>
      <c r="J703" s="16">
        <f t="shared" si="3"/>
        <v>32.25778774</v>
      </c>
      <c r="K703" s="16">
        <f t="shared" si="4"/>
        <v>738.2657877</v>
      </c>
      <c r="L703" s="16">
        <f t="shared" si="5"/>
        <v>673.7502123</v>
      </c>
      <c r="N703" s="17" t="str">
        <f t="shared" si="6"/>
        <v>F</v>
      </c>
      <c r="O703" s="17" t="str">
        <f t="shared" si="7"/>
        <v>T</v>
      </c>
      <c r="P703" s="8">
        <f t="shared" si="8"/>
        <v>0</v>
      </c>
      <c r="R703" s="17" t="str">
        <f t="shared" si="9"/>
        <v>F</v>
      </c>
      <c r="S703" s="3" t="str">
        <f t="shared" si="10"/>
        <v>F</v>
      </c>
      <c r="T703" s="8">
        <f t="shared" si="11"/>
        <v>0</v>
      </c>
      <c r="V703" s="4">
        <f t="shared" si="12"/>
        <v>0</v>
      </c>
      <c r="W703" s="8">
        <f t="shared" si="13"/>
        <v>11.45</v>
      </c>
      <c r="X703" s="8">
        <f t="shared" si="14"/>
        <v>0</v>
      </c>
      <c r="Y703" s="8">
        <f t="shared" si="15"/>
        <v>436.07</v>
      </c>
    </row>
    <row r="704">
      <c r="A704" s="2">
        <v>697.0</v>
      </c>
      <c r="B704" s="15">
        <f>IFERROR(__xludf.DUMMYFUNCTION("""COMPUTED_VALUE"""),43402.64583333333)</f>
        <v>43402.64583</v>
      </c>
      <c r="C704" s="8">
        <f>IFERROR(__xludf.DUMMYFUNCTION("""COMPUTED_VALUE"""),1698.4)</f>
        <v>1698.4</v>
      </c>
      <c r="E704" s="15">
        <f>IFERROR(__xludf.DUMMYFUNCTION("""COMPUTED_VALUE"""),43402.64583333333)</f>
        <v>43402.64583</v>
      </c>
      <c r="F704" s="8">
        <f>IFERROR(__xludf.DUMMYFUNCTION("""COMPUTED_VALUE"""),963.15)</f>
        <v>963.15</v>
      </c>
      <c r="H704" s="4">
        <f t="shared" si="1"/>
        <v>735.25</v>
      </c>
      <c r="I704" s="16">
        <f t="shared" si="2"/>
        <v>721.288</v>
      </c>
      <c r="J704" s="16">
        <f t="shared" si="3"/>
        <v>20.16237263</v>
      </c>
      <c r="K704" s="16">
        <f t="shared" si="4"/>
        <v>741.4503726</v>
      </c>
      <c r="L704" s="16">
        <f t="shared" si="5"/>
        <v>701.1256274</v>
      </c>
      <c r="N704" s="17" t="str">
        <f t="shared" si="6"/>
        <v>F</v>
      </c>
      <c r="O704" s="17" t="str">
        <f t="shared" si="7"/>
        <v>T</v>
      </c>
      <c r="P704" s="8">
        <f t="shared" si="8"/>
        <v>0</v>
      </c>
      <c r="R704" s="17" t="str">
        <f t="shared" si="9"/>
        <v>F</v>
      </c>
      <c r="S704" s="3" t="str">
        <f t="shared" si="10"/>
        <v>F</v>
      </c>
      <c r="T704" s="8">
        <f t="shared" si="11"/>
        <v>0</v>
      </c>
      <c r="V704" s="4">
        <f t="shared" si="12"/>
        <v>0</v>
      </c>
      <c r="W704" s="8">
        <f t="shared" si="13"/>
        <v>13.75</v>
      </c>
      <c r="X704" s="8">
        <f t="shared" si="14"/>
        <v>0</v>
      </c>
      <c r="Y704" s="8">
        <f t="shared" si="15"/>
        <v>436.07</v>
      </c>
    </row>
    <row r="705">
      <c r="A705" s="2">
        <v>698.0</v>
      </c>
      <c r="B705" s="15">
        <f>IFERROR(__xludf.DUMMYFUNCTION("""COMPUTED_VALUE"""),43403.64583333333)</f>
        <v>43403.64583</v>
      </c>
      <c r="C705" s="8">
        <f>IFERROR(__xludf.DUMMYFUNCTION("""COMPUTED_VALUE"""),1671.9)</f>
        <v>1671.9</v>
      </c>
      <c r="E705" s="15">
        <f>IFERROR(__xludf.DUMMYFUNCTION("""COMPUTED_VALUE"""),43403.64583333333)</f>
        <v>43403.64583</v>
      </c>
      <c r="F705" s="8">
        <f>IFERROR(__xludf.DUMMYFUNCTION("""COMPUTED_VALUE"""),956.38)</f>
        <v>956.38</v>
      </c>
      <c r="H705" s="4">
        <f t="shared" si="1"/>
        <v>715.52</v>
      </c>
      <c r="I705" s="16">
        <f t="shared" si="2"/>
        <v>725.528</v>
      </c>
      <c r="J705" s="16">
        <f t="shared" si="3"/>
        <v>14.51028842</v>
      </c>
      <c r="K705" s="16">
        <f t="shared" si="4"/>
        <v>740.0382884</v>
      </c>
      <c r="L705" s="16">
        <f t="shared" si="5"/>
        <v>711.0177116</v>
      </c>
      <c r="N705" s="17" t="str">
        <f t="shared" si="6"/>
        <v>F</v>
      </c>
      <c r="O705" s="17" t="str">
        <f t="shared" si="7"/>
        <v>F</v>
      </c>
      <c r="P705" s="8">
        <f t="shared" si="8"/>
        <v>0</v>
      </c>
      <c r="R705" s="17" t="str">
        <f t="shared" si="9"/>
        <v>F</v>
      </c>
      <c r="S705" s="3" t="str">
        <f t="shared" si="10"/>
        <v>T</v>
      </c>
      <c r="T705" s="8">
        <f t="shared" si="11"/>
        <v>0</v>
      </c>
      <c r="V705" s="4">
        <f t="shared" si="12"/>
        <v>0</v>
      </c>
      <c r="W705" s="8">
        <f t="shared" si="13"/>
        <v>-19.73</v>
      </c>
      <c r="X705" s="8">
        <f t="shared" si="14"/>
        <v>0</v>
      </c>
      <c r="Y705" s="8">
        <f t="shared" si="15"/>
        <v>436.07</v>
      </c>
    </row>
    <row r="706">
      <c r="A706" s="2">
        <v>699.0</v>
      </c>
      <c r="B706" s="15">
        <f>IFERROR(__xludf.DUMMYFUNCTION("""COMPUTED_VALUE"""),43404.64583333333)</f>
        <v>43404.64583</v>
      </c>
      <c r="C706" s="8">
        <f>IFERROR(__xludf.DUMMYFUNCTION("""COMPUTED_VALUE"""),1769.25)</f>
        <v>1769.25</v>
      </c>
      <c r="E706" s="15">
        <f>IFERROR(__xludf.DUMMYFUNCTION("""COMPUTED_VALUE"""),43404.64583333333)</f>
        <v>43404.64583</v>
      </c>
      <c r="F706" s="8">
        <f>IFERROR(__xludf.DUMMYFUNCTION("""COMPUTED_VALUE"""),955.88)</f>
        <v>955.88</v>
      </c>
      <c r="H706" s="4">
        <f t="shared" si="1"/>
        <v>813.37</v>
      </c>
      <c r="I706" s="16">
        <f t="shared" si="2"/>
        <v>739.138</v>
      </c>
      <c r="J706" s="16">
        <f t="shared" si="3"/>
        <v>42.54564337</v>
      </c>
      <c r="K706" s="16">
        <f t="shared" si="4"/>
        <v>781.6836434</v>
      </c>
      <c r="L706" s="16">
        <f t="shared" si="5"/>
        <v>696.5923566</v>
      </c>
      <c r="N706" s="17" t="str">
        <f t="shared" si="6"/>
        <v>F</v>
      </c>
      <c r="O706" s="17" t="str">
        <f t="shared" si="7"/>
        <v>T</v>
      </c>
      <c r="P706" s="8">
        <f t="shared" si="8"/>
        <v>0</v>
      </c>
      <c r="R706" s="17" t="str">
        <f t="shared" si="9"/>
        <v>T</v>
      </c>
      <c r="S706" s="3" t="str">
        <f t="shared" si="10"/>
        <v>F</v>
      </c>
      <c r="T706" s="8">
        <f t="shared" si="11"/>
        <v>-1</v>
      </c>
      <c r="V706" s="4">
        <f t="shared" si="12"/>
        <v>-1</v>
      </c>
      <c r="W706" s="8">
        <f t="shared" si="13"/>
        <v>97.85</v>
      </c>
      <c r="X706" s="8">
        <f t="shared" si="14"/>
        <v>0</v>
      </c>
      <c r="Y706" s="8">
        <f t="shared" si="15"/>
        <v>436.07</v>
      </c>
    </row>
    <row r="707">
      <c r="A707" s="2">
        <v>700.0</v>
      </c>
      <c r="B707" s="15">
        <f>IFERROR(__xludf.DUMMYFUNCTION("""COMPUTED_VALUE"""),43405.64583333333)</f>
        <v>43405.64583</v>
      </c>
      <c r="C707" s="8">
        <f>IFERROR(__xludf.DUMMYFUNCTION("""COMPUTED_VALUE"""),1762.0)</f>
        <v>1762</v>
      </c>
      <c r="E707" s="15">
        <f>IFERROR(__xludf.DUMMYFUNCTION("""COMPUTED_VALUE"""),43405.64583333333)</f>
        <v>43405.64583</v>
      </c>
      <c r="F707" s="8">
        <f>IFERROR(__xludf.DUMMYFUNCTION("""COMPUTED_VALUE"""),956.1)</f>
        <v>956.1</v>
      </c>
      <c r="H707" s="4">
        <f t="shared" si="1"/>
        <v>805.9</v>
      </c>
      <c r="I707" s="16">
        <f t="shared" si="2"/>
        <v>758.308</v>
      </c>
      <c r="J707" s="16">
        <f t="shared" si="3"/>
        <v>47.47140055</v>
      </c>
      <c r="K707" s="16">
        <f t="shared" si="4"/>
        <v>805.7794005</v>
      </c>
      <c r="L707" s="16">
        <f t="shared" si="5"/>
        <v>710.8365995</v>
      </c>
      <c r="N707" s="17" t="str">
        <f t="shared" si="6"/>
        <v>F</v>
      </c>
      <c r="O707" s="17" t="str">
        <f t="shared" si="7"/>
        <v>T</v>
      </c>
      <c r="P707" s="8">
        <f t="shared" si="8"/>
        <v>0</v>
      </c>
      <c r="R707" s="17" t="str">
        <f t="shared" si="9"/>
        <v>T</v>
      </c>
      <c r="S707" s="3" t="str">
        <f t="shared" si="10"/>
        <v>F</v>
      </c>
      <c r="T707" s="8">
        <f t="shared" si="11"/>
        <v>-1</v>
      </c>
      <c r="V707" s="4">
        <f t="shared" si="12"/>
        <v>-1</v>
      </c>
      <c r="W707" s="8">
        <f t="shared" si="13"/>
        <v>-7.47</v>
      </c>
      <c r="X707" s="8">
        <f t="shared" si="14"/>
        <v>7.47</v>
      </c>
      <c r="Y707" s="8">
        <f t="shared" si="15"/>
        <v>443.54</v>
      </c>
    </row>
    <row r="708">
      <c r="A708" s="2">
        <v>701.0</v>
      </c>
      <c r="B708" s="15">
        <f>IFERROR(__xludf.DUMMYFUNCTION("""COMPUTED_VALUE"""),43406.64583333333)</f>
        <v>43406.64583</v>
      </c>
      <c r="C708" s="8">
        <f>IFERROR(__xludf.DUMMYFUNCTION("""COMPUTED_VALUE"""),1824.4)</f>
        <v>1824.4</v>
      </c>
      <c r="E708" s="15">
        <f>IFERROR(__xludf.DUMMYFUNCTION("""COMPUTED_VALUE"""),43406.64583333333)</f>
        <v>43406.64583</v>
      </c>
      <c r="F708" s="8">
        <f>IFERROR(__xludf.DUMMYFUNCTION("""COMPUTED_VALUE"""),974.73)</f>
        <v>974.73</v>
      </c>
      <c r="H708" s="4">
        <f t="shared" si="1"/>
        <v>849.67</v>
      </c>
      <c r="I708" s="16">
        <f t="shared" si="2"/>
        <v>783.942</v>
      </c>
      <c r="J708" s="16">
        <f t="shared" si="3"/>
        <v>56.39328834</v>
      </c>
      <c r="K708" s="16">
        <f t="shared" si="4"/>
        <v>840.3352883</v>
      </c>
      <c r="L708" s="16">
        <f t="shared" si="5"/>
        <v>727.5487117</v>
      </c>
      <c r="N708" s="17" t="str">
        <f t="shared" si="6"/>
        <v>F</v>
      </c>
      <c r="O708" s="17" t="str">
        <f t="shared" si="7"/>
        <v>T</v>
      </c>
      <c r="P708" s="8">
        <f t="shared" si="8"/>
        <v>0</v>
      </c>
      <c r="R708" s="17" t="str">
        <f t="shared" si="9"/>
        <v>T</v>
      </c>
      <c r="S708" s="3" t="str">
        <f t="shared" si="10"/>
        <v>F</v>
      </c>
      <c r="T708" s="8">
        <f t="shared" si="11"/>
        <v>-1</v>
      </c>
      <c r="V708" s="4">
        <f t="shared" si="12"/>
        <v>-1</v>
      </c>
      <c r="W708" s="8">
        <f t="shared" si="13"/>
        <v>43.77</v>
      </c>
      <c r="X708" s="8">
        <f t="shared" si="14"/>
        <v>-43.77</v>
      </c>
      <c r="Y708" s="8">
        <f t="shared" si="15"/>
        <v>399.77</v>
      </c>
    </row>
    <row r="709">
      <c r="A709" s="2">
        <v>702.0</v>
      </c>
      <c r="B709" s="15">
        <f>IFERROR(__xludf.DUMMYFUNCTION("""COMPUTED_VALUE"""),43409.79166666667)</f>
        <v>43409.79167</v>
      </c>
      <c r="C709" s="8">
        <f>IFERROR(__xludf.DUMMYFUNCTION("""COMPUTED_VALUE"""),1792.9)</f>
        <v>1792.9</v>
      </c>
      <c r="E709" s="15">
        <f>IFERROR(__xludf.DUMMYFUNCTION("""COMPUTED_VALUE"""),43409.79166666667)</f>
        <v>43409.79167</v>
      </c>
      <c r="F709" s="8">
        <f>IFERROR(__xludf.DUMMYFUNCTION("""COMPUTED_VALUE"""),978.0)</f>
        <v>978</v>
      </c>
      <c r="H709" s="4">
        <f t="shared" si="1"/>
        <v>814.9</v>
      </c>
      <c r="I709" s="16">
        <f t="shared" si="2"/>
        <v>799.872</v>
      </c>
      <c r="J709" s="16">
        <f t="shared" si="3"/>
        <v>50.0985885</v>
      </c>
      <c r="K709" s="16">
        <f t="shared" si="4"/>
        <v>849.9705885</v>
      </c>
      <c r="L709" s="16">
        <f t="shared" si="5"/>
        <v>749.7734115</v>
      </c>
      <c r="N709" s="17" t="str">
        <f t="shared" si="6"/>
        <v>F</v>
      </c>
      <c r="O709" s="17" t="str">
        <f t="shared" si="7"/>
        <v>T</v>
      </c>
      <c r="P709" s="8">
        <f t="shared" si="8"/>
        <v>0</v>
      </c>
      <c r="R709" s="17" t="str">
        <f t="shared" si="9"/>
        <v>F</v>
      </c>
      <c r="S709" s="3" t="str">
        <f t="shared" si="10"/>
        <v>F</v>
      </c>
      <c r="T709" s="8">
        <f t="shared" si="11"/>
        <v>-1</v>
      </c>
      <c r="V709" s="4">
        <f t="shared" si="12"/>
        <v>-1</v>
      </c>
      <c r="W709" s="8">
        <f t="shared" si="13"/>
        <v>-34.77</v>
      </c>
      <c r="X709" s="8">
        <f t="shared" si="14"/>
        <v>34.77</v>
      </c>
      <c r="Y709" s="8">
        <f t="shared" si="15"/>
        <v>434.54</v>
      </c>
    </row>
    <row r="710">
      <c r="A710" s="2">
        <v>703.0</v>
      </c>
      <c r="B710" s="15">
        <f>IFERROR(__xludf.DUMMYFUNCTION("""COMPUTED_VALUE"""),43410.64583333333)</f>
        <v>43410.64583</v>
      </c>
      <c r="C710" s="8">
        <f>IFERROR(__xludf.DUMMYFUNCTION("""COMPUTED_VALUE"""),1805.9)</f>
        <v>1805.9</v>
      </c>
      <c r="E710" s="15">
        <f>IFERROR(__xludf.DUMMYFUNCTION("""COMPUTED_VALUE"""),43410.64583333333)</f>
        <v>43410.64583</v>
      </c>
      <c r="F710" s="8">
        <f>IFERROR(__xludf.DUMMYFUNCTION("""COMPUTED_VALUE"""),973.28)</f>
        <v>973.28</v>
      </c>
      <c r="H710" s="4">
        <f t="shared" si="1"/>
        <v>832.62</v>
      </c>
      <c r="I710" s="16">
        <f t="shared" si="2"/>
        <v>823.292</v>
      </c>
      <c r="J710" s="16">
        <f t="shared" si="3"/>
        <v>17.70708813</v>
      </c>
      <c r="K710" s="16">
        <f t="shared" si="4"/>
        <v>840.9990881</v>
      </c>
      <c r="L710" s="16">
        <f t="shared" si="5"/>
        <v>805.5849119</v>
      </c>
      <c r="N710" s="17" t="str">
        <f t="shared" si="6"/>
        <v>F</v>
      </c>
      <c r="O710" s="17" t="str">
        <f t="shared" si="7"/>
        <v>T</v>
      </c>
      <c r="P710" s="8">
        <f t="shared" si="8"/>
        <v>0</v>
      </c>
      <c r="R710" s="17" t="str">
        <f t="shared" si="9"/>
        <v>F</v>
      </c>
      <c r="S710" s="3" t="str">
        <f t="shared" si="10"/>
        <v>F</v>
      </c>
      <c r="T710" s="8">
        <f t="shared" si="11"/>
        <v>-1</v>
      </c>
      <c r="V710" s="4">
        <f t="shared" si="12"/>
        <v>-1</v>
      </c>
      <c r="W710" s="8">
        <f t="shared" si="13"/>
        <v>17.72</v>
      </c>
      <c r="X710" s="8">
        <f t="shared" si="14"/>
        <v>-17.72</v>
      </c>
      <c r="Y710" s="8">
        <f t="shared" si="15"/>
        <v>416.82</v>
      </c>
    </row>
    <row r="711">
      <c r="A711" s="2">
        <v>704.0</v>
      </c>
      <c r="B711" s="15">
        <f>IFERROR(__xludf.DUMMYFUNCTION("""COMPUTED_VALUE"""),43413.64583333333)</f>
        <v>43413.64583</v>
      </c>
      <c r="C711" s="8">
        <f>IFERROR(__xludf.DUMMYFUNCTION("""COMPUTED_VALUE"""),1816.1)</f>
        <v>1816.1</v>
      </c>
      <c r="E711" s="15">
        <f>IFERROR(__xludf.DUMMYFUNCTION("""COMPUTED_VALUE"""),43413.64583333333)</f>
        <v>43413.64583</v>
      </c>
      <c r="F711" s="8">
        <f>IFERROR(__xludf.DUMMYFUNCTION("""COMPUTED_VALUE"""),972.7)</f>
        <v>972.7</v>
      </c>
      <c r="H711" s="4">
        <f t="shared" si="1"/>
        <v>843.4</v>
      </c>
      <c r="I711" s="16">
        <f t="shared" si="2"/>
        <v>829.298</v>
      </c>
      <c r="J711" s="16">
        <f t="shared" si="3"/>
        <v>18.57208443</v>
      </c>
      <c r="K711" s="16">
        <f t="shared" si="4"/>
        <v>847.8700844</v>
      </c>
      <c r="L711" s="16">
        <f t="shared" si="5"/>
        <v>810.7259156</v>
      </c>
      <c r="N711" s="17" t="str">
        <f t="shared" si="6"/>
        <v>F</v>
      </c>
      <c r="O711" s="17" t="str">
        <f t="shared" si="7"/>
        <v>T</v>
      </c>
      <c r="P711" s="8">
        <f t="shared" si="8"/>
        <v>0</v>
      </c>
      <c r="R711" s="17" t="str">
        <f t="shared" si="9"/>
        <v>F</v>
      </c>
      <c r="S711" s="3" t="str">
        <f t="shared" si="10"/>
        <v>F</v>
      </c>
      <c r="T711" s="8">
        <f t="shared" si="11"/>
        <v>-1</v>
      </c>
      <c r="V711" s="4">
        <f t="shared" si="12"/>
        <v>-1</v>
      </c>
      <c r="W711" s="8">
        <f t="shared" si="13"/>
        <v>10.78</v>
      </c>
      <c r="X711" s="8">
        <f t="shared" si="14"/>
        <v>-10.78</v>
      </c>
      <c r="Y711" s="8">
        <f t="shared" si="15"/>
        <v>406.04</v>
      </c>
    </row>
    <row r="712">
      <c r="A712" s="2">
        <v>705.0</v>
      </c>
      <c r="B712" s="15">
        <f>IFERROR(__xludf.DUMMYFUNCTION("""COMPUTED_VALUE"""),43416.64583333333)</f>
        <v>43416.64583</v>
      </c>
      <c r="C712" s="8">
        <f>IFERROR(__xludf.DUMMYFUNCTION("""COMPUTED_VALUE"""),1795.9)</f>
        <v>1795.9</v>
      </c>
      <c r="E712" s="15">
        <f>IFERROR(__xludf.DUMMYFUNCTION("""COMPUTED_VALUE"""),43416.64583333333)</f>
        <v>43416.64583</v>
      </c>
      <c r="F712" s="8">
        <f>IFERROR(__xludf.DUMMYFUNCTION("""COMPUTED_VALUE"""),960.53)</f>
        <v>960.53</v>
      </c>
      <c r="H712" s="4">
        <f t="shared" si="1"/>
        <v>835.37</v>
      </c>
      <c r="I712" s="16">
        <f t="shared" si="2"/>
        <v>835.192</v>
      </c>
      <c r="J712" s="16">
        <f t="shared" si="3"/>
        <v>13.18517994</v>
      </c>
      <c r="K712" s="16">
        <f t="shared" si="4"/>
        <v>848.3771799</v>
      </c>
      <c r="L712" s="16">
        <f t="shared" si="5"/>
        <v>822.0068201</v>
      </c>
      <c r="N712" s="17" t="str">
        <f t="shared" si="6"/>
        <v>F</v>
      </c>
      <c r="O712" s="17" t="str">
        <f t="shared" si="7"/>
        <v>T</v>
      </c>
      <c r="P712" s="8">
        <f t="shared" si="8"/>
        <v>0</v>
      </c>
      <c r="R712" s="17" t="str">
        <f t="shared" si="9"/>
        <v>F</v>
      </c>
      <c r="S712" s="3" t="str">
        <f t="shared" si="10"/>
        <v>F</v>
      </c>
      <c r="T712" s="8">
        <f t="shared" si="11"/>
        <v>-1</v>
      </c>
      <c r="V712" s="4">
        <f t="shared" si="12"/>
        <v>-1</v>
      </c>
      <c r="W712" s="8">
        <f t="shared" si="13"/>
        <v>-8.03</v>
      </c>
      <c r="X712" s="8">
        <f t="shared" si="14"/>
        <v>8.03</v>
      </c>
      <c r="Y712" s="8">
        <f t="shared" si="15"/>
        <v>414.07</v>
      </c>
    </row>
    <row r="713">
      <c r="A713" s="2">
        <v>706.0</v>
      </c>
      <c r="B713" s="15">
        <f>IFERROR(__xludf.DUMMYFUNCTION("""COMPUTED_VALUE"""),43417.64583333333)</f>
        <v>43417.64583</v>
      </c>
      <c r="C713" s="8">
        <f>IFERROR(__xludf.DUMMYFUNCTION("""COMPUTED_VALUE"""),1824.7)</f>
        <v>1824.7</v>
      </c>
      <c r="E713" s="15">
        <f>IFERROR(__xludf.DUMMYFUNCTION("""COMPUTED_VALUE"""),43417.64583333333)</f>
        <v>43417.64583</v>
      </c>
      <c r="F713" s="8">
        <f>IFERROR(__xludf.DUMMYFUNCTION("""COMPUTED_VALUE"""),963.88)</f>
        <v>963.88</v>
      </c>
      <c r="H713" s="4">
        <f t="shared" si="1"/>
        <v>860.82</v>
      </c>
      <c r="I713" s="16">
        <f t="shared" si="2"/>
        <v>837.422</v>
      </c>
      <c r="J713" s="16">
        <f t="shared" si="3"/>
        <v>16.7161096</v>
      </c>
      <c r="K713" s="16">
        <f t="shared" si="4"/>
        <v>854.1381096</v>
      </c>
      <c r="L713" s="16">
        <f t="shared" si="5"/>
        <v>820.7058904</v>
      </c>
      <c r="N713" s="17" t="str">
        <f t="shared" si="6"/>
        <v>F</v>
      </c>
      <c r="O713" s="17" t="str">
        <f t="shared" si="7"/>
        <v>T</v>
      </c>
      <c r="P713" s="8">
        <f t="shared" si="8"/>
        <v>0</v>
      </c>
      <c r="R713" s="17" t="str">
        <f t="shared" si="9"/>
        <v>T</v>
      </c>
      <c r="S713" s="3" t="str">
        <f t="shared" si="10"/>
        <v>F</v>
      </c>
      <c r="T713" s="8">
        <f t="shared" si="11"/>
        <v>-1</v>
      </c>
      <c r="V713" s="4">
        <f t="shared" si="12"/>
        <v>-1</v>
      </c>
      <c r="W713" s="8">
        <f t="shared" si="13"/>
        <v>25.45</v>
      </c>
      <c r="X713" s="8">
        <f t="shared" si="14"/>
        <v>-25.45</v>
      </c>
      <c r="Y713" s="8">
        <f t="shared" si="15"/>
        <v>388.62</v>
      </c>
    </row>
    <row r="714">
      <c r="A714" s="2">
        <v>707.0</v>
      </c>
      <c r="B714" s="15">
        <f>IFERROR(__xludf.DUMMYFUNCTION("""COMPUTED_VALUE"""),43418.64583333333)</f>
        <v>43418.64583</v>
      </c>
      <c r="C714" s="8">
        <f>IFERROR(__xludf.DUMMYFUNCTION("""COMPUTED_VALUE"""),1839.15)</f>
        <v>1839.15</v>
      </c>
      <c r="E714" s="15">
        <f>IFERROR(__xludf.DUMMYFUNCTION("""COMPUTED_VALUE"""),43418.64583333333)</f>
        <v>43418.64583</v>
      </c>
      <c r="F714" s="8">
        <f>IFERROR(__xludf.DUMMYFUNCTION("""COMPUTED_VALUE"""),978.88)</f>
        <v>978.88</v>
      </c>
      <c r="H714" s="4">
        <f t="shared" si="1"/>
        <v>860.27</v>
      </c>
      <c r="I714" s="16">
        <f t="shared" si="2"/>
        <v>846.496</v>
      </c>
      <c r="J714" s="16">
        <f t="shared" si="3"/>
        <v>13.42401319</v>
      </c>
      <c r="K714" s="16">
        <f t="shared" si="4"/>
        <v>859.9200132</v>
      </c>
      <c r="L714" s="16">
        <f t="shared" si="5"/>
        <v>833.0719868</v>
      </c>
      <c r="N714" s="17" t="str">
        <f t="shared" si="6"/>
        <v>F</v>
      </c>
      <c r="O714" s="17" t="str">
        <f t="shared" si="7"/>
        <v>T</v>
      </c>
      <c r="P714" s="8">
        <f t="shared" si="8"/>
        <v>0</v>
      </c>
      <c r="R714" s="17" t="str">
        <f t="shared" si="9"/>
        <v>T</v>
      </c>
      <c r="S714" s="3" t="str">
        <f t="shared" si="10"/>
        <v>F</v>
      </c>
      <c r="T714" s="8">
        <f t="shared" si="11"/>
        <v>-1</v>
      </c>
      <c r="V714" s="4">
        <f t="shared" si="12"/>
        <v>-1</v>
      </c>
      <c r="W714" s="8">
        <f t="shared" si="13"/>
        <v>-0.55</v>
      </c>
      <c r="X714" s="8">
        <f t="shared" si="14"/>
        <v>0.55</v>
      </c>
      <c r="Y714" s="8">
        <f t="shared" si="15"/>
        <v>389.17</v>
      </c>
    </row>
    <row r="715">
      <c r="A715" s="2">
        <v>708.0</v>
      </c>
      <c r="B715" s="15">
        <f>IFERROR(__xludf.DUMMYFUNCTION("""COMPUTED_VALUE"""),43419.64583333333)</f>
        <v>43419.64583</v>
      </c>
      <c r="C715" s="8">
        <f>IFERROR(__xludf.DUMMYFUNCTION("""COMPUTED_VALUE"""),1853.6)</f>
        <v>1853.6</v>
      </c>
      <c r="E715" s="15">
        <f>IFERROR(__xludf.DUMMYFUNCTION("""COMPUTED_VALUE"""),43419.64583333333)</f>
        <v>43419.64583</v>
      </c>
      <c r="F715" s="8">
        <f>IFERROR(__xludf.DUMMYFUNCTION("""COMPUTED_VALUE"""),987.58)</f>
        <v>987.58</v>
      </c>
      <c r="H715" s="4">
        <f t="shared" si="1"/>
        <v>866.02</v>
      </c>
      <c r="I715" s="16">
        <f t="shared" si="2"/>
        <v>853.176</v>
      </c>
      <c r="J715" s="16">
        <f t="shared" si="3"/>
        <v>13.09911944</v>
      </c>
      <c r="K715" s="16">
        <f t="shared" si="4"/>
        <v>866.2751194</v>
      </c>
      <c r="L715" s="16">
        <f t="shared" si="5"/>
        <v>840.0768806</v>
      </c>
      <c r="N715" s="17" t="str">
        <f t="shared" si="6"/>
        <v>F</v>
      </c>
      <c r="O715" s="17" t="str">
        <f t="shared" si="7"/>
        <v>T</v>
      </c>
      <c r="P715" s="8">
        <f t="shared" si="8"/>
        <v>0</v>
      </c>
      <c r="R715" s="17" t="str">
        <f t="shared" si="9"/>
        <v>F</v>
      </c>
      <c r="S715" s="3" t="str">
        <f t="shared" si="10"/>
        <v>F</v>
      </c>
      <c r="T715" s="8">
        <f t="shared" si="11"/>
        <v>-1</v>
      </c>
      <c r="V715" s="4">
        <f t="shared" si="12"/>
        <v>-1</v>
      </c>
      <c r="W715" s="8">
        <f t="shared" si="13"/>
        <v>5.75</v>
      </c>
      <c r="X715" s="8">
        <f t="shared" si="14"/>
        <v>-5.75</v>
      </c>
      <c r="Y715" s="8">
        <f t="shared" si="15"/>
        <v>383.42</v>
      </c>
    </row>
    <row r="716">
      <c r="A716" s="2">
        <v>709.0</v>
      </c>
      <c r="B716" s="15">
        <f>IFERROR(__xludf.DUMMYFUNCTION("""COMPUTED_VALUE"""),43420.64583333333)</f>
        <v>43420.64583</v>
      </c>
      <c r="C716" s="8">
        <f>IFERROR(__xludf.DUMMYFUNCTION("""COMPUTED_VALUE"""),1889.0)</f>
        <v>1889</v>
      </c>
      <c r="E716" s="15">
        <f>IFERROR(__xludf.DUMMYFUNCTION("""COMPUTED_VALUE"""),43420.64583333333)</f>
        <v>43420.64583</v>
      </c>
      <c r="F716" s="8">
        <f>IFERROR(__xludf.DUMMYFUNCTION("""COMPUTED_VALUE"""),1002.15)</f>
        <v>1002.15</v>
      </c>
      <c r="H716" s="4">
        <f t="shared" si="1"/>
        <v>886.85</v>
      </c>
      <c r="I716" s="16">
        <f t="shared" si="2"/>
        <v>861.866</v>
      </c>
      <c r="J716" s="16">
        <f t="shared" si="3"/>
        <v>18.35167104</v>
      </c>
      <c r="K716" s="16">
        <f t="shared" si="4"/>
        <v>880.217671</v>
      </c>
      <c r="L716" s="16">
        <f t="shared" si="5"/>
        <v>843.514329</v>
      </c>
      <c r="N716" s="17" t="str">
        <f t="shared" si="6"/>
        <v>F</v>
      </c>
      <c r="O716" s="17" t="str">
        <f t="shared" si="7"/>
        <v>T</v>
      </c>
      <c r="P716" s="8">
        <f t="shared" si="8"/>
        <v>0</v>
      </c>
      <c r="R716" s="17" t="str">
        <f t="shared" si="9"/>
        <v>T</v>
      </c>
      <c r="S716" s="3" t="str">
        <f t="shared" si="10"/>
        <v>F</v>
      </c>
      <c r="T716" s="8">
        <f t="shared" si="11"/>
        <v>-1</v>
      </c>
      <c r="V716" s="4">
        <f t="shared" si="12"/>
        <v>-1</v>
      </c>
      <c r="W716" s="8">
        <f t="shared" si="13"/>
        <v>20.83</v>
      </c>
      <c r="X716" s="8">
        <f t="shared" si="14"/>
        <v>-20.83</v>
      </c>
      <c r="Y716" s="8">
        <f t="shared" si="15"/>
        <v>362.59</v>
      </c>
    </row>
    <row r="717">
      <c r="A717" s="2">
        <v>710.0</v>
      </c>
      <c r="B717" s="15">
        <f>IFERROR(__xludf.DUMMYFUNCTION("""COMPUTED_VALUE"""),43423.64583333333)</f>
        <v>43423.64583</v>
      </c>
      <c r="C717" s="8">
        <f>IFERROR(__xludf.DUMMYFUNCTION("""COMPUTED_VALUE"""),1899.35)</f>
        <v>1899.35</v>
      </c>
      <c r="E717" s="15">
        <f>IFERROR(__xludf.DUMMYFUNCTION("""COMPUTED_VALUE"""),43423.64583333333)</f>
        <v>43423.64583</v>
      </c>
      <c r="F717" s="8">
        <f>IFERROR(__xludf.DUMMYFUNCTION("""COMPUTED_VALUE"""),1006.95)</f>
        <v>1006.95</v>
      </c>
      <c r="H717" s="4">
        <f t="shared" si="1"/>
        <v>892.4</v>
      </c>
      <c r="I717" s="16">
        <f t="shared" si="2"/>
        <v>873.272</v>
      </c>
      <c r="J717" s="16">
        <f t="shared" si="3"/>
        <v>15.22283055</v>
      </c>
      <c r="K717" s="16">
        <f t="shared" si="4"/>
        <v>888.4948306</v>
      </c>
      <c r="L717" s="16">
        <f t="shared" si="5"/>
        <v>858.0491694</v>
      </c>
      <c r="N717" s="17" t="str">
        <f t="shared" si="6"/>
        <v>F</v>
      </c>
      <c r="O717" s="17" t="str">
        <f t="shared" si="7"/>
        <v>T</v>
      </c>
      <c r="P717" s="8">
        <f t="shared" si="8"/>
        <v>0</v>
      </c>
      <c r="R717" s="17" t="str">
        <f t="shared" si="9"/>
        <v>T</v>
      </c>
      <c r="S717" s="3" t="str">
        <f t="shared" si="10"/>
        <v>F</v>
      </c>
      <c r="T717" s="8">
        <f t="shared" si="11"/>
        <v>-1</v>
      </c>
      <c r="V717" s="4">
        <f t="shared" si="12"/>
        <v>-1</v>
      </c>
      <c r="W717" s="8">
        <f t="shared" si="13"/>
        <v>5.55</v>
      </c>
      <c r="X717" s="8">
        <f t="shared" si="14"/>
        <v>-5.55</v>
      </c>
      <c r="Y717" s="8">
        <f t="shared" si="15"/>
        <v>357.04</v>
      </c>
    </row>
    <row r="718">
      <c r="A718" s="2">
        <v>711.0</v>
      </c>
      <c r="B718" s="15">
        <f>IFERROR(__xludf.DUMMYFUNCTION("""COMPUTED_VALUE"""),43424.64583333333)</f>
        <v>43424.64583</v>
      </c>
      <c r="C718" s="8">
        <f>IFERROR(__xludf.DUMMYFUNCTION("""COMPUTED_VALUE"""),1876.8)</f>
        <v>1876.8</v>
      </c>
      <c r="E718" s="15">
        <f>IFERROR(__xludf.DUMMYFUNCTION("""COMPUTED_VALUE"""),43424.64583333333)</f>
        <v>43424.64583</v>
      </c>
      <c r="F718" s="8">
        <f>IFERROR(__xludf.DUMMYFUNCTION("""COMPUTED_VALUE"""),1006.23)</f>
        <v>1006.23</v>
      </c>
      <c r="H718" s="4">
        <f t="shared" si="1"/>
        <v>870.57</v>
      </c>
      <c r="I718" s="16">
        <f t="shared" si="2"/>
        <v>875.222</v>
      </c>
      <c r="J718" s="16">
        <f t="shared" si="3"/>
        <v>13.78562911</v>
      </c>
      <c r="K718" s="16">
        <f t="shared" si="4"/>
        <v>889.0076291</v>
      </c>
      <c r="L718" s="16">
        <f t="shared" si="5"/>
        <v>861.4363709</v>
      </c>
      <c r="N718" s="17" t="str">
        <f t="shared" si="6"/>
        <v>F</v>
      </c>
      <c r="O718" s="17" t="str">
        <f t="shared" si="7"/>
        <v>F</v>
      </c>
      <c r="P718" s="8">
        <f t="shared" si="8"/>
        <v>0</v>
      </c>
      <c r="R718" s="17" t="str">
        <f t="shared" si="9"/>
        <v>F</v>
      </c>
      <c r="S718" s="3" t="str">
        <f t="shared" si="10"/>
        <v>T</v>
      </c>
      <c r="T718" s="8">
        <f t="shared" si="11"/>
        <v>0</v>
      </c>
      <c r="V718" s="4">
        <f t="shared" si="12"/>
        <v>0</v>
      </c>
      <c r="W718" s="8">
        <f t="shared" si="13"/>
        <v>-21.83</v>
      </c>
      <c r="X718" s="8">
        <f t="shared" si="14"/>
        <v>21.83</v>
      </c>
      <c r="Y718" s="8">
        <f t="shared" si="15"/>
        <v>378.87</v>
      </c>
    </row>
    <row r="719">
      <c r="A719" s="2">
        <v>712.0</v>
      </c>
      <c r="B719" s="15">
        <f>IFERROR(__xludf.DUMMYFUNCTION("""COMPUTED_VALUE"""),43425.64583333333)</f>
        <v>43425.64583</v>
      </c>
      <c r="C719" s="8">
        <f>IFERROR(__xludf.DUMMYFUNCTION("""COMPUTED_VALUE"""),1868.15)</f>
        <v>1868.15</v>
      </c>
      <c r="E719" s="15">
        <f>IFERROR(__xludf.DUMMYFUNCTION("""COMPUTED_VALUE"""),43425.64583333333)</f>
        <v>43425.64583</v>
      </c>
      <c r="F719" s="8">
        <f>IFERROR(__xludf.DUMMYFUNCTION("""COMPUTED_VALUE"""),1009.38)</f>
        <v>1009.38</v>
      </c>
      <c r="H719" s="4">
        <f t="shared" si="1"/>
        <v>858.77</v>
      </c>
      <c r="I719" s="16">
        <f t="shared" si="2"/>
        <v>874.922</v>
      </c>
      <c r="J719" s="16">
        <f t="shared" si="3"/>
        <v>14.20237903</v>
      </c>
      <c r="K719" s="16">
        <f t="shared" si="4"/>
        <v>889.124379</v>
      </c>
      <c r="L719" s="16">
        <f t="shared" si="5"/>
        <v>860.719621</v>
      </c>
      <c r="N719" s="17" t="str">
        <f t="shared" si="6"/>
        <v>T</v>
      </c>
      <c r="O719" s="17" t="str">
        <f t="shared" si="7"/>
        <v>F</v>
      </c>
      <c r="P719" s="8">
        <f t="shared" si="8"/>
        <v>1</v>
      </c>
      <c r="R719" s="17" t="str">
        <f t="shared" si="9"/>
        <v>F</v>
      </c>
      <c r="S719" s="3" t="str">
        <f t="shared" si="10"/>
        <v>T</v>
      </c>
      <c r="T719" s="8">
        <f t="shared" si="11"/>
        <v>0</v>
      </c>
      <c r="V719" s="4">
        <f t="shared" si="12"/>
        <v>1</v>
      </c>
      <c r="W719" s="8">
        <f t="shared" si="13"/>
        <v>-11.8</v>
      </c>
      <c r="X719" s="8">
        <f t="shared" si="14"/>
        <v>0</v>
      </c>
      <c r="Y719" s="8">
        <f t="shared" si="15"/>
        <v>378.87</v>
      </c>
    </row>
    <row r="720">
      <c r="A720" s="2">
        <v>713.0</v>
      </c>
      <c r="B720" s="15">
        <f>IFERROR(__xludf.DUMMYFUNCTION("""COMPUTED_VALUE"""),43426.64583333333)</f>
        <v>43426.64583</v>
      </c>
      <c r="C720" s="8">
        <f>IFERROR(__xludf.DUMMYFUNCTION("""COMPUTED_VALUE"""),1873.7)</f>
        <v>1873.7</v>
      </c>
      <c r="E720" s="15">
        <f>IFERROR(__xludf.DUMMYFUNCTION("""COMPUTED_VALUE"""),43426.64583333333)</f>
        <v>43426.64583</v>
      </c>
      <c r="F720" s="8">
        <f>IFERROR(__xludf.DUMMYFUNCTION("""COMPUTED_VALUE"""),1002.75)</f>
        <v>1002.75</v>
      </c>
      <c r="H720" s="4">
        <f t="shared" si="1"/>
        <v>870.95</v>
      </c>
      <c r="I720" s="16">
        <f t="shared" si="2"/>
        <v>875.908</v>
      </c>
      <c r="J720" s="16">
        <f t="shared" si="3"/>
        <v>13.58768266</v>
      </c>
      <c r="K720" s="16">
        <f t="shared" si="4"/>
        <v>889.4956827</v>
      </c>
      <c r="L720" s="16">
        <f t="shared" si="5"/>
        <v>862.3203173</v>
      </c>
      <c r="N720" s="17" t="str">
        <f t="shared" si="6"/>
        <v>F</v>
      </c>
      <c r="O720" s="17" t="str">
        <f t="shared" si="7"/>
        <v>F</v>
      </c>
      <c r="P720" s="8">
        <f t="shared" si="8"/>
        <v>1</v>
      </c>
      <c r="R720" s="17" t="str">
        <f t="shared" si="9"/>
        <v>F</v>
      </c>
      <c r="S720" s="3" t="str">
        <f t="shared" si="10"/>
        <v>T</v>
      </c>
      <c r="T720" s="8">
        <f t="shared" si="11"/>
        <v>0</v>
      </c>
      <c r="V720" s="4">
        <f t="shared" si="12"/>
        <v>1</v>
      </c>
      <c r="W720" s="8">
        <f t="shared" si="13"/>
        <v>12.18</v>
      </c>
      <c r="X720" s="8">
        <f t="shared" si="14"/>
        <v>12.18</v>
      </c>
      <c r="Y720" s="8">
        <f t="shared" si="15"/>
        <v>391.05</v>
      </c>
    </row>
    <row r="721">
      <c r="A721" s="2">
        <v>714.0</v>
      </c>
      <c r="B721" s="15">
        <f>IFERROR(__xludf.DUMMYFUNCTION("""COMPUTED_VALUE"""),43430.64583333333)</f>
        <v>43430.64583</v>
      </c>
      <c r="C721" s="8">
        <f>IFERROR(__xludf.DUMMYFUNCTION("""COMPUTED_VALUE"""),1884.65)</f>
        <v>1884.65</v>
      </c>
      <c r="E721" s="15">
        <f>IFERROR(__xludf.DUMMYFUNCTION("""COMPUTED_VALUE"""),43430.64583333333)</f>
        <v>43430.64583</v>
      </c>
      <c r="F721" s="8">
        <f>IFERROR(__xludf.DUMMYFUNCTION("""COMPUTED_VALUE"""),1024.9)</f>
        <v>1024.9</v>
      </c>
      <c r="H721" s="4">
        <f t="shared" si="1"/>
        <v>859.75</v>
      </c>
      <c r="I721" s="16">
        <f t="shared" si="2"/>
        <v>870.488</v>
      </c>
      <c r="J721" s="16">
        <f t="shared" si="3"/>
        <v>13.53672856</v>
      </c>
      <c r="K721" s="16">
        <f t="shared" si="4"/>
        <v>884.0247286</v>
      </c>
      <c r="L721" s="16">
        <f t="shared" si="5"/>
        <v>856.9512714</v>
      </c>
      <c r="N721" s="17" t="str">
        <f t="shared" si="6"/>
        <v>F</v>
      </c>
      <c r="O721" s="17" t="str">
        <f t="shared" si="7"/>
        <v>F</v>
      </c>
      <c r="P721" s="8">
        <f t="shared" si="8"/>
        <v>1</v>
      </c>
      <c r="R721" s="17" t="str">
        <f t="shared" si="9"/>
        <v>F</v>
      </c>
      <c r="S721" s="3" t="str">
        <f t="shared" si="10"/>
        <v>T</v>
      </c>
      <c r="T721" s="8">
        <f t="shared" si="11"/>
        <v>0</v>
      </c>
      <c r="V721" s="4">
        <f t="shared" si="12"/>
        <v>1</v>
      </c>
      <c r="W721" s="8">
        <f t="shared" si="13"/>
        <v>-11.2</v>
      </c>
      <c r="X721" s="8">
        <f t="shared" si="14"/>
        <v>-11.2</v>
      </c>
      <c r="Y721" s="8">
        <f t="shared" si="15"/>
        <v>379.85</v>
      </c>
    </row>
    <row r="722">
      <c r="A722" s="2">
        <v>715.0</v>
      </c>
      <c r="B722" s="15">
        <f>IFERROR(__xludf.DUMMYFUNCTION("""COMPUTED_VALUE"""),43431.64583333333)</f>
        <v>43431.64583</v>
      </c>
      <c r="C722" s="8">
        <f>IFERROR(__xludf.DUMMYFUNCTION("""COMPUTED_VALUE"""),1901.7)</f>
        <v>1901.7</v>
      </c>
      <c r="E722" s="15">
        <f>IFERROR(__xludf.DUMMYFUNCTION("""COMPUTED_VALUE"""),43431.64583333333)</f>
        <v>43431.64583</v>
      </c>
      <c r="F722" s="8">
        <f>IFERROR(__xludf.DUMMYFUNCTION("""COMPUTED_VALUE"""),1032.0)</f>
        <v>1032</v>
      </c>
      <c r="H722" s="4">
        <f t="shared" si="1"/>
        <v>869.7</v>
      </c>
      <c r="I722" s="16">
        <f t="shared" si="2"/>
        <v>865.948</v>
      </c>
      <c r="J722" s="16">
        <f t="shared" si="3"/>
        <v>6.131869209</v>
      </c>
      <c r="K722" s="16">
        <f t="shared" si="4"/>
        <v>872.0798692</v>
      </c>
      <c r="L722" s="16">
        <f t="shared" si="5"/>
        <v>859.8161308</v>
      </c>
      <c r="N722" s="17" t="str">
        <f t="shared" si="6"/>
        <v>F</v>
      </c>
      <c r="O722" s="17" t="str">
        <f t="shared" si="7"/>
        <v>T</v>
      </c>
      <c r="P722" s="8">
        <f t="shared" si="8"/>
        <v>0</v>
      </c>
      <c r="R722" s="17" t="str">
        <f t="shared" si="9"/>
        <v>F</v>
      </c>
      <c r="S722" s="3" t="str">
        <f t="shared" si="10"/>
        <v>F</v>
      </c>
      <c r="T722" s="8">
        <f t="shared" si="11"/>
        <v>0</v>
      </c>
      <c r="V722" s="4">
        <f t="shared" si="12"/>
        <v>0</v>
      </c>
      <c r="W722" s="8">
        <f t="shared" si="13"/>
        <v>9.95</v>
      </c>
      <c r="X722" s="8">
        <f t="shared" si="14"/>
        <v>9.95</v>
      </c>
      <c r="Y722" s="8">
        <f t="shared" si="15"/>
        <v>389.8</v>
      </c>
    </row>
    <row r="723">
      <c r="A723" s="2">
        <v>716.0</v>
      </c>
      <c r="B723" s="15">
        <f>IFERROR(__xludf.DUMMYFUNCTION("""COMPUTED_VALUE"""),43432.64583333333)</f>
        <v>43432.64583</v>
      </c>
      <c r="C723" s="8">
        <f>IFERROR(__xludf.DUMMYFUNCTION("""COMPUTED_VALUE"""),1928.0)</f>
        <v>1928</v>
      </c>
      <c r="E723" s="15">
        <f>IFERROR(__xludf.DUMMYFUNCTION("""COMPUTED_VALUE"""),43432.64583333333)</f>
        <v>43432.64583</v>
      </c>
      <c r="F723" s="8">
        <f>IFERROR(__xludf.DUMMYFUNCTION("""COMPUTED_VALUE"""),1044.63)</f>
        <v>1044.63</v>
      </c>
      <c r="H723" s="4">
        <f t="shared" si="1"/>
        <v>883.37</v>
      </c>
      <c r="I723" s="16">
        <f t="shared" si="2"/>
        <v>868.508</v>
      </c>
      <c r="J723" s="16">
        <f t="shared" si="3"/>
        <v>9.99743067</v>
      </c>
      <c r="K723" s="16">
        <f t="shared" si="4"/>
        <v>878.5054307</v>
      </c>
      <c r="L723" s="16">
        <f t="shared" si="5"/>
        <v>858.5105693</v>
      </c>
      <c r="N723" s="17" t="str">
        <f t="shared" si="6"/>
        <v>F</v>
      </c>
      <c r="O723" s="17" t="str">
        <f t="shared" si="7"/>
        <v>T</v>
      </c>
      <c r="P723" s="8">
        <f t="shared" si="8"/>
        <v>0</v>
      </c>
      <c r="R723" s="17" t="str">
        <f t="shared" si="9"/>
        <v>T</v>
      </c>
      <c r="S723" s="3" t="str">
        <f t="shared" si="10"/>
        <v>F</v>
      </c>
      <c r="T723" s="8">
        <f t="shared" si="11"/>
        <v>-1</v>
      </c>
      <c r="V723" s="4">
        <f t="shared" si="12"/>
        <v>-1</v>
      </c>
      <c r="W723" s="8">
        <f t="shared" si="13"/>
        <v>13.67</v>
      </c>
      <c r="X723" s="8">
        <f t="shared" si="14"/>
        <v>0</v>
      </c>
      <c r="Y723" s="8">
        <f t="shared" si="15"/>
        <v>389.8</v>
      </c>
    </row>
    <row r="724">
      <c r="A724" s="2">
        <v>717.0</v>
      </c>
      <c r="B724" s="15">
        <f>IFERROR(__xludf.DUMMYFUNCTION("""COMPUTED_VALUE"""),43433.64583333333)</f>
        <v>43433.64583</v>
      </c>
      <c r="C724" s="8">
        <f>IFERROR(__xludf.DUMMYFUNCTION("""COMPUTED_VALUE"""),1956.3)</f>
        <v>1956.3</v>
      </c>
      <c r="E724" s="15">
        <f>IFERROR(__xludf.DUMMYFUNCTION("""COMPUTED_VALUE"""),43433.64583333333)</f>
        <v>43433.64583</v>
      </c>
      <c r="F724" s="8">
        <f>IFERROR(__xludf.DUMMYFUNCTION("""COMPUTED_VALUE"""),1065.53)</f>
        <v>1065.53</v>
      </c>
      <c r="H724" s="4">
        <f t="shared" si="1"/>
        <v>890.77</v>
      </c>
      <c r="I724" s="16">
        <f t="shared" si="2"/>
        <v>874.908</v>
      </c>
      <c r="J724" s="16">
        <f t="shared" si="3"/>
        <v>12.20412307</v>
      </c>
      <c r="K724" s="16">
        <f t="shared" si="4"/>
        <v>887.1121231</v>
      </c>
      <c r="L724" s="16">
        <f t="shared" si="5"/>
        <v>862.7038769</v>
      </c>
      <c r="N724" s="17" t="str">
        <f t="shared" si="6"/>
        <v>F</v>
      </c>
      <c r="O724" s="17" t="str">
        <f t="shared" si="7"/>
        <v>T</v>
      </c>
      <c r="P724" s="8">
        <f t="shared" si="8"/>
        <v>0</v>
      </c>
      <c r="R724" s="17" t="str">
        <f t="shared" si="9"/>
        <v>T</v>
      </c>
      <c r="S724" s="3" t="str">
        <f t="shared" si="10"/>
        <v>F</v>
      </c>
      <c r="T724" s="8">
        <f t="shared" si="11"/>
        <v>-1</v>
      </c>
      <c r="V724" s="4">
        <f t="shared" si="12"/>
        <v>-1</v>
      </c>
      <c r="W724" s="8">
        <f t="shared" si="13"/>
        <v>7.4</v>
      </c>
      <c r="X724" s="8">
        <f t="shared" si="14"/>
        <v>-7.4</v>
      </c>
      <c r="Y724" s="8">
        <f t="shared" si="15"/>
        <v>382.4</v>
      </c>
    </row>
    <row r="725">
      <c r="A725" s="2">
        <v>718.0</v>
      </c>
      <c r="B725" s="15">
        <f>IFERROR(__xludf.DUMMYFUNCTION("""COMPUTED_VALUE"""),43434.64583333333)</f>
        <v>43434.64583</v>
      </c>
      <c r="C725" s="8">
        <f>IFERROR(__xludf.DUMMYFUNCTION("""COMPUTED_VALUE"""),1989.0)</f>
        <v>1989</v>
      </c>
      <c r="E725" s="15">
        <f>IFERROR(__xludf.DUMMYFUNCTION("""COMPUTED_VALUE"""),43434.64583333333)</f>
        <v>43434.64583</v>
      </c>
      <c r="F725" s="8">
        <f>IFERROR(__xludf.DUMMYFUNCTION("""COMPUTED_VALUE"""),1064.22)</f>
        <v>1064.22</v>
      </c>
      <c r="H725" s="4">
        <f t="shared" si="1"/>
        <v>924.78</v>
      </c>
      <c r="I725" s="16">
        <f t="shared" si="2"/>
        <v>885.674</v>
      </c>
      <c r="J725" s="16">
        <f t="shared" si="3"/>
        <v>24.93882174</v>
      </c>
      <c r="K725" s="16">
        <f t="shared" si="4"/>
        <v>910.6128217</v>
      </c>
      <c r="L725" s="16">
        <f t="shared" si="5"/>
        <v>860.7351783</v>
      </c>
      <c r="N725" s="17" t="str">
        <f t="shared" si="6"/>
        <v>F</v>
      </c>
      <c r="O725" s="17" t="str">
        <f t="shared" si="7"/>
        <v>T</v>
      </c>
      <c r="P725" s="8">
        <f t="shared" si="8"/>
        <v>0</v>
      </c>
      <c r="R725" s="17" t="str">
        <f t="shared" si="9"/>
        <v>T</v>
      </c>
      <c r="S725" s="3" t="str">
        <f t="shared" si="10"/>
        <v>F</v>
      </c>
      <c r="T725" s="8">
        <f t="shared" si="11"/>
        <v>-1</v>
      </c>
      <c r="V725" s="4">
        <f t="shared" si="12"/>
        <v>-1</v>
      </c>
      <c r="W725" s="8">
        <f t="shared" si="13"/>
        <v>34.01</v>
      </c>
      <c r="X725" s="8">
        <f t="shared" si="14"/>
        <v>-34.01</v>
      </c>
      <c r="Y725" s="8">
        <f t="shared" si="15"/>
        <v>348.39</v>
      </c>
    </row>
    <row r="726">
      <c r="A726" s="2">
        <v>719.0</v>
      </c>
      <c r="B726" s="15">
        <f>IFERROR(__xludf.DUMMYFUNCTION("""COMPUTED_VALUE"""),43437.64583333333)</f>
        <v>43437.64583</v>
      </c>
      <c r="C726" s="8">
        <f>IFERROR(__xludf.DUMMYFUNCTION("""COMPUTED_VALUE"""),1980.75)</f>
        <v>1980.75</v>
      </c>
      <c r="E726" s="15">
        <f>IFERROR(__xludf.DUMMYFUNCTION("""COMPUTED_VALUE"""),43437.64583333333)</f>
        <v>43437.64583</v>
      </c>
      <c r="F726" s="8">
        <f>IFERROR(__xludf.DUMMYFUNCTION("""COMPUTED_VALUE"""),1056.65)</f>
        <v>1056.65</v>
      </c>
      <c r="H726" s="4">
        <f t="shared" si="1"/>
        <v>924.1</v>
      </c>
      <c r="I726" s="16">
        <f t="shared" si="2"/>
        <v>898.544</v>
      </c>
      <c r="J726" s="16">
        <f t="shared" si="3"/>
        <v>24.81984347</v>
      </c>
      <c r="K726" s="16">
        <f t="shared" si="4"/>
        <v>923.3638435</v>
      </c>
      <c r="L726" s="16">
        <f t="shared" si="5"/>
        <v>873.7241565</v>
      </c>
      <c r="N726" s="17" t="str">
        <f t="shared" si="6"/>
        <v>F</v>
      </c>
      <c r="O726" s="17" t="str">
        <f t="shared" si="7"/>
        <v>T</v>
      </c>
      <c r="P726" s="8">
        <f t="shared" si="8"/>
        <v>0</v>
      </c>
      <c r="R726" s="17" t="str">
        <f t="shared" si="9"/>
        <v>T</v>
      </c>
      <c r="S726" s="3" t="str">
        <f t="shared" si="10"/>
        <v>F</v>
      </c>
      <c r="T726" s="8">
        <f t="shared" si="11"/>
        <v>-1</v>
      </c>
      <c r="V726" s="4">
        <f t="shared" si="12"/>
        <v>-1</v>
      </c>
      <c r="W726" s="8">
        <f t="shared" si="13"/>
        <v>-0.68</v>
      </c>
      <c r="X726" s="8">
        <f t="shared" si="14"/>
        <v>0.68</v>
      </c>
      <c r="Y726" s="8">
        <f t="shared" si="15"/>
        <v>349.07</v>
      </c>
    </row>
    <row r="727">
      <c r="A727" s="2">
        <v>720.0</v>
      </c>
      <c r="B727" s="15">
        <f>IFERROR(__xludf.DUMMYFUNCTION("""COMPUTED_VALUE"""),43438.64583333333)</f>
        <v>43438.64583</v>
      </c>
      <c r="C727" s="8">
        <f>IFERROR(__xludf.DUMMYFUNCTION("""COMPUTED_VALUE"""),1939.45)</f>
        <v>1939.45</v>
      </c>
      <c r="E727" s="15">
        <f>IFERROR(__xludf.DUMMYFUNCTION("""COMPUTED_VALUE"""),43438.64583333333)</f>
        <v>43438.64583</v>
      </c>
      <c r="F727" s="8">
        <f>IFERROR(__xludf.DUMMYFUNCTION("""COMPUTED_VALUE"""),1042.78)</f>
        <v>1042.78</v>
      </c>
      <c r="H727" s="4">
        <f t="shared" si="1"/>
        <v>896.67</v>
      </c>
      <c r="I727" s="16">
        <f t="shared" si="2"/>
        <v>903.938</v>
      </c>
      <c r="J727" s="16">
        <f t="shared" si="3"/>
        <v>19.30128156</v>
      </c>
      <c r="K727" s="16">
        <f t="shared" si="4"/>
        <v>923.2392816</v>
      </c>
      <c r="L727" s="16">
        <f t="shared" si="5"/>
        <v>884.6367184</v>
      </c>
      <c r="N727" s="17" t="str">
        <f t="shared" si="6"/>
        <v>F</v>
      </c>
      <c r="O727" s="17" t="str">
        <f t="shared" si="7"/>
        <v>F</v>
      </c>
      <c r="P727" s="8">
        <f t="shared" si="8"/>
        <v>0</v>
      </c>
      <c r="R727" s="17" t="str">
        <f t="shared" si="9"/>
        <v>F</v>
      </c>
      <c r="S727" s="3" t="str">
        <f t="shared" si="10"/>
        <v>T</v>
      </c>
      <c r="T727" s="8">
        <f t="shared" si="11"/>
        <v>0</v>
      </c>
      <c r="V727" s="4">
        <f t="shared" si="12"/>
        <v>0</v>
      </c>
      <c r="W727" s="8">
        <f t="shared" si="13"/>
        <v>-27.43</v>
      </c>
      <c r="X727" s="8">
        <f t="shared" si="14"/>
        <v>27.43</v>
      </c>
      <c r="Y727" s="8">
        <f t="shared" si="15"/>
        <v>376.5</v>
      </c>
    </row>
    <row r="728">
      <c r="A728" s="2">
        <v>721.0</v>
      </c>
      <c r="B728" s="15">
        <f>IFERROR(__xludf.DUMMYFUNCTION("""COMPUTED_VALUE"""),43439.64583333333)</f>
        <v>43439.64583</v>
      </c>
      <c r="C728" s="8">
        <f>IFERROR(__xludf.DUMMYFUNCTION("""COMPUTED_VALUE"""),1973.3)</f>
        <v>1973.3</v>
      </c>
      <c r="E728" s="15">
        <f>IFERROR(__xludf.DUMMYFUNCTION("""COMPUTED_VALUE"""),43439.64583333333)</f>
        <v>43439.64583</v>
      </c>
      <c r="F728" s="8">
        <f>IFERROR(__xludf.DUMMYFUNCTION("""COMPUTED_VALUE"""),1049.6)</f>
        <v>1049.6</v>
      </c>
      <c r="H728" s="4">
        <f t="shared" si="1"/>
        <v>923.7</v>
      </c>
      <c r="I728" s="16">
        <f t="shared" si="2"/>
        <v>912.004</v>
      </c>
      <c r="J728" s="16">
        <f t="shared" si="3"/>
        <v>16.8252052</v>
      </c>
      <c r="K728" s="16">
        <f t="shared" si="4"/>
        <v>928.8292052</v>
      </c>
      <c r="L728" s="16">
        <f t="shared" si="5"/>
        <v>895.1787948</v>
      </c>
      <c r="N728" s="17" t="str">
        <f t="shared" si="6"/>
        <v>F</v>
      </c>
      <c r="O728" s="17" t="str">
        <f t="shared" si="7"/>
        <v>T</v>
      </c>
      <c r="P728" s="8">
        <f t="shared" si="8"/>
        <v>0</v>
      </c>
      <c r="R728" s="17" t="str">
        <f t="shared" si="9"/>
        <v>F</v>
      </c>
      <c r="S728" s="3" t="str">
        <f t="shared" si="10"/>
        <v>F</v>
      </c>
      <c r="T728" s="8">
        <f t="shared" si="11"/>
        <v>0</v>
      </c>
      <c r="V728" s="4">
        <f t="shared" si="12"/>
        <v>0</v>
      </c>
      <c r="W728" s="8">
        <f t="shared" si="13"/>
        <v>27.03</v>
      </c>
      <c r="X728" s="8">
        <f t="shared" si="14"/>
        <v>0</v>
      </c>
      <c r="Y728" s="8">
        <f t="shared" si="15"/>
        <v>376.5</v>
      </c>
    </row>
    <row r="729">
      <c r="A729" s="2">
        <v>722.0</v>
      </c>
      <c r="B729" s="15">
        <f>IFERROR(__xludf.DUMMYFUNCTION("""COMPUTED_VALUE"""),43440.64583333333)</f>
        <v>43440.64583</v>
      </c>
      <c r="C729" s="8">
        <f>IFERROR(__xludf.DUMMYFUNCTION("""COMPUTED_VALUE"""),1945.8)</f>
        <v>1945.8</v>
      </c>
      <c r="E729" s="15">
        <f>IFERROR(__xludf.DUMMYFUNCTION("""COMPUTED_VALUE"""),43440.64583333333)</f>
        <v>43440.64583</v>
      </c>
      <c r="F729" s="8">
        <f>IFERROR(__xludf.DUMMYFUNCTION("""COMPUTED_VALUE"""),1048.53)</f>
        <v>1048.53</v>
      </c>
      <c r="H729" s="4">
        <f t="shared" si="1"/>
        <v>897.27</v>
      </c>
      <c r="I729" s="16">
        <f t="shared" si="2"/>
        <v>913.304</v>
      </c>
      <c r="J729" s="16">
        <f t="shared" si="3"/>
        <v>14.91733991</v>
      </c>
      <c r="K729" s="16">
        <f t="shared" si="4"/>
        <v>928.2213399</v>
      </c>
      <c r="L729" s="16">
        <f t="shared" si="5"/>
        <v>898.3866601</v>
      </c>
      <c r="N729" s="17" t="str">
        <f t="shared" si="6"/>
        <v>T</v>
      </c>
      <c r="O729" s="17" t="str">
        <f t="shared" si="7"/>
        <v>F</v>
      </c>
      <c r="P729" s="8">
        <f t="shared" si="8"/>
        <v>1</v>
      </c>
      <c r="R729" s="17" t="str">
        <f t="shared" si="9"/>
        <v>F</v>
      </c>
      <c r="S729" s="3" t="str">
        <f t="shared" si="10"/>
        <v>T</v>
      </c>
      <c r="T729" s="8">
        <f t="shared" si="11"/>
        <v>0</v>
      </c>
      <c r="V729" s="4">
        <f t="shared" si="12"/>
        <v>1</v>
      </c>
      <c r="W729" s="8">
        <f t="shared" si="13"/>
        <v>-26.43</v>
      </c>
      <c r="X729" s="8">
        <f t="shared" si="14"/>
        <v>0</v>
      </c>
      <c r="Y729" s="8">
        <f t="shared" si="15"/>
        <v>376.5</v>
      </c>
    </row>
    <row r="730">
      <c r="A730" s="2">
        <v>723.0</v>
      </c>
      <c r="B730" s="15">
        <f>IFERROR(__xludf.DUMMYFUNCTION("""COMPUTED_VALUE"""),43441.64583333333)</f>
        <v>43441.64583</v>
      </c>
      <c r="C730" s="8">
        <f>IFERROR(__xludf.DUMMYFUNCTION("""COMPUTED_VALUE"""),1951.35)</f>
        <v>1951.35</v>
      </c>
      <c r="E730" s="15">
        <f>IFERROR(__xludf.DUMMYFUNCTION("""COMPUTED_VALUE"""),43441.64583333333)</f>
        <v>43441.64583</v>
      </c>
      <c r="F730" s="8">
        <f>IFERROR(__xludf.DUMMYFUNCTION("""COMPUTED_VALUE"""),1053.8)</f>
        <v>1053.8</v>
      </c>
      <c r="H730" s="4">
        <f t="shared" si="1"/>
        <v>897.55</v>
      </c>
      <c r="I730" s="16">
        <f t="shared" si="2"/>
        <v>907.858</v>
      </c>
      <c r="J730" s="16">
        <f t="shared" si="3"/>
        <v>14.64840845</v>
      </c>
      <c r="K730" s="16">
        <f t="shared" si="4"/>
        <v>922.5064084</v>
      </c>
      <c r="L730" s="16">
        <f t="shared" si="5"/>
        <v>893.2095916</v>
      </c>
      <c r="N730" s="17" t="str">
        <f t="shared" si="6"/>
        <v>F</v>
      </c>
      <c r="O730" s="17" t="str">
        <f t="shared" si="7"/>
        <v>F</v>
      </c>
      <c r="P730" s="8">
        <f t="shared" si="8"/>
        <v>1</v>
      </c>
      <c r="R730" s="17" t="str">
        <f t="shared" si="9"/>
        <v>F</v>
      </c>
      <c r="S730" s="3" t="str">
        <f t="shared" si="10"/>
        <v>T</v>
      </c>
      <c r="T730" s="8">
        <f t="shared" si="11"/>
        <v>0</v>
      </c>
      <c r="V730" s="4">
        <f t="shared" si="12"/>
        <v>1</v>
      </c>
      <c r="W730" s="8">
        <f t="shared" si="13"/>
        <v>0.28</v>
      </c>
      <c r="X730" s="8">
        <f t="shared" si="14"/>
        <v>0.28</v>
      </c>
      <c r="Y730" s="8">
        <f t="shared" si="15"/>
        <v>376.78</v>
      </c>
    </row>
    <row r="731">
      <c r="A731" s="2">
        <v>724.0</v>
      </c>
      <c r="B731" s="15">
        <f>IFERROR(__xludf.DUMMYFUNCTION("""COMPUTED_VALUE"""),43444.64583333333)</f>
        <v>43444.64583</v>
      </c>
      <c r="C731" s="8">
        <f>IFERROR(__xludf.DUMMYFUNCTION("""COMPUTED_VALUE"""),1906.5)</f>
        <v>1906.5</v>
      </c>
      <c r="E731" s="15">
        <f>IFERROR(__xludf.DUMMYFUNCTION("""COMPUTED_VALUE"""),43444.64583333333)</f>
        <v>43444.64583</v>
      </c>
      <c r="F731" s="8">
        <f>IFERROR(__xludf.DUMMYFUNCTION("""COMPUTED_VALUE"""),1044.38)</f>
        <v>1044.38</v>
      </c>
      <c r="H731" s="4">
        <f t="shared" si="1"/>
        <v>862.12</v>
      </c>
      <c r="I731" s="16">
        <f t="shared" si="2"/>
        <v>895.462</v>
      </c>
      <c r="J731" s="16">
        <f t="shared" si="3"/>
        <v>21.89841022</v>
      </c>
      <c r="K731" s="16">
        <f t="shared" si="4"/>
        <v>917.3604102</v>
      </c>
      <c r="L731" s="16">
        <f t="shared" si="5"/>
        <v>873.5635898</v>
      </c>
      <c r="N731" s="17" t="str">
        <f t="shared" si="6"/>
        <v>T</v>
      </c>
      <c r="O731" s="17" t="str">
        <f t="shared" si="7"/>
        <v>F</v>
      </c>
      <c r="P731" s="8">
        <f t="shared" si="8"/>
        <v>1</v>
      </c>
      <c r="R731" s="17" t="str">
        <f t="shared" si="9"/>
        <v>F</v>
      </c>
      <c r="S731" s="3" t="str">
        <f t="shared" si="10"/>
        <v>T</v>
      </c>
      <c r="T731" s="8">
        <f t="shared" si="11"/>
        <v>0</v>
      </c>
      <c r="V731" s="4">
        <f t="shared" si="12"/>
        <v>1</v>
      </c>
      <c r="W731" s="8">
        <f t="shared" si="13"/>
        <v>-35.43</v>
      </c>
      <c r="X731" s="8">
        <f t="shared" si="14"/>
        <v>-35.43</v>
      </c>
      <c r="Y731" s="8">
        <f t="shared" si="15"/>
        <v>341.35</v>
      </c>
    </row>
    <row r="732">
      <c r="A732" s="2">
        <v>725.0</v>
      </c>
      <c r="B732" s="15">
        <f>IFERROR(__xludf.DUMMYFUNCTION("""COMPUTED_VALUE"""),43445.64583333333)</f>
        <v>43445.64583</v>
      </c>
      <c r="C732" s="8">
        <f>IFERROR(__xludf.DUMMYFUNCTION("""COMPUTED_VALUE"""),1905.25)</f>
        <v>1905.25</v>
      </c>
      <c r="E732" s="15">
        <f>IFERROR(__xludf.DUMMYFUNCTION("""COMPUTED_VALUE"""),43445.64583333333)</f>
        <v>43445.64583</v>
      </c>
      <c r="F732" s="8">
        <f>IFERROR(__xludf.DUMMYFUNCTION("""COMPUTED_VALUE"""),1029.78)</f>
        <v>1029.78</v>
      </c>
      <c r="H732" s="4">
        <f t="shared" si="1"/>
        <v>875.47</v>
      </c>
      <c r="I732" s="16">
        <f t="shared" si="2"/>
        <v>891.222</v>
      </c>
      <c r="J732" s="16">
        <f t="shared" si="3"/>
        <v>23.59287117</v>
      </c>
      <c r="K732" s="16">
        <f t="shared" si="4"/>
        <v>914.8148712</v>
      </c>
      <c r="L732" s="16">
        <f t="shared" si="5"/>
        <v>867.6291288</v>
      </c>
      <c r="N732" s="17" t="str">
        <f t="shared" si="6"/>
        <v>F</v>
      </c>
      <c r="O732" s="17" t="str">
        <f t="shared" si="7"/>
        <v>F</v>
      </c>
      <c r="P732" s="8">
        <f t="shared" si="8"/>
        <v>1</v>
      </c>
      <c r="R732" s="17" t="str">
        <f t="shared" si="9"/>
        <v>F</v>
      </c>
      <c r="S732" s="3" t="str">
        <f t="shared" si="10"/>
        <v>T</v>
      </c>
      <c r="T732" s="8">
        <f t="shared" si="11"/>
        <v>0</v>
      </c>
      <c r="V732" s="4">
        <f t="shared" si="12"/>
        <v>1</v>
      </c>
      <c r="W732" s="8">
        <f t="shared" si="13"/>
        <v>13.35</v>
      </c>
      <c r="X732" s="8">
        <f t="shared" si="14"/>
        <v>13.35</v>
      </c>
      <c r="Y732" s="8">
        <f t="shared" si="15"/>
        <v>354.7</v>
      </c>
    </row>
    <row r="733">
      <c r="A733" s="2">
        <v>726.0</v>
      </c>
      <c r="B733" s="15">
        <f>IFERROR(__xludf.DUMMYFUNCTION("""COMPUTED_VALUE"""),43446.64583333333)</f>
        <v>43446.64583</v>
      </c>
      <c r="C733" s="8">
        <f>IFERROR(__xludf.DUMMYFUNCTION("""COMPUTED_VALUE"""),1940.2)</f>
        <v>1940.2</v>
      </c>
      <c r="E733" s="15">
        <f>IFERROR(__xludf.DUMMYFUNCTION("""COMPUTED_VALUE"""),43446.64583333333)</f>
        <v>43446.64583</v>
      </c>
      <c r="F733" s="8">
        <f>IFERROR(__xludf.DUMMYFUNCTION("""COMPUTED_VALUE"""),1042.65)</f>
        <v>1042.65</v>
      </c>
      <c r="H733" s="4">
        <f t="shared" si="1"/>
        <v>897.55</v>
      </c>
      <c r="I733" s="16">
        <f t="shared" si="2"/>
        <v>885.992</v>
      </c>
      <c r="J733" s="16">
        <f t="shared" si="3"/>
        <v>16.39323702</v>
      </c>
      <c r="K733" s="16">
        <f t="shared" si="4"/>
        <v>902.385237</v>
      </c>
      <c r="L733" s="16">
        <f t="shared" si="5"/>
        <v>869.598763</v>
      </c>
      <c r="N733" s="17" t="str">
        <f t="shared" si="6"/>
        <v>F</v>
      </c>
      <c r="O733" s="17" t="str">
        <f t="shared" si="7"/>
        <v>T</v>
      </c>
      <c r="P733" s="8">
        <f t="shared" si="8"/>
        <v>0</v>
      </c>
      <c r="R733" s="17" t="str">
        <f t="shared" si="9"/>
        <v>F</v>
      </c>
      <c r="S733" s="3" t="str">
        <f t="shared" si="10"/>
        <v>F</v>
      </c>
      <c r="T733" s="8">
        <f t="shared" si="11"/>
        <v>0</v>
      </c>
      <c r="V733" s="4">
        <f t="shared" si="12"/>
        <v>0</v>
      </c>
      <c r="W733" s="8">
        <f t="shared" si="13"/>
        <v>22.08</v>
      </c>
      <c r="X733" s="8">
        <f t="shared" si="14"/>
        <v>22.08</v>
      </c>
      <c r="Y733" s="8">
        <f t="shared" si="15"/>
        <v>376.78</v>
      </c>
    </row>
    <row r="734">
      <c r="A734" s="2">
        <v>727.0</v>
      </c>
      <c r="B734" s="15">
        <f>IFERROR(__xludf.DUMMYFUNCTION("""COMPUTED_VALUE"""),43447.64583333333)</f>
        <v>43447.64583</v>
      </c>
      <c r="C734" s="8">
        <f>IFERROR(__xludf.DUMMYFUNCTION("""COMPUTED_VALUE"""),1942.05)</f>
        <v>1942.05</v>
      </c>
      <c r="E734" s="15">
        <f>IFERROR(__xludf.DUMMYFUNCTION("""COMPUTED_VALUE"""),43447.64583333333)</f>
        <v>43447.64583</v>
      </c>
      <c r="F734" s="8">
        <f>IFERROR(__xludf.DUMMYFUNCTION("""COMPUTED_VALUE"""),1050.65)</f>
        <v>1050.65</v>
      </c>
      <c r="H734" s="4">
        <f t="shared" si="1"/>
        <v>891.4</v>
      </c>
      <c r="I734" s="16">
        <f t="shared" si="2"/>
        <v>884.818</v>
      </c>
      <c r="J734" s="16">
        <f t="shared" si="3"/>
        <v>15.57333201</v>
      </c>
      <c r="K734" s="16">
        <f t="shared" si="4"/>
        <v>900.391332</v>
      </c>
      <c r="L734" s="16">
        <f t="shared" si="5"/>
        <v>869.244668</v>
      </c>
      <c r="N734" s="17" t="str">
        <f t="shared" si="6"/>
        <v>F</v>
      </c>
      <c r="O734" s="17" t="str">
        <f t="shared" si="7"/>
        <v>T</v>
      </c>
      <c r="P734" s="8">
        <f t="shared" si="8"/>
        <v>0</v>
      </c>
      <c r="R734" s="17" t="str">
        <f t="shared" si="9"/>
        <v>F</v>
      </c>
      <c r="S734" s="3" t="str">
        <f t="shared" si="10"/>
        <v>F</v>
      </c>
      <c r="T734" s="8">
        <f t="shared" si="11"/>
        <v>0</v>
      </c>
      <c r="V734" s="4">
        <f t="shared" si="12"/>
        <v>0</v>
      </c>
      <c r="W734" s="8">
        <f t="shared" si="13"/>
        <v>-6.15</v>
      </c>
      <c r="X734" s="8">
        <f t="shared" si="14"/>
        <v>0</v>
      </c>
      <c r="Y734" s="8">
        <f t="shared" si="15"/>
        <v>376.78</v>
      </c>
    </row>
    <row r="735">
      <c r="A735" s="2">
        <v>728.0</v>
      </c>
      <c r="B735" s="15">
        <f>IFERROR(__xludf.DUMMYFUNCTION("""COMPUTED_VALUE"""),43448.64583333333)</f>
        <v>43448.64583</v>
      </c>
      <c r="C735" s="8">
        <f>IFERROR(__xludf.DUMMYFUNCTION("""COMPUTED_VALUE"""),1904.1)</f>
        <v>1904.1</v>
      </c>
      <c r="E735" s="15">
        <f>IFERROR(__xludf.DUMMYFUNCTION("""COMPUTED_VALUE"""),43448.64583333333)</f>
        <v>43448.64583</v>
      </c>
      <c r="F735" s="8">
        <f>IFERROR(__xludf.DUMMYFUNCTION("""COMPUTED_VALUE"""),1047.85)</f>
        <v>1047.85</v>
      </c>
      <c r="H735" s="4">
        <f t="shared" si="1"/>
        <v>856.25</v>
      </c>
      <c r="I735" s="16">
        <f t="shared" si="2"/>
        <v>876.558</v>
      </c>
      <c r="J735" s="16">
        <f t="shared" si="3"/>
        <v>17.90951898</v>
      </c>
      <c r="K735" s="16">
        <f t="shared" si="4"/>
        <v>894.467519</v>
      </c>
      <c r="L735" s="16">
        <f t="shared" si="5"/>
        <v>858.648481</v>
      </c>
      <c r="N735" s="17" t="str">
        <f t="shared" si="6"/>
        <v>T</v>
      </c>
      <c r="O735" s="17" t="str">
        <f t="shared" si="7"/>
        <v>F</v>
      </c>
      <c r="P735" s="8">
        <f t="shared" si="8"/>
        <v>1</v>
      </c>
      <c r="R735" s="17" t="str">
        <f t="shared" si="9"/>
        <v>F</v>
      </c>
      <c r="S735" s="3" t="str">
        <f t="shared" si="10"/>
        <v>T</v>
      </c>
      <c r="T735" s="8">
        <f t="shared" si="11"/>
        <v>0</v>
      </c>
      <c r="V735" s="4">
        <f t="shared" si="12"/>
        <v>1</v>
      </c>
      <c r="W735" s="8">
        <f t="shared" si="13"/>
        <v>-35.15</v>
      </c>
      <c r="X735" s="8">
        <f t="shared" si="14"/>
        <v>0</v>
      </c>
      <c r="Y735" s="8">
        <f t="shared" si="15"/>
        <v>376.78</v>
      </c>
    </row>
    <row r="736">
      <c r="A736" s="2">
        <v>729.0</v>
      </c>
      <c r="B736" s="15">
        <f>IFERROR(__xludf.DUMMYFUNCTION("""COMPUTED_VALUE"""),43451.64583333333)</f>
        <v>43451.64583</v>
      </c>
      <c r="C736" s="8">
        <f>IFERROR(__xludf.DUMMYFUNCTION("""COMPUTED_VALUE"""),1960.35)</f>
        <v>1960.35</v>
      </c>
      <c r="E736" s="15">
        <f>IFERROR(__xludf.DUMMYFUNCTION("""COMPUTED_VALUE"""),43451.64583333333)</f>
        <v>43451.64583</v>
      </c>
      <c r="F736" s="8">
        <f>IFERROR(__xludf.DUMMYFUNCTION("""COMPUTED_VALUE"""),1065.1)</f>
        <v>1065.1</v>
      </c>
      <c r="H736" s="4">
        <f t="shared" si="1"/>
        <v>895.25</v>
      </c>
      <c r="I736" s="16">
        <f t="shared" si="2"/>
        <v>883.184</v>
      </c>
      <c r="J736" s="16">
        <f t="shared" si="3"/>
        <v>17.35237102</v>
      </c>
      <c r="K736" s="16">
        <f t="shared" si="4"/>
        <v>900.536371</v>
      </c>
      <c r="L736" s="16">
        <f t="shared" si="5"/>
        <v>865.831629</v>
      </c>
      <c r="N736" s="17" t="str">
        <f t="shared" si="6"/>
        <v>F</v>
      </c>
      <c r="O736" s="17" t="str">
        <f t="shared" si="7"/>
        <v>T</v>
      </c>
      <c r="P736" s="8">
        <f t="shared" si="8"/>
        <v>0</v>
      </c>
      <c r="R736" s="17" t="str">
        <f t="shared" si="9"/>
        <v>F</v>
      </c>
      <c r="S736" s="3" t="str">
        <f t="shared" si="10"/>
        <v>F</v>
      </c>
      <c r="T736" s="8">
        <f t="shared" si="11"/>
        <v>0</v>
      </c>
      <c r="V736" s="4">
        <f t="shared" si="12"/>
        <v>0</v>
      </c>
      <c r="W736" s="8">
        <f t="shared" si="13"/>
        <v>39</v>
      </c>
      <c r="X736" s="8">
        <f t="shared" si="14"/>
        <v>39</v>
      </c>
      <c r="Y736" s="8">
        <f t="shared" si="15"/>
        <v>415.78</v>
      </c>
    </row>
    <row r="737">
      <c r="A737" s="2">
        <v>730.0</v>
      </c>
      <c r="B737" s="15">
        <f>IFERROR(__xludf.DUMMYFUNCTION("""COMPUTED_VALUE"""),43452.64583333333)</f>
        <v>43452.64583</v>
      </c>
      <c r="C737" s="8">
        <f>IFERROR(__xludf.DUMMYFUNCTION("""COMPUTED_VALUE"""),1952.0)</f>
        <v>1952</v>
      </c>
      <c r="E737" s="15">
        <f>IFERROR(__xludf.DUMMYFUNCTION("""COMPUTED_VALUE"""),43452.64583333333)</f>
        <v>43452.64583</v>
      </c>
      <c r="F737" s="8">
        <f>IFERROR(__xludf.DUMMYFUNCTION("""COMPUTED_VALUE"""),1067.72)</f>
        <v>1067.72</v>
      </c>
      <c r="H737" s="4">
        <f t="shared" si="1"/>
        <v>884.28</v>
      </c>
      <c r="I737" s="16">
        <f t="shared" si="2"/>
        <v>884.946</v>
      </c>
      <c r="J737" s="16">
        <f t="shared" si="3"/>
        <v>16.81213342</v>
      </c>
      <c r="K737" s="16">
        <f t="shared" si="4"/>
        <v>901.7581334</v>
      </c>
      <c r="L737" s="16">
        <f t="shared" si="5"/>
        <v>868.1338666</v>
      </c>
      <c r="N737" s="17" t="str">
        <f t="shared" si="6"/>
        <v>F</v>
      </c>
      <c r="O737" s="17" t="str">
        <f t="shared" si="7"/>
        <v>F</v>
      </c>
      <c r="P737" s="8">
        <f t="shared" si="8"/>
        <v>0</v>
      </c>
      <c r="R737" s="17" t="str">
        <f t="shared" si="9"/>
        <v>F</v>
      </c>
      <c r="S737" s="3" t="str">
        <f t="shared" si="10"/>
        <v>T</v>
      </c>
      <c r="T737" s="8">
        <f t="shared" si="11"/>
        <v>0</v>
      </c>
      <c r="V737" s="4">
        <f t="shared" si="12"/>
        <v>0</v>
      </c>
      <c r="W737" s="8">
        <f t="shared" si="13"/>
        <v>-10.97</v>
      </c>
      <c r="X737" s="8">
        <f t="shared" si="14"/>
        <v>0</v>
      </c>
      <c r="Y737" s="8">
        <f t="shared" si="15"/>
        <v>415.78</v>
      </c>
    </row>
    <row r="738">
      <c r="A738" s="2">
        <v>731.0</v>
      </c>
      <c r="B738" s="15">
        <f>IFERROR(__xludf.DUMMYFUNCTION("""COMPUTED_VALUE"""),43453.64583333333)</f>
        <v>43453.64583</v>
      </c>
      <c r="C738" s="8">
        <f>IFERROR(__xludf.DUMMYFUNCTION("""COMPUTED_VALUE"""),1981.7)</f>
        <v>1981.7</v>
      </c>
      <c r="E738" s="15">
        <f>IFERROR(__xludf.DUMMYFUNCTION("""COMPUTED_VALUE"""),43453.64583333333)</f>
        <v>43453.64583</v>
      </c>
      <c r="F738" s="8">
        <f>IFERROR(__xludf.DUMMYFUNCTION("""COMPUTED_VALUE"""),1061.72)</f>
        <v>1061.72</v>
      </c>
      <c r="H738" s="4">
        <f t="shared" si="1"/>
        <v>919.98</v>
      </c>
      <c r="I738" s="16">
        <f t="shared" si="2"/>
        <v>889.432</v>
      </c>
      <c r="J738" s="16">
        <f t="shared" si="3"/>
        <v>22.90464298</v>
      </c>
      <c r="K738" s="16">
        <f t="shared" si="4"/>
        <v>912.336643</v>
      </c>
      <c r="L738" s="16">
        <f t="shared" si="5"/>
        <v>866.527357</v>
      </c>
      <c r="N738" s="17" t="str">
        <f t="shared" si="6"/>
        <v>F</v>
      </c>
      <c r="O738" s="17" t="str">
        <f t="shared" si="7"/>
        <v>T</v>
      </c>
      <c r="P738" s="8">
        <f t="shared" si="8"/>
        <v>0</v>
      </c>
      <c r="R738" s="17" t="str">
        <f t="shared" si="9"/>
        <v>T</v>
      </c>
      <c r="S738" s="3" t="str">
        <f t="shared" si="10"/>
        <v>F</v>
      </c>
      <c r="T738" s="8">
        <f t="shared" si="11"/>
        <v>-1</v>
      </c>
      <c r="V738" s="4">
        <f t="shared" si="12"/>
        <v>-1</v>
      </c>
      <c r="W738" s="8">
        <f t="shared" si="13"/>
        <v>35.7</v>
      </c>
      <c r="X738" s="8">
        <f t="shared" si="14"/>
        <v>0</v>
      </c>
      <c r="Y738" s="8">
        <f t="shared" si="15"/>
        <v>415.78</v>
      </c>
    </row>
    <row r="739">
      <c r="A739" s="2">
        <v>732.0</v>
      </c>
      <c r="B739" s="15">
        <f>IFERROR(__xludf.DUMMYFUNCTION("""COMPUTED_VALUE"""),43454.64583333333)</f>
        <v>43454.64583</v>
      </c>
      <c r="C739" s="8">
        <f>IFERROR(__xludf.DUMMYFUNCTION("""COMPUTED_VALUE"""),1974.7)</f>
        <v>1974.7</v>
      </c>
      <c r="E739" s="15">
        <f>IFERROR(__xludf.DUMMYFUNCTION("""COMPUTED_VALUE"""),43454.64583333333)</f>
        <v>43454.64583</v>
      </c>
      <c r="F739" s="8">
        <f>IFERROR(__xludf.DUMMYFUNCTION("""COMPUTED_VALUE"""),1068.72)</f>
        <v>1068.72</v>
      </c>
      <c r="H739" s="4">
        <f t="shared" si="1"/>
        <v>905.98</v>
      </c>
      <c r="I739" s="16">
        <f t="shared" si="2"/>
        <v>892.348</v>
      </c>
      <c r="J739" s="16">
        <f t="shared" si="3"/>
        <v>24.11399324</v>
      </c>
      <c r="K739" s="16">
        <f t="shared" si="4"/>
        <v>916.4619932</v>
      </c>
      <c r="L739" s="16">
        <f t="shared" si="5"/>
        <v>868.2340068</v>
      </c>
      <c r="N739" s="17" t="str">
        <f t="shared" si="6"/>
        <v>F</v>
      </c>
      <c r="O739" s="17" t="str">
        <f t="shared" si="7"/>
        <v>T</v>
      </c>
      <c r="P739" s="8">
        <f t="shared" si="8"/>
        <v>0</v>
      </c>
      <c r="R739" s="17" t="str">
        <f t="shared" si="9"/>
        <v>F</v>
      </c>
      <c r="S739" s="3" t="str">
        <f t="shared" si="10"/>
        <v>F</v>
      </c>
      <c r="T739" s="8">
        <f t="shared" si="11"/>
        <v>-1</v>
      </c>
      <c r="V739" s="4">
        <f t="shared" si="12"/>
        <v>-1</v>
      </c>
      <c r="W739" s="8">
        <f t="shared" si="13"/>
        <v>-14</v>
      </c>
      <c r="X739" s="8">
        <f t="shared" si="14"/>
        <v>14</v>
      </c>
      <c r="Y739" s="8">
        <f t="shared" si="15"/>
        <v>429.78</v>
      </c>
    </row>
    <row r="740">
      <c r="A740" s="2">
        <v>733.0</v>
      </c>
      <c r="B740" s="15">
        <f>IFERROR(__xludf.DUMMYFUNCTION("""COMPUTED_VALUE"""),43455.64583333333)</f>
        <v>43455.64583</v>
      </c>
      <c r="C740" s="8">
        <f>IFERROR(__xludf.DUMMYFUNCTION("""COMPUTED_VALUE"""),1948.6)</f>
        <v>1948.6</v>
      </c>
      <c r="E740" s="15">
        <f>IFERROR(__xludf.DUMMYFUNCTION("""COMPUTED_VALUE"""),43455.64583333333)</f>
        <v>43455.64583</v>
      </c>
      <c r="F740" s="8">
        <f>IFERROR(__xludf.DUMMYFUNCTION("""COMPUTED_VALUE"""),1055.58)</f>
        <v>1055.58</v>
      </c>
      <c r="H740" s="4">
        <f t="shared" si="1"/>
        <v>893.02</v>
      </c>
      <c r="I740" s="16">
        <f t="shared" si="2"/>
        <v>899.702</v>
      </c>
      <c r="J740" s="16">
        <f t="shared" si="3"/>
        <v>13.71967638</v>
      </c>
      <c r="K740" s="16">
        <f t="shared" si="4"/>
        <v>913.4216764</v>
      </c>
      <c r="L740" s="16">
        <f t="shared" si="5"/>
        <v>885.9823236</v>
      </c>
      <c r="N740" s="17" t="str">
        <f t="shared" si="6"/>
        <v>F</v>
      </c>
      <c r="O740" s="17" t="str">
        <f t="shared" si="7"/>
        <v>F</v>
      </c>
      <c r="P740" s="8">
        <f t="shared" si="8"/>
        <v>0</v>
      </c>
      <c r="R740" s="17" t="str">
        <f t="shared" si="9"/>
        <v>F</v>
      </c>
      <c r="S740" s="3" t="str">
        <f t="shared" si="10"/>
        <v>T</v>
      </c>
      <c r="T740" s="8">
        <f t="shared" si="11"/>
        <v>0</v>
      </c>
      <c r="V740" s="4">
        <f t="shared" si="12"/>
        <v>0</v>
      </c>
      <c r="W740" s="8">
        <f t="shared" si="13"/>
        <v>-12.96</v>
      </c>
      <c r="X740" s="8">
        <f t="shared" si="14"/>
        <v>12.96</v>
      </c>
      <c r="Y740" s="8">
        <f t="shared" si="15"/>
        <v>442.74</v>
      </c>
    </row>
    <row r="741">
      <c r="A741" s="2">
        <v>734.0</v>
      </c>
      <c r="B741" s="15">
        <f>IFERROR(__xludf.DUMMYFUNCTION("""COMPUTED_VALUE"""),43458.64583333333)</f>
        <v>43458.64583</v>
      </c>
      <c r="C741" s="8">
        <f>IFERROR(__xludf.DUMMYFUNCTION("""COMPUTED_VALUE"""),1902.15)</f>
        <v>1902.15</v>
      </c>
      <c r="E741" s="15">
        <f>IFERROR(__xludf.DUMMYFUNCTION("""COMPUTED_VALUE"""),43458.64583333333)</f>
        <v>43458.64583</v>
      </c>
      <c r="F741" s="8">
        <f>IFERROR(__xludf.DUMMYFUNCTION("""COMPUTED_VALUE"""),1040.33)</f>
        <v>1040.33</v>
      </c>
      <c r="H741" s="4">
        <f t="shared" si="1"/>
        <v>861.82</v>
      </c>
      <c r="I741" s="16">
        <f t="shared" si="2"/>
        <v>893.016</v>
      </c>
      <c r="J741" s="16">
        <f t="shared" si="3"/>
        <v>22.04898365</v>
      </c>
      <c r="K741" s="16">
        <f t="shared" si="4"/>
        <v>915.0649837</v>
      </c>
      <c r="L741" s="16">
        <f t="shared" si="5"/>
        <v>870.9670163</v>
      </c>
      <c r="N741" s="17" t="str">
        <f t="shared" si="6"/>
        <v>T</v>
      </c>
      <c r="O741" s="17" t="str">
        <f t="shared" si="7"/>
        <v>F</v>
      </c>
      <c r="P741" s="8">
        <f t="shared" si="8"/>
        <v>1</v>
      </c>
      <c r="R741" s="17" t="str">
        <f t="shared" si="9"/>
        <v>F</v>
      </c>
      <c r="S741" s="3" t="str">
        <f t="shared" si="10"/>
        <v>T</v>
      </c>
      <c r="T741" s="8">
        <f t="shared" si="11"/>
        <v>0</v>
      </c>
      <c r="V741" s="4">
        <f t="shared" si="12"/>
        <v>1</v>
      </c>
      <c r="W741" s="8">
        <f t="shared" si="13"/>
        <v>-31.2</v>
      </c>
      <c r="X741" s="8">
        <f t="shared" si="14"/>
        <v>0</v>
      </c>
      <c r="Y741" s="8">
        <f t="shared" si="15"/>
        <v>442.74</v>
      </c>
    </row>
    <row r="742">
      <c r="A742" s="2">
        <v>735.0</v>
      </c>
      <c r="B742" s="15">
        <f>IFERROR(__xludf.DUMMYFUNCTION("""COMPUTED_VALUE"""),43460.64583333333)</f>
        <v>43460.64583</v>
      </c>
      <c r="C742" s="8">
        <f>IFERROR(__xludf.DUMMYFUNCTION("""COMPUTED_VALUE"""),1933.35)</f>
        <v>1933.35</v>
      </c>
      <c r="E742" s="15">
        <f>IFERROR(__xludf.DUMMYFUNCTION("""COMPUTED_VALUE"""),43460.64583333333)</f>
        <v>43460.64583</v>
      </c>
      <c r="F742" s="8">
        <f>IFERROR(__xludf.DUMMYFUNCTION("""COMPUTED_VALUE"""),1061.18)</f>
        <v>1061.18</v>
      </c>
      <c r="H742" s="4">
        <f t="shared" si="1"/>
        <v>872.17</v>
      </c>
      <c r="I742" s="16">
        <f t="shared" si="2"/>
        <v>890.594</v>
      </c>
      <c r="J742" s="16">
        <f t="shared" si="3"/>
        <v>23.84081752</v>
      </c>
      <c r="K742" s="16">
        <f t="shared" si="4"/>
        <v>914.4348175</v>
      </c>
      <c r="L742" s="16">
        <f t="shared" si="5"/>
        <v>866.7531825</v>
      </c>
      <c r="N742" s="17" t="str">
        <f t="shared" si="6"/>
        <v>F</v>
      </c>
      <c r="O742" s="17" t="str">
        <f t="shared" si="7"/>
        <v>F</v>
      </c>
      <c r="P742" s="8">
        <f t="shared" si="8"/>
        <v>1</v>
      </c>
      <c r="R742" s="17" t="str">
        <f t="shared" si="9"/>
        <v>F</v>
      </c>
      <c r="S742" s="3" t="str">
        <f t="shared" si="10"/>
        <v>T</v>
      </c>
      <c r="T742" s="8">
        <f t="shared" si="11"/>
        <v>0</v>
      </c>
      <c r="V742" s="4">
        <f t="shared" si="12"/>
        <v>1</v>
      </c>
      <c r="W742" s="8">
        <f t="shared" si="13"/>
        <v>10.35</v>
      </c>
      <c r="X742" s="8">
        <f t="shared" si="14"/>
        <v>10.35</v>
      </c>
      <c r="Y742" s="8">
        <f t="shared" si="15"/>
        <v>453.09</v>
      </c>
    </row>
    <row r="743">
      <c r="A743" s="2">
        <v>736.0</v>
      </c>
      <c r="B743" s="15">
        <f>IFERROR(__xludf.DUMMYFUNCTION("""COMPUTED_VALUE"""),43461.64583333333)</f>
        <v>43461.64583</v>
      </c>
      <c r="C743" s="8">
        <f>IFERROR(__xludf.DUMMYFUNCTION("""COMPUTED_VALUE"""),1948.85)</f>
        <v>1948.85</v>
      </c>
      <c r="E743" s="15">
        <f>IFERROR(__xludf.DUMMYFUNCTION("""COMPUTED_VALUE"""),43461.64583333333)</f>
        <v>43461.64583</v>
      </c>
      <c r="F743" s="8">
        <f>IFERROR(__xludf.DUMMYFUNCTION("""COMPUTED_VALUE"""),1052.53)</f>
        <v>1052.53</v>
      </c>
      <c r="H743" s="4">
        <f t="shared" si="1"/>
        <v>896.32</v>
      </c>
      <c r="I743" s="16">
        <f t="shared" si="2"/>
        <v>885.862</v>
      </c>
      <c r="J743" s="16">
        <f t="shared" si="3"/>
        <v>18.24026645</v>
      </c>
      <c r="K743" s="16">
        <f t="shared" si="4"/>
        <v>904.1022664</v>
      </c>
      <c r="L743" s="16">
        <f t="shared" si="5"/>
        <v>867.6217336</v>
      </c>
      <c r="N743" s="17" t="str">
        <f t="shared" si="6"/>
        <v>F</v>
      </c>
      <c r="O743" s="17" t="str">
        <f t="shared" si="7"/>
        <v>T</v>
      </c>
      <c r="P743" s="8">
        <f t="shared" si="8"/>
        <v>0</v>
      </c>
      <c r="R743" s="17" t="str">
        <f t="shared" si="9"/>
        <v>F</v>
      </c>
      <c r="S743" s="3" t="str">
        <f t="shared" si="10"/>
        <v>F</v>
      </c>
      <c r="T743" s="8">
        <f t="shared" si="11"/>
        <v>0</v>
      </c>
      <c r="V743" s="4">
        <f t="shared" si="12"/>
        <v>0</v>
      </c>
      <c r="W743" s="8">
        <f t="shared" si="13"/>
        <v>24.15</v>
      </c>
      <c r="X743" s="8">
        <f t="shared" si="14"/>
        <v>24.15</v>
      </c>
      <c r="Y743" s="8">
        <f t="shared" si="15"/>
        <v>477.24</v>
      </c>
    </row>
    <row r="744">
      <c r="A744" s="2">
        <v>737.0</v>
      </c>
      <c r="B744" s="15">
        <f>IFERROR(__xludf.DUMMYFUNCTION("""COMPUTED_VALUE"""),43462.64583333333)</f>
        <v>43462.64583</v>
      </c>
      <c r="C744" s="8">
        <f>IFERROR(__xludf.DUMMYFUNCTION("""COMPUTED_VALUE"""),1979.95)</f>
        <v>1979.95</v>
      </c>
      <c r="E744" s="15">
        <f>IFERROR(__xludf.DUMMYFUNCTION("""COMPUTED_VALUE"""),43462.64583333333)</f>
        <v>43462.64583</v>
      </c>
      <c r="F744" s="8">
        <f>IFERROR(__xludf.DUMMYFUNCTION("""COMPUTED_VALUE"""),1061.45)</f>
        <v>1061.45</v>
      </c>
      <c r="H744" s="4">
        <f t="shared" si="1"/>
        <v>918.5</v>
      </c>
      <c r="I744" s="16">
        <f t="shared" si="2"/>
        <v>888.366</v>
      </c>
      <c r="J744" s="16">
        <f t="shared" si="3"/>
        <v>22.13585508</v>
      </c>
      <c r="K744" s="16">
        <f t="shared" si="4"/>
        <v>910.5018551</v>
      </c>
      <c r="L744" s="16">
        <f t="shared" si="5"/>
        <v>866.2301449</v>
      </c>
      <c r="N744" s="17" t="str">
        <f t="shared" si="6"/>
        <v>F</v>
      </c>
      <c r="O744" s="17" t="str">
        <f t="shared" si="7"/>
        <v>T</v>
      </c>
      <c r="P744" s="8">
        <f t="shared" si="8"/>
        <v>0</v>
      </c>
      <c r="R744" s="17" t="str">
        <f t="shared" si="9"/>
        <v>T</v>
      </c>
      <c r="S744" s="3" t="str">
        <f t="shared" si="10"/>
        <v>F</v>
      </c>
      <c r="T744" s="8">
        <f t="shared" si="11"/>
        <v>-1</v>
      </c>
      <c r="V744" s="4">
        <f t="shared" si="12"/>
        <v>-1</v>
      </c>
      <c r="W744" s="8">
        <f t="shared" si="13"/>
        <v>22.18</v>
      </c>
      <c r="X744" s="8">
        <f t="shared" si="14"/>
        <v>0</v>
      </c>
      <c r="Y744" s="8">
        <f t="shared" si="15"/>
        <v>477.24</v>
      </c>
    </row>
    <row r="745">
      <c r="A745" s="2">
        <v>738.0</v>
      </c>
      <c r="B745" s="15">
        <f>IFERROR(__xludf.DUMMYFUNCTION("""COMPUTED_VALUE"""),43465.64583333333)</f>
        <v>43465.64583</v>
      </c>
      <c r="C745" s="8">
        <f>IFERROR(__xludf.DUMMYFUNCTION("""COMPUTED_VALUE"""),1968.35)</f>
        <v>1968.35</v>
      </c>
      <c r="E745" s="15">
        <f>IFERROR(__xludf.DUMMYFUNCTION("""COMPUTED_VALUE"""),43465.64583333333)</f>
        <v>43465.64583</v>
      </c>
      <c r="F745" s="8">
        <f>IFERROR(__xludf.DUMMYFUNCTION("""COMPUTED_VALUE"""),1060.85)</f>
        <v>1060.85</v>
      </c>
      <c r="H745" s="4">
        <f t="shared" si="1"/>
        <v>907.5</v>
      </c>
      <c r="I745" s="16">
        <f t="shared" si="2"/>
        <v>891.262</v>
      </c>
      <c r="J745" s="16">
        <f t="shared" si="3"/>
        <v>23.78287451</v>
      </c>
      <c r="K745" s="16">
        <f t="shared" si="4"/>
        <v>915.0448745</v>
      </c>
      <c r="L745" s="16">
        <f t="shared" si="5"/>
        <v>867.4791255</v>
      </c>
      <c r="N745" s="17" t="str">
        <f t="shared" si="6"/>
        <v>F</v>
      </c>
      <c r="O745" s="17" t="str">
        <f t="shared" si="7"/>
        <v>T</v>
      </c>
      <c r="P745" s="8">
        <f t="shared" si="8"/>
        <v>0</v>
      </c>
      <c r="R745" s="17" t="str">
        <f t="shared" si="9"/>
        <v>F</v>
      </c>
      <c r="S745" s="3" t="str">
        <f t="shared" si="10"/>
        <v>F</v>
      </c>
      <c r="T745" s="8">
        <f t="shared" si="11"/>
        <v>-1</v>
      </c>
      <c r="V745" s="4">
        <f t="shared" si="12"/>
        <v>-1</v>
      </c>
      <c r="W745" s="8">
        <f t="shared" si="13"/>
        <v>-11</v>
      </c>
      <c r="X745" s="8">
        <f t="shared" si="14"/>
        <v>11</v>
      </c>
      <c r="Y745" s="8">
        <f t="shared" si="15"/>
        <v>488.24</v>
      </c>
    </row>
    <row r="746">
      <c r="A746" s="2">
        <v>739.0</v>
      </c>
      <c r="B746" s="15">
        <f>IFERROR(__xludf.DUMMYFUNCTION("""COMPUTED_VALUE"""),43466.64583333333)</f>
        <v>43466.64583</v>
      </c>
      <c r="C746" s="8">
        <f>IFERROR(__xludf.DUMMYFUNCTION("""COMPUTED_VALUE"""),2009.0)</f>
        <v>2009</v>
      </c>
      <c r="E746" s="15">
        <f>IFERROR(__xludf.DUMMYFUNCTION("""COMPUTED_VALUE"""),43466.64583333333)</f>
        <v>43466.64583</v>
      </c>
      <c r="F746" s="8">
        <f>IFERROR(__xludf.DUMMYFUNCTION("""COMPUTED_VALUE"""),1074.05)</f>
        <v>1074.05</v>
      </c>
      <c r="H746" s="4">
        <f t="shared" si="1"/>
        <v>934.95</v>
      </c>
      <c r="I746" s="16">
        <f t="shared" si="2"/>
        <v>905.888</v>
      </c>
      <c r="J746" s="16">
        <f t="shared" si="3"/>
        <v>23.63636541</v>
      </c>
      <c r="K746" s="16">
        <f t="shared" si="4"/>
        <v>929.5243654</v>
      </c>
      <c r="L746" s="16">
        <f t="shared" si="5"/>
        <v>882.2516346</v>
      </c>
      <c r="N746" s="17" t="str">
        <f t="shared" si="6"/>
        <v>F</v>
      </c>
      <c r="O746" s="17" t="str">
        <f t="shared" si="7"/>
        <v>T</v>
      </c>
      <c r="P746" s="8">
        <f t="shared" si="8"/>
        <v>0</v>
      </c>
      <c r="R746" s="17" t="str">
        <f t="shared" si="9"/>
        <v>T</v>
      </c>
      <c r="S746" s="3" t="str">
        <f t="shared" si="10"/>
        <v>F</v>
      </c>
      <c r="T746" s="8">
        <f t="shared" si="11"/>
        <v>-1</v>
      </c>
      <c r="V746" s="4">
        <f t="shared" si="12"/>
        <v>-1</v>
      </c>
      <c r="W746" s="8">
        <f t="shared" si="13"/>
        <v>27.45</v>
      </c>
      <c r="X746" s="8">
        <f t="shared" si="14"/>
        <v>-27.45</v>
      </c>
      <c r="Y746" s="8">
        <f t="shared" si="15"/>
        <v>460.79</v>
      </c>
    </row>
    <row r="747">
      <c r="A747" s="2">
        <v>740.0</v>
      </c>
      <c r="B747" s="15">
        <f>IFERROR(__xludf.DUMMYFUNCTION("""COMPUTED_VALUE"""),43467.64583333333)</f>
        <v>43467.64583</v>
      </c>
      <c r="C747" s="8">
        <f>IFERROR(__xludf.DUMMYFUNCTION("""COMPUTED_VALUE"""),1980.65)</f>
        <v>1980.65</v>
      </c>
      <c r="E747" s="15">
        <f>IFERROR(__xludf.DUMMYFUNCTION("""COMPUTED_VALUE"""),43467.64583333333)</f>
        <v>43467.64583</v>
      </c>
      <c r="F747" s="8">
        <f>IFERROR(__xludf.DUMMYFUNCTION("""COMPUTED_VALUE"""),1064.25)</f>
        <v>1064.25</v>
      </c>
      <c r="H747" s="4">
        <f t="shared" si="1"/>
        <v>916.4</v>
      </c>
      <c r="I747" s="16">
        <f t="shared" si="2"/>
        <v>914.734</v>
      </c>
      <c r="J747" s="16">
        <f t="shared" si="3"/>
        <v>14.29205304</v>
      </c>
      <c r="K747" s="16">
        <f t="shared" si="4"/>
        <v>929.026053</v>
      </c>
      <c r="L747" s="16">
        <f t="shared" si="5"/>
        <v>900.441947</v>
      </c>
      <c r="N747" s="17" t="str">
        <f t="shared" si="6"/>
        <v>F</v>
      </c>
      <c r="O747" s="17" t="str">
        <f t="shared" si="7"/>
        <v>T</v>
      </c>
      <c r="P747" s="8">
        <f t="shared" si="8"/>
        <v>0</v>
      </c>
      <c r="R747" s="17" t="str">
        <f t="shared" si="9"/>
        <v>F</v>
      </c>
      <c r="S747" s="3" t="str">
        <f t="shared" si="10"/>
        <v>F</v>
      </c>
      <c r="T747" s="8">
        <f t="shared" si="11"/>
        <v>-1</v>
      </c>
      <c r="V747" s="4">
        <f t="shared" si="12"/>
        <v>-1</v>
      </c>
      <c r="W747" s="8">
        <f t="shared" si="13"/>
        <v>-18.55</v>
      </c>
      <c r="X747" s="8">
        <f t="shared" si="14"/>
        <v>18.55</v>
      </c>
      <c r="Y747" s="8">
        <f t="shared" si="15"/>
        <v>479.34</v>
      </c>
    </row>
    <row r="748">
      <c r="A748" s="2">
        <v>741.0</v>
      </c>
      <c r="B748" s="15">
        <f>IFERROR(__xludf.DUMMYFUNCTION("""COMPUTED_VALUE"""),43468.64583333333)</f>
        <v>43468.64583</v>
      </c>
      <c r="C748" s="8">
        <f>IFERROR(__xludf.DUMMYFUNCTION("""COMPUTED_VALUE"""),1936.85)</f>
        <v>1936.85</v>
      </c>
      <c r="E748" s="15">
        <f>IFERROR(__xludf.DUMMYFUNCTION("""COMPUTED_VALUE"""),43468.64583333333)</f>
        <v>43468.64583</v>
      </c>
      <c r="F748" s="8">
        <f>IFERROR(__xludf.DUMMYFUNCTION("""COMPUTED_VALUE"""),1055.9)</f>
        <v>1055.9</v>
      </c>
      <c r="H748" s="4">
        <f t="shared" si="1"/>
        <v>880.95</v>
      </c>
      <c r="I748" s="16">
        <f t="shared" si="2"/>
        <v>911.66</v>
      </c>
      <c r="J748" s="16">
        <f t="shared" si="3"/>
        <v>19.82477617</v>
      </c>
      <c r="K748" s="16">
        <f t="shared" si="4"/>
        <v>931.4847762</v>
      </c>
      <c r="L748" s="16">
        <f t="shared" si="5"/>
        <v>891.8352238</v>
      </c>
      <c r="N748" s="17" t="str">
        <f t="shared" si="6"/>
        <v>T</v>
      </c>
      <c r="O748" s="17" t="str">
        <f t="shared" si="7"/>
        <v>F</v>
      </c>
      <c r="P748" s="8">
        <f t="shared" si="8"/>
        <v>1</v>
      </c>
      <c r="R748" s="17" t="str">
        <f t="shared" si="9"/>
        <v>F</v>
      </c>
      <c r="S748" s="3" t="str">
        <f t="shared" si="10"/>
        <v>T</v>
      </c>
      <c r="T748" s="8">
        <f t="shared" si="11"/>
        <v>0</v>
      </c>
      <c r="V748" s="4">
        <f t="shared" si="12"/>
        <v>1</v>
      </c>
      <c r="W748" s="8">
        <f t="shared" si="13"/>
        <v>-35.45</v>
      </c>
      <c r="X748" s="8">
        <f t="shared" si="14"/>
        <v>35.45</v>
      </c>
      <c r="Y748" s="8">
        <f t="shared" si="15"/>
        <v>514.79</v>
      </c>
    </row>
    <row r="749">
      <c r="A749" s="2">
        <v>742.0</v>
      </c>
      <c r="B749" s="15">
        <f>IFERROR(__xludf.DUMMYFUNCTION("""COMPUTED_VALUE"""),43469.64583333333)</f>
        <v>43469.64583</v>
      </c>
      <c r="C749" s="8">
        <f>IFERROR(__xludf.DUMMYFUNCTION("""COMPUTED_VALUE"""),1972.6)</f>
        <v>1972.6</v>
      </c>
      <c r="E749" s="15">
        <f>IFERROR(__xludf.DUMMYFUNCTION("""COMPUTED_VALUE"""),43469.64583333333)</f>
        <v>43469.64583</v>
      </c>
      <c r="F749" s="8">
        <f>IFERROR(__xludf.DUMMYFUNCTION("""COMPUTED_VALUE"""),1058.72)</f>
        <v>1058.72</v>
      </c>
      <c r="H749" s="4">
        <f t="shared" si="1"/>
        <v>913.88</v>
      </c>
      <c r="I749" s="16">
        <f t="shared" si="2"/>
        <v>910.736</v>
      </c>
      <c r="J749" s="16">
        <f t="shared" si="3"/>
        <v>19.53177488</v>
      </c>
      <c r="K749" s="16">
        <f t="shared" si="4"/>
        <v>930.2677749</v>
      </c>
      <c r="L749" s="16">
        <f t="shared" si="5"/>
        <v>891.2042251</v>
      </c>
      <c r="N749" s="17" t="str">
        <f t="shared" si="6"/>
        <v>F</v>
      </c>
      <c r="O749" s="17" t="str">
        <f t="shared" si="7"/>
        <v>T</v>
      </c>
      <c r="P749" s="8">
        <f t="shared" si="8"/>
        <v>0</v>
      </c>
      <c r="R749" s="17" t="str">
        <f t="shared" si="9"/>
        <v>F</v>
      </c>
      <c r="S749" s="3" t="str">
        <f t="shared" si="10"/>
        <v>F</v>
      </c>
      <c r="T749" s="8">
        <f t="shared" si="11"/>
        <v>0</v>
      </c>
      <c r="V749" s="4">
        <f t="shared" si="12"/>
        <v>0</v>
      </c>
      <c r="W749" s="8">
        <f t="shared" si="13"/>
        <v>32.93</v>
      </c>
      <c r="X749" s="8">
        <f t="shared" si="14"/>
        <v>32.93</v>
      </c>
      <c r="Y749" s="8">
        <f t="shared" si="15"/>
        <v>547.72</v>
      </c>
    </row>
    <row r="750">
      <c r="A750" s="2">
        <v>743.0</v>
      </c>
      <c r="B750" s="15">
        <f>IFERROR(__xludf.DUMMYFUNCTION("""COMPUTED_VALUE"""),43472.64583333333)</f>
        <v>43472.64583</v>
      </c>
      <c r="C750" s="8">
        <f>IFERROR(__xludf.DUMMYFUNCTION("""COMPUTED_VALUE"""),1972.9)</f>
        <v>1972.9</v>
      </c>
      <c r="E750" s="15">
        <f>IFERROR(__xludf.DUMMYFUNCTION("""COMPUTED_VALUE"""),43472.64583333333)</f>
        <v>43472.64583</v>
      </c>
      <c r="F750" s="8">
        <f>IFERROR(__xludf.DUMMYFUNCTION("""COMPUTED_VALUE"""),1060.33)</f>
        <v>1060.33</v>
      </c>
      <c r="H750" s="4">
        <f t="shared" si="1"/>
        <v>912.57</v>
      </c>
      <c r="I750" s="16">
        <f t="shared" si="2"/>
        <v>911.75</v>
      </c>
      <c r="J750" s="16">
        <f t="shared" si="3"/>
        <v>19.45322467</v>
      </c>
      <c r="K750" s="16">
        <f t="shared" si="4"/>
        <v>931.2032247</v>
      </c>
      <c r="L750" s="16">
        <f t="shared" si="5"/>
        <v>892.2967753</v>
      </c>
      <c r="N750" s="17" t="str">
        <f t="shared" si="6"/>
        <v>F</v>
      </c>
      <c r="O750" s="17" t="str">
        <f t="shared" si="7"/>
        <v>T</v>
      </c>
      <c r="P750" s="8">
        <f t="shared" si="8"/>
        <v>0</v>
      </c>
      <c r="R750" s="17" t="str">
        <f t="shared" si="9"/>
        <v>F</v>
      </c>
      <c r="S750" s="3" t="str">
        <f t="shared" si="10"/>
        <v>F</v>
      </c>
      <c r="T750" s="8">
        <f t="shared" si="11"/>
        <v>0</v>
      </c>
      <c r="V750" s="4">
        <f t="shared" si="12"/>
        <v>0</v>
      </c>
      <c r="W750" s="8">
        <f t="shared" si="13"/>
        <v>-1.31</v>
      </c>
      <c r="X750" s="8">
        <f t="shared" si="14"/>
        <v>0</v>
      </c>
      <c r="Y750" s="8">
        <f t="shared" si="15"/>
        <v>547.72</v>
      </c>
    </row>
    <row r="751">
      <c r="A751" s="2">
        <v>744.0</v>
      </c>
      <c r="B751" s="15">
        <f>IFERROR(__xludf.DUMMYFUNCTION("""COMPUTED_VALUE"""),43473.64583333333)</f>
        <v>43473.64583</v>
      </c>
      <c r="C751" s="8">
        <f>IFERROR(__xludf.DUMMYFUNCTION("""COMPUTED_VALUE"""),1958.95)</f>
        <v>1958.95</v>
      </c>
      <c r="E751" s="15">
        <f>IFERROR(__xludf.DUMMYFUNCTION("""COMPUTED_VALUE"""),43473.64583333333)</f>
        <v>43473.64583</v>
      </c>
      <c r="F751" s="8">
        <f>IFERROR(__xludf.DUMMYFUNCTION("""COMPUTED_VALUE"""),1051.5)</f>
        <v>1051.5</v>
      </c>
      <c r="H751" s="4">
        <f t="shared" si="1"/>
        <v>907.45</v>
      </c>
      <c r="I751" s="16">
        <f t="shared" si="2"/>
        <v>906.25</v>
      </c>
      <c r="J751" s="16">
        <f t="shared" si="3"/>
        <v>14.5147494</v>
      </c>
      <c r="K751" s="16">
        <f t="shared" si="4"/>
        <v>920.7647494</v>
      </c>
      <c r="L751" s="16">
        <f t="shared" si="5"/>
        <v>891.7352506</v>
      </c>
      <c r="N751" s="17" t="str">
        <f t="shared" si="6"/>
        <v>F</v>
      </c>
      <c r="O751" s="17" t="str">
        <f t="shared" si="7"/>
        <v>T</v>
      </c>
      <c r="P751" s="8">
        <f t="shared" si="8"/>
        <v>0</v>
      </c>
      <c r="R751" s="17" t="str">
        <f t="shared" si="9"/>
        <v>F</v>
      </c>
      <c r="S751" s="3" t="str">
        <f t="shared" si="10"/>
        <v>F</v>
      </c>
      <c r="T751" s="8">
        <f t="shared" si="11"/>
        <v>0</v>
      </c>
      <c r="V751" s="4">
        <f t="shared" si="12"/>
        <v>0</v>
      </c>
      <c r="W751" s="8">
        <f t="shared" si="13"/>
        <v>-5.12</v>
      </c>
      <c r="X751" s="8">
        <f t="shared" si="14"/>
        <v>0</v>
      </c>
      <c r="Y751" s="8">
        <f t="shared" si="15"/>
        <v>547.72</v>
      </c>
    </row>
    <row r="752">
      <c r="A752" s="2">
        <v>745.0</v>
      </c>
      <c r="B752" s="15">
        <f>IFERROR(__xludf.DUMMYFUNCTION("""COMPUTED_VALUE"""),43474.64583333333)</f>
        <v>43474.64583</v>
      </c>
      <c r="C752" s="8">
        <f>IFERROR(__xludf.DUMMYFUNCTION("""COMPUTED_VALUE"""),1994.95)</f>
        <v>1994.95</v>
      </c>
      <c r="E752" s="15">
        <f>IFERROR(__xludf.DUMMYFUNCTION("""COMPUTED_VALUE"""),43474.64583333333)</f>
        <v>43474.64583</v>
      </c>
      <c r="F752" s="8">
        <f>IFERROR(__xludf.DUMMYFUNCTION("""COMPUTED_VALUE"""),1058.4)</f>
        <v>1058.4</v>
      </c>
      <c r="H752" s="4">
        <f t="shared" si="1"/>
        <v>936.55</v>
      </c>
      <c r="I752" s="16">
        <f t="shared" si="2"/>
        <v>910.28</v>
      </c>
      <c r="J752" s="16">
        <f t="shared" si="3"/>
        <v>19.85305266</v>
      </c>
      <c r="K752" s="16">
        <f t="shared" si="4"/>
        <v>930.1330527</v>
      </c>
      <c r="L752" s="16">
        <f t="shared" si="5"/>
        <v>890.4269473</v>
      </c>
      <c r="N752" s="17" t="str">
        <f t="shared" si="6"/>
        <v>F</v>
      </c>
      <c r="O752" s="17" t="str">
        <f t="shared" si="7"/>
        <v>T</v>
      </c>
      <c r="P752" s="8">
        <f t="shared" si="8"/>
        <v>0</v>
      </c>
      <c r="R752" s="17" t="str">
        <f t="shared" si="9"/>
        <v>T</v>
      </c>
      <c r="S752" s="3" t="str">
        <f t="shared" si="10"/>
        <v>F</v>
      </c>
      <c r="T752" s="8">
        <f t="shared" si="11"/>
        <v>-1</v>
      </c>
      <c r="V752" s="4">
        <f t="shared" si="12"/>
        <v>-1</v>
      </c>
      <c r="W752" s="8">
        <f t="shared" si="13"/>
        <v>29.1</v>
      </c>
      <c r="X752" s="8">
        <f t="shared" si="14"/>
        <v>0</v>
      </c>
      <c r="Y752" s="8">
        <f t="shared" si="15"/>
        <v>547.72</v>
      </c>
    </row>
    <row r="753">
      <c r="A753" s="2">
        <v>746.0</v>
      </c>
      <c r="B753" s="15">
        <f>IFERROR(__xludf.DUMMYFUNCTION("""COMPUTED_VALUE"""),43475.64583333333)</f>
        <v>43475.64583</v>
      </c>
      <c r="C753" s="8">
        <f>IFERROR(__xludf.DUMMYFUNCTION("""COMPUTED_VALUE"""),1980.1)</f>
        <v>1980.1</v>
      </c>
      <c r="E753" s="15">
        <f>IFERROR(__xludf.DUMMYFUNCTION("""COMPUTED_VALUE"""),43475.64583333333)</f>
        <v>43475.64583</v>
      </c>
      <c r="F753" s="8">
        <f>IFERROR(__xludf.DUMMYFUNCTION("""COMPUTED_VALUE"""),1054.25)</f>
        <v>1054.25</v>
      </c>
      <c r="H753" s="4">
        <f t="shared" si="1"/>
        <v>925.85</v>
      </c>
      <c r="I753" s="16">
        <f t="shared" si="2"/>
        <v>919.26</v>
      </c>
      <c r="J753" s="16">
        <f t="shared" si="3"/>
        <v>11.78504137</v>
      </c>
      <c r="K753" s="16">
        <f t="shared" si="4"/>
        <v>931.0450414</v>
      </c>
      <c r="L753" s="16">
        <f t="shared" si="5"/>
        <v>907.4749586</v>
      </c>
      <c r="N753" s="17" t="str">
        <f t="shared" si="6"/>
        <v>F</v>
      </c>
      <c r="O753" s="17" t="str">
        <f t="shared" si="7"/>
        <v>T</v>
      </c>
      <c r="P753" s="8">
        <f t="shared" si="8"/>
        <v>0</v>
      </c>
      <c r="R753" s="17" t="str">
        <f t="shared" si="9"/>
        <v>F</v>
      </c>
      <c r="S753" s="3" t="str">
        <f t="shared" si="10"/>
        <v>F</v>
      </c>
      <c r="T753" s="8">
        <f t="shared" si="11"/>
        <v>-1</v>
      </c>
      <c r="V753" s="4">
        <f t="shared" si="12"/>
        <v>-1</v>
      </c>
      <c r="W753" s="8">
        <f t="shared" si="13"/>
        <v>-10.7</v>
      </c>
      <c r="X753" s="8">
        <f t="shared" si="14"/>
        <v>10.7</v>
      </c>
      <c r="Y753" s="8">
        <f t="shared" si="15"/>
        <v>558.42</v>
      </c>
    </row>
    <row r="754">
      <c r="A754" s="2">
        <v>747.0</v>
      </c>
      <c r="B754" s="15">
        <f>IFERROR(__xludf.DUMMYFUNCTION("""COMPUTED_VALUE"""),43476.64583333333)</f>
        <v>43476.64583</v>
      </c>
      <c r="C754" s="8">
        <f>IFERROR(__xludf.DUMMYFUNCTION("""COMPUTED_VALUE"""),1991.4)</f>
        <v>1991.4</v>
      </c>
      <c r="E754" s="15">
        <f>IFERROR(__xludf.DUMMYFUNCTION("""COMPUTED_VALUE"""),43476.64583333333)</f>
        <v>43476.64583</v>
      </c>
      <c r="F754" s="8">
        <f>IFERROR(__xludf.DUMMYFUNCTION("""COMPUTED_VALUE"""),1055.95)</f>
        <v>1055.95</v>
      </c>
      <c r="H754" s="4">
        <f t="shared" si="1"/>
        <v>935.45</v>
      </c>
      <c r="I754" s="16">
        <f t="shared" si="2"/>
        <v>923.574</v>
      </c>
      <c r="J754" s="16">
        <f t="shared" si="3"/>
        <v>13.18775493</v>
      </c>
      <c r="K754" s="16">
        <f t="shared" si="4"/>
        <v>936.7617549</v>
      </c>
      <c r="L754" s="16">
        <f t="shared" si="5"/>
        <v>910.3862451</v>
      </c>
      <c r="N754" s="17" t="str">
        <f t="shared" si="6"/>
        <v>F</v>
      </c>
      <c r="O754" s="17" t="str">
        <f t="shared" si="7"/>
        <v>T</v>
      </c>
      <c r="P754" s="8">
        <f t="shared" si="8"/>
        <v>0</v>
      </c>
      <c r="R754" s="17" t="str">
        <f t="shared" si="9"/>
        <v>F</v>
      </c>
      <c r="S754" s="3" t="str">
        <f t="shared" si="10"/>
        <v>F</v>
      </c>
      <c r="T754" s="8">
        <f t="shared" si="11"/>
        <v>-1</v>
      </c>
      <c r="V754" s="4">
        <f t="shared" si="12"/>
        <v>-1</v>
      </c>
      <c r="W754" s="8">
        <f t="shared" si="13"/>
        <v>9.6</v>
      </c>
      <c r="X754" s="8">
        <f t="shared" si="14"/>
        <v>-9.6</v>
      </c>
      <c r="Y754" s="8">
        <f t="shared" si="15"/>
        <v>548.82</v>
      </c>
    </row>
    <row r="755">
      <c r="A755" s="2">
        <v>748.0</v>
      </c>
      <c r="B755" s="15">
        <f>IFERROR(__xludf.DUMMYFUNCTION("""COMPUTED_VALUE"""),43479.64583333333)</f>
        <v>43479.64583</v>
      </c>
      <c r="C755" s="8">
        <f>IFERROR(__xludf.DUMMYFUNCTION("""COMPUTED_VALUE"""),1969.2)</f>
        <v>1969.2</v>
      </c>
      <c r="E755" s="15">
        <f>IFERROR(__xludf.DUMMYFUNCTION("""COMPUTED_VALUE"""),43479.64583333333)</f>
        <v>43479.64583</v>
      </c>
      <c r="F755" s="8">
        <f>IFERROR(__xludf.DUMMYFUNCTION("""COMPUTED_VALUE"""),1050.83)</f>
        <v>1050.83</v>
      </c>
      <c r="H755" s="4">
        <f t="shared" si="1"/>
        <v>918.37</v>
      </c>
      <c r="I755" s="16">
        <f t="shared" si="2"/>
        <v>924.734</v>
      </c>
      <c r="J755" s="16">
        <f t="shared" si="3"/>
        <v>12.19562545</v>
      </c>
      <c r="K755" s="16">
        <f t="shared" si="4"/>
        <v>936.9296254</v>
      </c>
      <c r="L755" s="16">
        <f t="shared" si="5"/>
        <v>912.5383746</v>
      </c>
      <c r="N755" s="17" t="str">
        <f t="shared" si="6"/>
        <v>F</v>
      </c>
      <c r="O755" s="17" t="str">
        <f t="shared" si="7"/>
        <v>F</v>
      </c>
      <c r="P755" s="8">
        <f t="shared" si="8"/>
        <v>0</v>
      </c>
      <c r="R755" s="17" t="str">
        <f t="shared" si="9"/>
        <v>F</v>
      </c>
      <c r="S755" s="3" t="str">
        <f t="shared" si="10"/>
        <v>T</v>
      </c>
      <c r="T755" s="8">
        <f t="shared" si="11"/>
        <v>0</v>
      </c>
      <c r="V755" s="4">
        <f t="shared" si="12"/>
        <v>0</v>
      </c>
      <c r="W755" s="8">
        <f t="shared" si="13"/>
        <v>-17.08</v>
      </c>
      <c r="X755" s="8">
        <f t="shared" si="14"/>
        <v>17.08</v>
      </c>
      <c r="Y755" s="8">
        <f t="shared" si="15"/>
        <v>565.9</v>
      </c>
    </row>
    <row r="756">
      <c r="A756" s="2">
        <v>749.0</v>
      </c>
      <c r="B756" s="15">
        <f>IFERROR(__xludf.DUMMYFUNCTION("""COMPUTED_VALUE"""),43480.64583333333)</f>
        <v>43480.64583</v>
      </c>
      <c r="C756" s="8">
        <f>IFERROR(__xludf.DUMMYFUNCTION("""COMPUTED_VALUE"""),1992.15)</f>
        <v>1992.15</v>
      </c>
      <c r="E756" s="15">
        <f>IFERROR(__xludf.DUMMYFUNCTION("""COMPUTED_VALUE"""),43480.64583333333)</f>
        <v>43480.64583</v>
      </c>
      <c r="F756" s="8">
        <f>IFERROR(__xludf.DUMMYFUNCTION("""COMPUTED_VALUE"""),1060.95)</f>
        <v>1060.95</v>
      </c>
      <c r="H756" s="4">
        <f t="shared" si="1"/>
        <v>931.2</v>
      </c>
      <c r="I756" s="16">
        <f t="shared" si="2"/>
        <v>929.484</v>
      </c>
      <c r="J756" s="16">
        <f t="shared" si="3"/>
        <v>7.503217976</v>
      </c>
      <c r="K756" s="16">
        <f t="shared" si="4"/>
        <v>936.987218</v>
      </c>
      <c r="L756" s="16">
        <f t="shared" si="5"/>
        <v>921.980782</v>
      </c>
      <c r="N756" s="17" t="str">
        <f t="shared" si="6"/>
        <v>F</v>
      </c>
      <c r="O756" s="17" t="str">
        <f t="shared" si="7"/>
        <v>T</v>
      </c>
      <c r="P756" s="8">
        <f t="shared" si="8"/>
        <v>0</v>
      </c>
      <c r="R756" s="17" t="str">
        <f t="shared" si="9"/>
        <v>F</v>
      </c>
      <c r="S756" s="3" t="str">
        <f t="shared" si="10"/>
        <v>F</v>
      </c>
      <c r="T756" s="8">
        <f t="shared" si="11"/>
        <v>0</v>
      </c>
      <c r="V756" s="4">
        <f t="shared" si="12"/>
        <v>0</v>
      </c>
      <c r="W756" s="8">
        <f t="shared" si="13"/>
        <v>12.83</v>
      </c>
      <c r="X756" s="8">
        <f t="shared" si="14"/>
        <v>0</v>
      </c>
      <c r="Y756" s="8">
        <f t="shared" si="15"/>
        <v>565.9</v>
      </c>
    </row>
    <row r="757">
      <c r="A757" s="2">
        <v>750.0</v>
      </c>
      <c r="B757" s="15">
        <f>IFERROR(__xludf.DUMMYFUNCTION("""COMPUTED_VALUE"""),43481.64583333333)</f>
        <v>43481.64583</v>
      </c>
      <c r="C757" s="8">
        <f>IFERROR(__xludf.DUMMYFUNCTION("""COMPUTED_VALUE"""),1975.0)</f>
        <v>1975</v>
      </c>
      <c r="E757" s="15">
        <f>IFERROR(__xludf.DUMMYFUNCTION("""COMPUTED_VALUE"""),43481.64583333333)</f>
        <v>43481.64583</v>
      </c>
      <c r="F757" s="8">
        <f>IFERROR(__xludf.DUMMYFUNCTION("""COMPUTED_VALUE"""),1060.1)</f>
        <v>1060.1</v>
      </c>
      <c r="H757" s="4">
        <f t="shared" si="1"/>
        <v>914.9</v>
      </c>
      <c r="I757" s="16">
        <f t="shared" si="2"/>
        <v>925.154</v>
      </c>
      <c r="J757" s="16">
        <f t="shared" si="3"/>
        <v>8.576323805</v>
      </c>
      <c r="K757" s="16">
        <f t="shared" si="4"/>
        <v>933.7303238</v>
      </c>
      <c r="L757" s="16">
        <f t="shared" si="5"/>
        <v>916.5776762</v>
      </c>
      <c r="N757" s="17" t="str">
        <f t="shared" si="6"/>
        <v>T</v>
      </c>
      <c r="O757" s="17" t="str">
        <f t="shared" si="7"/>
        <v>F</v>
      </c>
      <c r="P757" s="8">
        <f t="shared" si="8"/>
        <v>1</v>
      </c>
      <c r="R757" s="17" t="str">
        <f t="shared" si="9"/>
        <v>F</v>
      </c>
      <c r="S757" s="3" t="str">
        <f t="shared" si="10"/>
        <v>T</v>
      </c>
      <c r="T757" s="8">
        <f t="shared" si="11"/>
        <v>0</v>
      </c>
      <c r="V757" s="4">
        <f t="shared" si="12"/>
        <v>1</v>
      </c>
      <c r="W757" s="8">
        <f t="shared" si="13"/>
        <v>-16.3</v>
      </c>
      <c r="X757" s="8">
        <f t="shared" si="14"/>
        <v>0</v>
      </c>
      <c r="Y757" s="8">
        <f t="shared" si="15"/>
        <v>565.9</v>
      </c>
    </row>
    <row r="758">
      <c r="A758" s="2">
        <v>751.0</v>
      </c>
      <c r="B758" s="15">
        <f>IFERROR(__xludf.DUMMYFUNCTION("""COMPUTED_VALUE"""),43482.64583333333)</f>
        <v>43482.64583</v>
      </c>
      <c r="C758" s="8">
        <f>IFERROR(__xludf.DUMMYFUNCTION("""COMPUTED_VALUE"""),2004.55)</f>
        <v>2004.55</v>
      </c>
      <c r="E758" s="15">
        <f>IFERROR(__xludf.DUMMYFUNCTION("""COMPUTED_VALUE"""),43482.64583333333)</f>
        <v>43482.64583</v>
      </c>
      <c r="F758" s="8">
        <f>IFERROR(__xludf.DUMMYFUNCTION("""COMPUTED_VALUE"""),1066.15)</f>
        <v>1066.15</v>
      </c>
      <c r="H758" s="4">
        <f t="shared" si="1"/>
        <v>938.4</v>
      </c>
      <c r="I758" s="16">
        <f t="shared" si="2"/>
        <v>927.664</v>
      </c>
      <c r="J758" s="16">
        <f t="shared" si="3"/>
        <v>10.46046031</v>
      </c>
      <c r="K758" s="16">
        <f t="shared" si="4"/>
        <v>938.1244603</v>
      </c>
      <c r="L758" s="16">
        <f t="shared" si="5"/>
        <v>917.2035397</v>
      </c>
      <c r="N758" s="17" t="str">
        <f t="shared" si="6"/>
        <v>F</v>
      </c>
      <c r="O758" s="17" t="str">
        <f t="shared" si="7"/>
        <v>T</v>
      </c>
      <c r="P758" s="8">
        <f t="shared" si="8"/>
        <v>0</v>
      </c>
      <c r="R758" s="17" t="str">
        <f t="shared" si="9"/>
        <v>T</v>
      </c>
      <c r="S758" s="3" t="str">
        <f t="shared" si="10"/>
        <v>F</v>
      </c>
      <c r="T758" s="8">
        <f t="shared" si="11"/>
        <v>-1</v>
      </c>
      <c r="V758" s="4">
        <f t="shared" si="12"/>
        <v>-1</v>
      </c>
      <c r="W758" s="8">
        <f t="shared" si="13"/>
        <v>23.5</v>
      </c>
      <c r="X758" s="8">
        <f t="shared" si="14"/>
        <v>23.5</v>
      </c>
      <c r="Y758" s="8">
        <f t="shared" si="15"/>
        <v>589.4</v>
      </c>
    </row>
    <row r="759">
      <c r="A759" s="2">
        <v>752.0</v>
      </c>
      <c r="B759" s="15">
        <f>IFERROR(__xludf.DUMMYFUNCTION("""COMPUTED_VALUE"""),43483.64583333333)</f>
        <v>43483.64583</v>
      </c>
      <c r="C759" s="8">
        <f>IFERROR(__xludf.DUMMYFUNCTION("""COMPUTED_VALUE"""),2006.85)</f>
        <v>2006.85</v>
      </c>
      <c r="E759" s="15">
        <f>IFERROR(__xludf.DUMMYFUNCTION("""COMPUTED_VALUE"""),43483.64583333333)</f>
        <v>43483.64583</v>
      </c>
      <c r="F759" s="8">
        <f>IFERROR(__xludf.DUMMYFUNCTION("""COMPUTED_VALUE"""),1065.13)</f>
        <v>1065.13</v>
      </c>
      <c r="H759" s="4">
        <f t="shared" si="1"/>
        <v>941.72</v>
      </c>
      <c r="I759" s="16">
        <f t="shared" si="2"/>
        <v>928.918</v>
      </c>
      <c r="J759" s="16">
        <f t="shared" si="3"/>
        <v>11.90348352</v>
      </c>
      <c r="K759" s="16">
        <f t="shared" si="4"/>
        <v>940.8214835</v>
      </c>
      <c r="L759" s="16">
        <f t="shared" si="5"/>
        <v>917.0145165</v>
      </c>
      <c r="N759" s="17" t="str">
        <f t="shared" si="6"/>
        <v>F</v>
      </c>
      <c r="O759" s="17" t="str">
        <f t="shared" si="7"/>
        <v>T</v>
      </c>
      <c r="P759" s="8">
        <f t="shared" si="8"/>
        <v>0</v>
      </c>
      <c r="R759" s="17" t="str">
        <f t="shared" si="9"/>
        <v>T</v>
      </c>
      <c r="S759" s="3" t="str">
        <f t="shared" si="10"/>
        <v>F</v>
      </c>
      <c r="T759" s="8">
        <f t="shared" si="11"/>
        <v>-1</v>
      </c>
      <c r="V759" s="4">
        <f t="shared" si="12"/>
        <v>-1</v>
      </c>
      <c r="W759" s="8">
        <f t="shared" si="13"/>
        <v>3.32</v>
      </c>
      <c r="X759" s="8">
        <f t="shared" si="14"/>
        <v>-3.32</v>
      </c>
      <c r="Y759" s="8">
        <f t="shared" si="15"/>
        <v>586.08</v>
      </c>
    </row>
    <row r="760">
      <c r="A760" s="2">
        <v>753.0</v>
      </c>
      <c r="B760" s="15">
        <f>IFERROR(__xludf.DUMMYFUNCTION("""COMPUTED_VALUE"""),43486.64583333333)</f>
        <v>43486.64583</v>
      </c>
      <c r="C760" s="8">
        <f>IFERROR(__xludf.DUMMYFUNCTION("""COMPUTED_VALUE"""),2004.45)</f>
        <v>2004.45</v>
      </c>
      <c r="E760" s="15">
        <f>IFERROR(__xludf.DUMMYFUNCTION("""COMPUTED_VALUE"""),43486.64583333333)</f>
        <v>43486.64583</v>
      </c>
      <c r="F760" s="8">
        <f>IFERROR(__xludf.DUMMYFUNCTION("""COMPUTED_VALUE"""),1074.08)</f>
        <v>1074.08</v>
      </c>
      <c r="H760" s="4">
        <f t="shared" si="1"/>
        <v>930.37</v>
      </c>
      <c r="I760" s="16">
        <f t="shared" si="2"/>
        <v>931.318</v>
      </c>
      <c r="J760" s="16">
        <f t="shared" si="3"/>
        <v>10.35398088</v>
      </c>
      <c r="K760" s="16">
        <f t="shared" si="4"/>
        <v>941.6719809</v>
      </c>
      <c r="L760" s="16">
        <f t="shared" si="5"/>
        <v>920.9640191</v>
      </c>
      <c r="N760" s="17" t="str">
        <f t="shared" si="6"/>
        <v>F</v>
      </c>
      <c r="O760" s="17" t="str">
        <f t="shared" si="7"/>
        <v>F</v>
      </c>
      <c r="P760" s="8">
        <f t="shared" si="8"/>
        <v>0</v>
      </c>
      <c r="R760" s="17" t="str">
        <f t="shared" si="9"/>
        <v>F</v>
      </c>
      <c r="S760" s="3" t="str">
        <f t="shared" si="10"/>
        <v>T</v>
      </c>
      <c r="T760" s="8">
        <f t="shared" si="11"/>
        <v>0</v>
      </c>
      <c r="V760" s="4">
        <f t="shared" si="12"/>
        <v>0</v>
      </c>
      <c r="W760" s="8">
        <f t="shared" si="13"/>
        <v>-11.35</v>
      </c>
      <c r="X760" s="8">
        <f t="shared" si="14"/>
        <v>11.35</v>
      </c>
      <c r="Y760" s="8">
        <f t="shared" si="15"/>
        <v>597.43</v>
      </c>
    </row>
    <row r="761">
      <c r="A761" s="2">
        <v>754.0</v>
      </c>
      <c r="B761" s="15">
        <f>IFERROR(__xludf.DUMMYFUNCTION("""COMPUTED_VALUE"""),43487.64583333333)</f>
        <v>43487.64583</v>
      </c>
      <c r="C761" s="8">
        <f>IFERROR(__xludf.DUMMYFUNCTION("""COMPUTED_VALUE"""),1979.4)</f>
        <v>1979.4</v>
      </c>
      <c r="E761" s="15">
        <f>IFERROR(__xludf.DUMMYFUNCTION("""COMPUTED_VALUE"""),43487.64583333333)</f>
        <v>43487.64583</v>
      </c>
      <c r="F761" s="8">
        <f>IFERROR(__xludf.DUMMYFUNCTION("""COMPUTED_VALUE"""),1067.93)</f>
        <v>1067.93</v>
      </c>
      <c r="H761" s="4">
        <f t="shared" si="1"/>
        <v>911.47</v>
      </c>
      <c r="I761" s="16">
        <f t="shared" si="2"/>
        <v>927.372</v>
      </c>
      <c r="J761" s="16">
        <f t="shared" si="3"/>
        <v>13.64637571</v>
      </c>
      <c r="K761" s="16">
        <f t="shared" si="4"/>
        <v>941.0183757</v>
      </c>
      <c r="L761" s="16">
        <f t="shared" si="5"/>
        <v>913.7256243</v>
      </c>
      <c r="N761" s="17" t="str">
        <f t="shared" si="6"/>
        <v>T</v>
      </c>
      <c r="O761" s="17" t="str">
        <f t="shared" si="7"/>
        <v>F</v>
      </c>
      <c r="P761" s="8">
        <f t="shared" si="8"/>
        <v>1</v>
      </c>
      <c r="R761" s="17" t="str">
        <f t="shared" si="9"/>
        <v>F</v>
      </c>
      <c r="S761" s="3" t="str">
        <f t="shared" si="10"/>
        <v>T</v>
      </c>
      <c r="T761" s="8">
        <f t="shared" si="11"/>
        <v>0</v>
      </c>
      <c r="V761" s="4">
        <f t="shared" si="12"/>
        <v>1</v>
      </c>
      <c r="W761" s="8">
        <f t="shared" si="13"/>
        <v>-18.9</v>
      </c>
      <c r="X761" s="8">
        <f t="shared" si="14"/>
        <v>0</v>
      </c>
      <c r="Y761" s="8">
        <f t="shared" si="15"/>
        <v>597.43</v>
      </c>
    </row>
    <row r="762">
      <c r="A762" s="2">
        <v>755.0</v>
      </c>
      <c r="B762" s="15">
        <f>IFERROR(__xludf.DUMMYFUNCTION("""COMPUTED_VALUE"""),43488.64583333333)</f>
        <v>43488.64583</v>
      </c>
      <c r="C762" s="8">
        <f>IFERROR(__xludf.DUMMYFUNCTION("""COMPUTED_VALUE"""),1958.25)</f>
        <v>1958.25</v>
      </c>
      <c r="E762" s="15">
        <f>IFERROR(__xludf.DUMMYFUNCTION("""COMPUTED_VALUE"""),43488.64583333333)</f>
        <v>43488.64583</v>
      </c>
      <c r="F762" s="8">
        <f>IFERROR(__xludf.DUMMYFUNCTION("""COMPUTED_VALUE"""),1052.7)</f>
        <v>1052.7</v>
      </c>
      <c r="H762" s="4">
        <f t="shared" si="1"/>
        <v>905.55</v>
      </c>
      <c r="I762" s="16">
        <f t="shared" si="2"/>
        <v>925.502</v>
      </c>
      <c r="J762" s="16">
        <f t="shared" si="3"/>
        <v>16.18686721</v>
      </c>
      <c r="K762" s="16">
        <f t="shared" si="4"/>
        <v>941.6888672</v>
      </c>
      <c r="L762" s="16">
        <f t="shared" si="5"/>
        <v>909.3151328</v>
      </c>
      <c r="N762" s="17" t="str">
        <f t="shared" si="6"/>
        <v>T</v>
      </c>
      <c r="O762" s="17" t="str">
        <f t="shared" si="7"/>
        <v>F</v>
      </c>
      <c r="P762" s="8">
        <f t="shared" si="8"/>
        <v>1</v>
      </c>
      <c r="R762" s="17" t="str">
        <f t="shared" si="9"/>
        <v>F</v>
      </c>
      <c r="S762" s="3" t="str">
        <f t="shared" si="10"/>
        <v>T</v>
      </c>
      <c r="T762" s="8">
        <f t="shared" si="11"/>
        <v>0</v>
      </c>
      <c r="V762" s="4">
        <f t="shared" si="12"/>
        <v>1</v>
      </c>
      <c r="W762" s="8">
        <f t="shared" si="13"/>
        <v>-5.92</v>
      </c>
      <c r="X762" s="8">
        <f t="shared" si="14"/>
        <v>-5.92</v>
      </c>
      <c r="Y762" s="8">
        <f t="shared" si="15"/>
        <v>591.51</v>
      </c>
    </row>
    <row r="763">
      <c r="A763" s="2">
        <v>756.0</v>
      </c>
      <c r="B763" s="15">
        <f>IFERROR(__xludf.DUMMYFUNCTION("""COMPUTED_VALUE"""),43489.64583333333)</f>
        <v>43489.64583</v>
      </c>
      <c r="C763" s="8">
        <f>IFERROR(__xludf.DUMMYFUNCTION("""COMPUTED_VALUE"""),1971.1)</f>
        <v>1971.1</v>
      </c>
      <c r="E763" s="15">
        <f>IFERROR(__xludf.DUMMYFUNCTION("""COMPUTED_VALUE"""),43489.64583333333)</f>
        <v>43489.64583</v>
      </c>
      <c r="F763" s="8">
        <f>IFERROR(__xludf.DUMMYFUNCTION("""COMPUTED_VALUE"""),1051.13)</f>
        <v>1051.13</v>
      </c>
      <c r="H763" s="4">
        <f t="shared" si="1"/>
        <v>919.97</v>
      </c>
      <c r="I763" s="16">
        <f t="shared" si="2"/>
        <v>921.816</v>
      </c>
      <c r="J763" s="16">
        <f t="shared" si="3"/>
        <v>14.52902543</v>
      </c>
      <c r="K763" s="16">
        <f t="shared" si="4"/>
        <v>936.3450254</v>
      </c>
      <c r="L763" s="16">
        <f t="shared" si="5"/>
        <v>907.2869746</v>
      </c>
      <c r="N763" s="17" t="str">
        <f t="shared" si="6"/>
        <v>F</v>
      </c>
      <c r="O763" s="17" t="str">
        <f t="shared" si="7"/>
        <v>F</v>
      </c>
      <c r="P763" s="8">
        <f t="shared" si="8"/>
        <v>1</v>
      </c>
      <c r="R763" s="17" t="str">
        <f t="shared" si="9"/>
        <v>F</v>
      </c>
      <c r="S763" s="3" t="str">
        <f t="shared" si="10"/>
        <v>T</v>
      </c>
      <c r="T763" s="8">
        <f t="shared" si="11"/>
        <v>0</v>
      </c>
      <c r="V763" s="4">
        <f t="shared" si="12"/>
        <v>1</v>
      </c>
      <c r="W763" s="8">
        <f t="shared" si="13"/>
        <v>14.42</v>
      </c>
      <c r="X763" s="8">
        <f t="shared" si="14"/>
        <v>14.42</v>
      </c>
      <c r="Y763" s="8">
        <f t="shared" si="15"/>
        <v>605.93</v>
      </c>
    </row>
    <row r="764">
      <c r="A764" s="2">
        <v>757.0</v>
      </c>
      <c r="B764" s="15">
        <f>IFERROR(__xludf.DUMMYFUNCTION("""COMPUTED_VALUE"""),43490.64583333333)</f>
        <v>43490.64583</v>
      </c>
      <c r="C764" s="8">
        <f>IFERROR(__xludf.DUMMYFUNCTION("""COMPUTED_VALUE"""),1977.8)</f>
        <v>1977.8</v>
      </c>
      <c r="E764" s="15">
        <f>IFERROR(__xludf.DUMMYFUNCTION("""COMPUTED_VALUE"""),43490.64583333333)</f>
        <v>43490.64583</v>
      </c>
      <c r="F764" s="8">
        <f>IFERROR(__xludf.DUMMYFUNCTION("""COMPUTED_VALUE"""),1048.0)</f>
        <v>1048</v>
      </c>
      <c r="H764" s="4">
        <f t="shared" si="1"/>
        <v>929.8</v>
      </c>
      <c r="I764" s="16">
        <f t="shared" si="2"/>
        <v>919.432</v>
      </c>
      <c r="J764" s="16">
        <f t="shared" si="3"/>
        <v>10.99463596</v>
      </c>
      <c r="K764" s="16">
        <f t="shared" si="4"/>
        <v>930.426636</v>
      </c>
      <c r="L764" s="16">
        <f t="shared" si="5"/>
        <v>908.437364</v>
      </c>
      <c r="N764" s="17" t="str">
        <f t="shared" si="6"/>
        <v>F</v>
      </c>
      <c r="O764" s="17" t="str">
        <f t="shared" si="7"/>
        <v>T</v>
      </c>
      <c r="P764" s="8">
        <f t="shared" si="8"/>
        <v>0</v>
      </c>
      <c r="R764" s="17" t="str">
        <f t="shared" si="9"/>
        <v>F</v>
      </c>
      <c r="S764" s="3" t="str">
        <f t="shared" si="10"/>
        <v>F</v>
      </c>
      <c r="T764" s="8">
        <f t="shared" si="11"/>
        <v>0</v>
      </c>
      <c r="V764" s="4">
        <f t="shared" si="12"/>
        <v>0</v>
      </c>
      <c r="W764" s="8">
        <f t="shared" si="13"/>
        <v>9.83</v>
      </c>
      <c r="X764" s="8">
        <f t="shared" si="14"/>
        <v>9.83</v>
      </c>
      <c r="Y764" s="8">
        <f t="shared" si="15"/>
        <v>615.76</v>
      </c>
    </row>
    <row r="765">
      <c r="A765" s="2">
        <v>758.0</v>
      </c>
      <c r="B765" s="15">
        <f>IFERROR(__xludf.DUMMYFUNCTION("""COMPUTED_VALUE"""),43493.64583333333)</f>
        <v>43493.64583</v>
      </c>
      <c r="C765" s="8">
        <f>IFERROR(__xludf.DUMMYFUNCTION("""COMPUTED_VALUE"""),1946.9)</f>
        <v>1946.9</v>
      </c>
      <c r="E765" s="15">
        <f>IFERROR(__xludf.DUMMYFUNCTION("""COMPUTED_VALUE"""),43493.64583333333)</f>
        <v>43493.64583</v>
      </c>
      <c r="F765" s="8">
        <f>IFERROR(__xludf.DUMMYFUNCTION("""COMPUTED_VALUE"""),1042.08)</f>
        <v>1042.08</v>
      </c>
      <c r="H765" s="4">
        <f t="shared" si="1"/>
        <v>904.82</v>
      </c>
      <c r="I765" s="16">
        <f t="shared" si="2"/>
        <v>914.322</v>
      </c>
      <c r="J765" s="16">
        <f t="shared" si="3"/>
        <v>10.56927481</v>
      </c>
      <c r="K765" s="16">
        <f t="shared" si="4"/>
        <v>924.8912748</v>
      </c>
      <c r="L765" s="16">
        <f t="shared" si="5"/>
        <v>903.7527252</v>
      </c>
      <c r="N765" s="17" t="str">
        <f t="shared" si="6"/>
        <v>F</v>
      </c>
      <c r="O765" s="17" t="str">
        <f t="shared" si="7"/>
        <v>F</v>
      </c>
      <c r="P765" s="8">
        <f t="shared" si="8"/>
        <v>0</v>
      </c>
      <c r="R765" s="17" t="str">
        <f t="shared" si="9"/>
        <v>F</v>
      </c>
      <c r="S765" s="3" t="str">
        <f t="shared" si="10"/>
        <v>T</v>
      </c>
      <c r="T765" s="8">
        <f t="shared" si="11"/>
        <v>0</v>
      </c>
      <c r="V765" s="4">
        <f t="shared" si="12"/>
        <v>0</v>
      </c>
      <c r="W765" s="8">
        <f t="shared" si="13"/>
        <v>-24.98</v>
      </c>
      <c r="X765" s="8">
        <f t="shared" si="14"/>
        <v>0</v>
      </c>
      <c r="Y765" s="8">
        <f t="shared" si="15"/>
        <v>615.76</v>
      </c>
    </row>
    <row r="766">
      <c r="A766" s="2">
        <v>759.0</v>
      </c>
      <c r="B766" s="15">
        <f>IFERROR(__xludf.DUMMYFUNCTION("""COMPUTED_VALUE"""),43494.64583333333)</f>
        <v>43494.64583</v>
      </c>
      <c r="C766" s="8">
        <f>IFERROR(__xludf.DUMMYFUNCTION("""COMPUTED_VALUE"""),1922.3)</f>
        <v>1922.3</v>
      </c>
      <c r="E766" s="15">
        <f>IFERROR(__xludf.DUMMYFUNCTION("""COMPUTED_VALUE"""),43494.64583333333)</f>
        <v>43494.64583</v>
      </c>
      <c r="F766" s="8">
        <f>IFERROR(__xludf.DUMMYFUNCTION("""COMPUTED_VALUE"""),1028.8)</f>
        <v>1028.8</v>
      </c>
      <c r="H766" s="4">
        <f t="shared" si="1"/>
        <v>893.5</v>
      </c>
      <c r="I766" s="16">
        <f t="shared" si="2"/>
        <v>910.728</v>
      </c>
      <c r="J766" s="16">
        <f t="shared" si="3"/>
        <v>14.20981949</v>
      </c>
      <c r="K766" s="16">
        <f t="shared" si="4"/>
        <v>924.9378195</v>
      </c>
      <c r="L766" s="16">
        <f t="shared" si="5"/>
        <v>896.5181805</v>
      </c>
      <c r="N766" s="17" t="str">
        <f t="shared" si="6"/>
        <v>T</v>
      </c>
      <c r="O766" s="17" t="str">
        <f t="shared" si="7"/>
        <v>F</v>
      </c>
      <c r="P766" s="8">
        <f t="shared" si="8"/>
        <v>1</v>
      </c>
      <c r="R766" s="17" t="str">
        <f t="shared" si="9"/>
        <v>F</v>
      </c>
      <c r="S766" s="3" t="str">
        <f t="shared" si="10"/>
        <v>T</v>
      </c>
      <c r="T766" s="8">
        <f t="shared" si="11"/>
        <v>0</v>
      </c>
      <c r="V766" s="4">
        <f t="shared" si="12"/>
        <v>1</v>
      </c>
      <c r="W766" s="8">
        <f t="shared" si="13"/>
        <v>-11.32</v>
      </c>
      <c r="X766" s="8">
        <f t="shared" si="14"/>
        <v>0</v>
      </c>
      <c r="Y766" s="8">
        <f t="shared" si="15"/>
        <v>615.76</v>
      </c>
    </row>
    <row r="767">
      <c r="A767" s="2">
        <v>760.0</v>
      </c>
      <c r="B767" s="15">
        <f>IFERROR(__xludf.DUMMYFUNCTION("""COMPUTED_VALUE"""),43495.64583333333)</f>
        <v>43495.64583</v>
      </c>
      <c r="C767" s="8">
        <f>IFERROR(__xludf.DUMMYFUNCTION("""COMPUTED_VALUE"""),1885.8)</f>
        <v>1885.8</v>
      </c>
      <c r="E767" s="15">
        <f>IFERROR(__xludf.DUMMYFUNCTION("""COMPUTED_VALUE"""),43495.64583333333)</f>
        <v>43495.64583</v>
      </c>
      <c r="F767" s="8">
        <f>IFERROR(__xludf.DUMMYFUNCTION("""COMPUTED_VALUE"""),1017.35)</f>
        <v>1017.35</v>
      </c>
      <c r="H767" s="4">
        <f t="shared" si="1"/>
        <v>868.45</v>
      </c>
      <c r="I767" s="16">
        <f t="shared" si="2"/>
        <v>903.308</v>
      </c>
      <c r="J767" s="16">
        <f t="shared" si="3"/>
        <v>23.94269972</v>
      </c>
      <c r="K767" s="16">
        <f t="shared" si="4"/>
        <v>927.2506997</v>
      </c>
      <c r="L767" s="16">
        <f t="shared" si="5"/>
        <v>879.3653003</v>
      </c>
      <c r="N767" s="17" t="str">
        <f t="shared" si="6"/>
        <v>T</v>
      </c>
      <c r="O767" s="17" t="str">
        <f t="shared" si="7"/>
        <v>F</v>
      </c>
      <c r="P767" s="8">
        <f t="shared" si="8"/>
        <v>1</v>
      </c>
      <c r="R767" s="17" t="str">
        <f t="shared" si="9"/>
        <v>F</v>
      </c>
      <c r="S767" s="3" t="str">
        <f t="shared" si="10"/>
        <v>T</v>
      </c>
      <c r="T767" s="8">
        <f t="shared" si="11"/>
        <v>0</v>
      </c>
      <c r="V767" s="4">
        <f t="shared" si="12"/>
        <v>1</v>
      </c>
      <c r="W767" s="8">
        <f t="shared" si="13"/>
        <v>-25.05</v>
      </c>
      <c r="X767" s="8">
        <f t="shared" si="14"/>
        <v>-25.05</v>
      </c>
      <c r="Y767" s="8">
        <f t="shared" si="15"/>
        <v>590.71</v>
      </c>
    </row>
    <row r="768">
      <c r="A768" s="2">
        <v>761.0</v>
      </c>
      <c r="B768" s="15">
        <f>IFERROR(__xludf.DUMMYFUNCTION("""COMPUTED_VALUE"""),43496.64583333333)</f>
        <v>43496.64583</v>
      </c>
      <c r="C768" s="8">
        <f>IFERROR(__xludf.DUMMYFUNCTION("""COMPUTED_VALUE"""),1922.35)</f>
        <v>1922.35</v>
      </c>
      <c r="E768" s="15">
        <f>IFERROR(__xludf.DUMMYFUNCTION("""COMPUTED_VALUE"""),43496.64583333333)</f>
        <v>43496.64583</v>
      </c>
      <c r="F768" s="8">
        <f>IFERROR(__xludf.DUMMYFUNCTION("""COMPUTED_VALUE"""),1039.97)</f>
        <v>1039.97</v>
      </c>
      <c r="H768" s="4">
        <f t="shared" si="1"/>
        <v>882.38</v>
      </c>
      <c r="I768" s="16">
        <f t="shared" si="2"/>
        <v>895.79</v>
      </c>
      <c r="J768" s="16">
        <f t="shared" si="3"/>
        <v>23.29575498</v>
      </c>
      <c r="K768" s="16">
        <f t="shared" si="4"/>
        <v>919.085755</v>
      </c>
      <c r="L768" s="16">
        <f t="shared" si="5"/>
        <v>872.494245</v>
      </c>
      <c r="N768" s="17" t="str">
        <f t="shared" si="6"/>
        <v>F</v>
      </c>
      <c r="O768" s="17" t="str">
        <f t="shared" si="7"/>
        <v>F</v>
      </c>
      <c r="P768" s="8">
        <f t="shared" si="8"/>
        <v>1</v>
      </c>
      <c r="R768" s="17" t="str">
        <f t="shared" si="9"/>
        <v>F</v>
      </c>
      <c r="S768" s="3" t="str">
        <f t="shared" si="10"/>
        <v>T</v>
      </c>
      <c r="T768" s="8">
        <f t="shared" si="11"/>
        <v>0</v>
      </c>
      <c r="V768" s="4">
        <f t="shared" si="12"/>
        <v>1</v>
      </c>
      <c r="W768" s="8">
        <f t="shared" si="13"/>
        <v>13.93</v>
      </c>
      <c r="X768" s="8">
        <f t="shared" si="14"/>
        <v>13.93</v>
      </c>
      <c r="Y768" s="8">
        <f t="shared" si="15"/>
        <v>604.64</v>
      </c>
    </row>
    <row r="769">
      <c r="A769" s="2">
        <v>762.0</v>
      </c>
      <c r="B769" s="15">
        <f>IFERROR(__xludf.DUMMYFUNCTION("""COMPUTED_VALUE"""),43497.64583333333)</f>
        <v>43497.64583</v>
      </c>
      <c r="C769" s="8">
        <f>IFERROR(__xludf.DUMMYFUNCTION("""COMPUTED_VALUE"""),1961.25)</f>
        <v>1961.25</v>
      </c>
      <c r="E769" s="15">
        <f>IFERROR(__xludf.DUMMYFUNCTION("""COMPUTED_VALUE"""),43497.64583333333)</f>
        <v>43497.64583</v>
      </c>
      <c r="F769" s="8">
        <f>IFERROR(__xludf.DUMMYFUNCTION("""COMPUTED_VALUE"""),1045.22)</f>
        <v>1045.22</v>
      </c>
      <c r="H769" s="4">
        <f t="shared" si="1"/>
        <v>916.03</v>
      </c>
      <c r="I769" s="16">
        <f t="shared" si="2"/>
        <v>893.036</v>
      </c>
      <c r="J769" s="16">
        <f t="shared" si="3"/>
        <v>18.61332668</v>
      </c>
      <c r="K769" s="16">
        <f t="shared" si="4"/>
        <v>911.6493267</v>
      </c>
      <c r="L769" s="16">
        <f t="shared" si="5"/>
        <v>874.4226733</v>
      </c>
      <c r="N769" s="17" t="str">
        <f t="shared" si="6"/>
        <v>F</v>
      </c>
      <c r="O769" s="17" t="str">
        <f t="shared" si="7"/>
        <v>T</v>
      </c>
      <c r="P769" s="8">
        <f t="shared" si="8"/>
        <v>0</v>
      </c>
      <c r="R769" s="17" t="str">
        <f t="shared" si="9"/>
        <v>T</v>
      </c>
      <c r="S769" s="3" t="str">
        <f t="shared" si="10"/>
        <v>F</v>
      </c>
      <c r="T769" s="8">
        <f t="shared" si="11"/>
        <v>-1</v>
      </c>
      <c r="V769" s="4">
        <f t="shared" si="12"/>
        <v>-1</v>
      </c>
      <c r="W769" s="8">
        <f t="shared" si="13"/>
        <v>33.65</v>
      </c>
      <c r="X769" s="8">
        <f t="shared" si="14"/>
        <v>33.65</v>
      </c>
      <c r="Y769" s="8">
        <f t="shared" si="15"/>
        <v>638.29</v>
      </c>
    </row>
    <row r="770">
      <c r="A770" s="2">
        <v>763.0</v>
      </c>
      <c r="B770" s="15">
        <f>IFERROR(__xludf.DUMMYFUNCTION("""COMPUTED_VALUE"""),43500.64583333333)</f>
        <v>43500.64583</v>
      </c>
      <c r="C770" s="8">
        <f>IFERROR(__xludf.DUMMYFUNCTION("""COMPUTED_VALUE"""),1978.5)</f>
        <v>1978.5</v>
      </c>
      <c r="E770" s="15">
        <f>IFERROR(__xludf.DUMMYFUNCTION("""COMPUTED_VALUE"""),43500.64583333333)</f>
        <v>43500.64583</v>
      </c>
      <c r="F770" s="8">
        <f>IFERROR(__xludf.DUMMYFUNCTION("""COMPUTED_VALUE"""),1052.45)</f>
        <v>1052.45</v>
      </c>
      <c r="H770" s="4">
        <f t="shared" si="1"/>
        <v>926.05</v>
      </c>
      <c r="I770" s="16">
        <f t="shared" si="2"/>
        <v>897.282</v>
      </c>
      <c r="J770" s="16">
        <f t="shared" si="3"/>
        <v>23.69990865</v>
      </c>
      <c r="K770" s="16">
        <f t="shared" si="4"/>
        <v>920.9819086</v>
      </c>
      <c r="L770" s="16">
        <f t="shared" si="5"/>
        <v>873.5820914</v>
      </c>
      <c r="N770" s="17" t="str">
        <f t="shared" si="6"/>
        <v>F</v>
      </c>
      <c r="O770" s="17" t="str">
        <f t="shared" si="7"/>
        <v>T</v>
      </c>
      <c r="P770" s="8">
        <f t="shared" si="8"/>
        <v>0</v>
      </c>
      <c r="R770" s="17" t="str">
        <f t="shared" si="9"/>
        <v>T</v>
      </c>
      <c r="S770" s="3" t="str">
        <f t="shared" si="10"/>
        <v>F</v>
      </c>
      <c r="T770" s="8">
        <f t="shared" si="11"/>
        <v>-1</v>
      </c>
      <c r="V770" s="4">
        <f t="shared" si="12"/>
        <v>-1</v>
      </c>
      <c r="W770" s="8">
        <f t="shared" si="13"/>
        <v>10.02</v>
      </c>
      <c r="X770" s="8">
        <f t="shared" si="14"/>
        <v>-10.02</v>
      </c>
      <c r="Y770" s="8">
        <f t="shared" si="15"/>
        <v>628.27</v>
      </c>
    </row>
    <row r="771">
      <c r="A771" s="2">
        <v>764.0</v>
      </c>
      <c r="B771" s="15">
        <f>IFERROR(__xludf.DUMMYFUNCTION("""COMPUTED_VALUE"""),43501.64583333333)</f>
        <v>43501.64583</v>
      </c>
      <c r="C771" s="8">
        <f>IFERROR(__xludf.DUMMYFUNCTION("""COMPUTED_VALUE"""),1981.4)</f>
        <v>1981.4</v>
      </c>
      <c r="E771" s="15">
        <f>IFERROR(__xludf.DUMMYFUNCTION("""COMPUTED_VALUE"""),43501.64583333333)</f>
        <v>43501.64583</v>
      </c>
      <c r="F771" s="8">
        <f>IFERROR(__xludf.DUMMYFUNCTION("""COMPUTED_VALUE"""),1057.03)</f>
        <v>1057.03</v>
      </c>
      <c r="H771" s="4">
        <f t="shared" si="1"/>
        <v>924.37</v>
      </c>
      <c r="I771" s="16">
        <f t="shared" si="2"/>
        <v>903.456</v>
      </c>
      <c r="J771" s="16">
        <f t="shared" si="3"/>
        <v>26.34201739</v>
      </c>
      <c r="K771" s="16">
        <f t="shared" si="4"/>
        <v>929.7980174</v>
      </c>
      <c r="L771" s="16">
        <f t="shared" si="5"/>
        <v>877.1139826</v>
      </c>
      <c r="N771" s="17" t="str">
        <f t="shared" si="6"/>
        <v>F</v>
      </c>
      <c r="O771" s="17" t="str">
        <f t="shared" si="7"/>
        <v>T</v>
      </c>
      <c r="P771" s="8">
        <f t="shared" si="8"/>
        <v>0</v>
      </c>
      <c r="R771" s="17" t="str">
        <f t="shared" si="9"/>
        <v>F</v>
      </c>
      <c r="S771" s="3" t="str">
        <f t="shared" si="10"/>
        <v>F</v>
      </c>
      <c r="T771" s="8">
        <f t="shared" si="11"/>
        <v>-1</v>
      </c>
      <c r="V771" s="4">
        <f t="shared" si="12"/>
        <v>-1</v>
      </c>
      <c r="W771" s="8">
        <f t="shared" si="13"/>
        <v>-1.68</v>
      </c>
      <c r="X771" s="8">
        <f t="shared" si="14"/>
        <v>1.68</v>
      </c>
      <c r="Y771" s="8">
        <f t="shared" si="15"/>
        <v>629.95</v>
      </c>
    </row>
    <row r="772">
      <c r="A772" s="2">
        <v>765.0</v>
      </c>
      <c r="B772" s="15">
        <f>IFERROR(__xludf.DUMMYFUNCTION("""COMPUTED_VALUE"""),43502.64583333333)</f>
        <v>43502.64583</v>
      </c>
      <c r="C772" s="8">
        <f>IFERROR(__xludf.DUMMYFUNCTION("""COMPUTED_VALUE"""),1987.95)</f>
        <v>1987.95</v>
      </c>
      <c r="E772" s="15">
        <f>IFERROR(__xludf.DUMMYFUNCTION("""COMPUTED_VALUE"""),43502.64583333333)</f>
        <v>43502.64583</v>
      </c>
      <c r="F772" s="8">
        <f>IFERROR(__xludf.DUMMYFUNCTION("""COMPUTED_VALUE"""),1061.33)</f>
        <v>1061.33</v>
      </c>
      <c r="H772" s="4">
        <f t="shared" si="1"/>
        <v>926.62</v>
      </c>
      <c r="I772" s="16">
        <f t="shared" si="2"/>
        <v>915.09</v>
      </c>
      <c r="J772" s="16">
        <f t="shared" si="3"/>
        <v>18.77504061</v>
      </c>
      <c r="K772" s="16">
        <f t="shared" si="4"/>
        <v>933.8650406</v>
      </c>
      <c r="L772" s="16">
        <f t="shared" si="5"/>
        <v>896.3149594</v>
      </c>
      <c r="N772" s="17" t="str">
        <f t="shared" si="6"/>
        <v>F</v>
      </c>
      <c r="O772" s="17" t="str">
        <f t="shared" si="7"/>
        <v>T</v>
      </c>
      <c r="P772" s="8">
        <f t="shared" si="8"/>
        <v>0</v>
      </c>
      <c r="R772" s="17" t="str">
        <f t="shared" si="9"/>
        <v>F</v>
      </c>
      <c r="S772" s="3" t="str">
        <f t="shared" si="10"/>
        <v>F</v>
      </c>
      <c r="T772" s="8">
        <f t="shared" si="11"/>
        <v>-1</v>
      </c>
      <c r="V772" s="4">
        <f t="shared" si="12"/>
        <v>-1</v>
      </c>
      <c r="W772" s="8">
        <f t="shared" si="13"/>
        <v>2.25</v>
      </c>
      <c r="X772" s="8">
        <f t="shared" si="14"/>
        <v>-2.25</v>
      </c>
      <c r="Y772" s="8">
        <f t="shared" si="15"/>
        <v>627.7</v>
      </c>
    </row>
    <row r="773">
      <c r="A773" s="2">
        <v>766.0</v>
      </c>
      <c r="B773" s="15">
        <f>IFERROR(__xludf.DUMMYFUNCTION("""COMPUTED_VALUE"""),43503.64583333333)</f>
        <v>43503.64583</v>
      </c>
      <c r="C773" s="8">
        <f>IFERROR(__xludf.DUMMYFUNCTION("""COMPUTED_VALUE"""),1969.65)</f>
        <v>1969.65</v>
      </c>
      <c r="E773" s="15">
        <f>IFERROR(__xludf.DUMMYFUNCTION("""COMPUTED_VALUE"""),43503.64583333333)</f>
        <v>43503.64583</v>
      </c>
      <c r="F773" s="8">
        <f>IFERROR(__xludf.DUMMYFUNCTION("""COMPUTED_VALUE"""),1058.63)</f>
        <v>1058.63</v>
      </c>
      <c r="H773" s="4">
        <f t="shared" si="1"/>
        <v>911.02</v>
      </c>
      <c r="I773" s="16">
        <f t="shared" si="2"/>
        <v>920.818</v>
      </c>
      <c r="J773" s="16">
        <f t="shared" si="3"/>
        <v>6.938650445</v>
      </c>
      <c r="K773" s="16">
        <f t="shared" si="4"/>
        <v>927.7566504</v>
      </c>
      <c r="L773" s="16">
        <f t="shared" si="5"/>
        <v>913.8793496</v>
      </c>
      <c r="N773" s="17" t="str">
        <f t="shared" si="6"/>
        <v>T</v>
      </c>
      <c r="O773" s="17" t="str">
        <f t="shared" si="7"/>
        <v>F</v>
      </c>
      <c r="P773" s="8">
        <f t="shared" si="8"/>
        <v>1</v>
      </c>
      <c r="R773" s="17" t="str">
        <f t="shared" si="9"/>
        <v>F</v>
      </c>
      <c r="S773" s="3" t="str">
        <f t="shared" si="10"/>
        <v>T</v>
      </c>
      <c r="T773" s="8">
        <f t="shared" si="11"/>
        <v>0</v>
      </c>
      <c r="V773" s="4">
        <f t="shared" si="12"/>
        <v>1</v>
      </c>
      <c r="W773" s="8">
        <f t="shared" si="13"/>
        <v>-15.6</v>
      </c>
      <c r="X773" s="8">
        <f t="shared" si="14"/>
        <v>15.6</v>
      </c>
      <c r="Y773" s="8">
        <f t="shared" si="15"/>
        <v>643.3</v>
      </c>
    </row>
    <row r="774">
      <c r="A774" s="2">
        <v>767.0</v>
      </c>
      <c r="B774" s="15">
        <f>IFERROR(__xludf.DUMMYFUNCTION("""COMPUTED_VALUE"""),43504.64583333333)</f>
        <v>43504.64583</v>
      </c>
      <c r="C774" s="8">
        <f>IFERROR(__xludf.DUMMYFUNCTION("""COMPUTED_VALUE"""),1944.65)</f>
        <v>1944.65</v>
      </c>
      <c r="E774" s="15">
        <f>IFERROR(__xludf.DUMMYFUNCTION("""COMPUTED_VALUE"""),43504.64583333333)</f>
        <v>43504.64583</v>
      </c>
      <c r="F774" s="8">
        <f>IFERROR(__xludf.DUMMYFUNCTION("""COMPUTED_VALUE"""),1061.33)</f>
        <v>1061.33</v>
      </c>
      <c r="H774" s="4">
        <f t="shared" si="1"/>
        <v>883.32</v>
      </c>
      <c r="I774" s="16">
        <f t="shared" si="2"/>
        <v>914.276</v>
      </c>
      <c r="J774" s="16">
        <f t="shared" si="3"/>
        <v>18.45105498</v>
      </c>
      <c r="K774" s="16">
        <f t="shared" si="4"/>
        <v>932.727055</v>
      </c>
      <c r="L774" s="16">
        <f t="shared" si="5"/>
        <v>895.824945</v>
      </c>
      <c r="N774" s="17" t="str">
        <f t="shared" si="6"/>
        <v>T</v>
      </c>
      <c r="O774" s="17" t="str">
        <f t="shared" si="7"/>
        <v>F</v>
      </c>
      <c r="P774" s="8">
        <f t="shared" si="8"/>
        <v>1</v>
      </c>
      <c r="R774" s="17" t="str">
        <f t="shared" si="9"/>
        <v>F</v>
      </c>
      <c r="S774" s="3" t="str">
        <f t="shared" si="10"/>
        <v>T</v>
      </c>
      <c r="T774" s="8">
        <f t="shared" si="11"/>
        <v>0</v>
      </c>
      <c r="V774" s="4">
        <f t="shared" si="12"/>
        <v>1</v>
      </c>
      <c r="W774" s="8">
        <f t="shared" si="13"/>
        <v>-27.7</v>
      </c>
      <c r="X774" s="8">
        <f t="shared" si="14"/>
        <v>-27.7</v>
      </c>
      <c r="Y774" s="8">
        <f t="shared" si="15"/>
        <v>615.6</v>
      </c>
    </row>
    <row r="775">
      <c r="A775" s="2">
        <v>768.0</v>
      </c>
      <c r="B775" s="15">
        <f>IFERROR(__xludf.DUMMYFUNCTION("""COMPUTED_VALUE"""),43507.64583333333)</f>
        <v>43507.64583</v>
      </c>
      <c r="C775" s="8">
        <f>IFERROR(__xludf.DUMMYFUNCTION("""COMPUTED_VALUE"""),1948.2)</f>
        <v>1948.2</v>
      </c>
      <c r="E775" s="15">
        <f>IFERROR(__xludf.DUMMYFUNCTION("""COMPUTED_VALUE"""),43507.64583333333)</f>
        <v>43507.64583</v>
      </c>
      <c r="F775" s="8">
        <f>IFERROR(__xludf.DUMMYFUNCTION("""COMPUTED_VALUE"""),1069.83)</f>
        <v>1069.83</v>
      </c>
      <c r="H775" s="4">
        <f t="shared" si="1"/>
        <v>878.37</v>
      </c>
      <c r="I775" s="16">
        <f t="shared" si="2"/>
        <v>904.74</v>
      </c>
      <c r="J775" s="16">
        <f t="shared" si="3"/>
        <v>22.68095567</v>
      </c>
      <c r="K775" s="16">
        <f t="shared" si="4"/>
        <v>927.4209557</v>
      </c>
      <c r="L775" s="16">
        <f t="shared" si="5"/>
        <v>882.0590443</v>
      </c>
      <c r="N775" s="17" t="str">
        <f t="shared" si="6"/>
        <v>T</v>
      </c>
      <c r="O775" s="17" t="str">
        <f t="shared" si="7"/>
        <v>F</v>
      </c>
      <c r="P775" s="8">
        <f t="shared" si="8"/>
        <v>1</v>
      </c>
      <c r="R775" s="17" t="str">
        <f t="shared" si="9"/>
        <v>F</v>
      </c>
      <c r="S775" s="3" t="str">
        <f t="shared" si="10"/>
        <v>T</v>
      </c>
      <c r="T775" s="8">
        <f t="shared" si="11"/>
        <v>0</v>
      </c>
      <c r="V775" s="4">
        <f t="shared" si="12"/>
        <v>1</v>
      </c>
      <c r="W775" s="8">
        <f t="shared" si="13"/>
        <v>-4.95</v>
      </c>
      <c r="X775" s="8">
        <f t="shared" si="14"/>
        <v>-4.95</v>
      </c>
      <c r="Y775" s="8">
        <f t="shared" si="15"/>
        <v>610.65</v>
      </c>
    </row>
    <row r="776">
      <c r="A776" s="2">
        <v>769.0</v>
      </c>
      <c r="B776" s="15">
        <f>IFERROR(__xludf.DUMMYFUNCTION("""COMPUTED_VALUE"""),43508.64583333333)</f>
        <v>43508.64583</v>
      </c>
      <c r="C776" s="8">
        <f>IFERROR(__xludf.DUMMYFUNCTION("""COMPUTED_VALUE"""),1905.05)</f>
        <v>1905.05</v>
      </c>
      <c r="E776" s="15">
        <f>IFERROR(__xludf.DUMMYFUNCTION("""COMPUTED_VALUE"""),43508.64583333333)</f>
        <v>43508.64583</v>
      </c>
      <c r="F776" s="8">
        <f>IFERROR(__xludf.DUMMYFUNCTION("""COMPUTED_VALUE"""),1064.85)</f>
        <v>1064.85</v>
      </c>
      <c r="H776" s="4">
        <f t="shared" si="1"/>
        <v>840.2</v>
      </c>
      <c r="I776" s="16">
        <f t="shared" si="2"/>
        <v>887.906</v>
      </c>
      <c r="J776" s="16">
        <f t="shared" si="3"/>
        <v>33.24477372</v>
      </c>
      <c r="K776" s="16">
        <f t="shared" si="4"/>
        <v>921.1507737</v>
      </c>
      <c r="L776" s="16">
        <f t="shared" si="5"/>
        <v>854.6612263</v>
      </c>
      <c r="N776" s="17" t="str">
        <f t="shared" si="6"/>
        <v>T</v>
      </c>
      <c r="O776" s="17" t="str">
        <f t="shared" si="7"/>
        <v>F</v>
      </c>
      <c r="P776" s="8">
        <f t="shared" si="8"/>
        <v>1</v>
      </c>
      <c r="R776" s="17" t="str">
        <f t="shared" si="9"/>
        <v>F</v>
      </c>
      <c r="S776" s="3" t="str">
        <f t="shared" si="10"/>
        <v>T</v>
      </c>
      <c r="T776" s="8">
        <f t="shared" si="11"/>
        <v>0</v>
      </c>
      <c r="V776" s="4">
        <f t="shared" si="12"/>
        <v>1</v>
      </c>
      <c r="W776" s="8">
        <f t="shared" si="13"/>
        <v>-38.17</v>
      </c>
      <c r="X776" s="8">
        <f t="shared" si="14"/>
        <v>-38.17</v>
      </c>
      <c r="Y776" s="8">
        <f t="shared" si="15"/>
        <v>572.48</v>
      </c>
    </row>
    <row r="777">
      <c r="A777" s="2">
        <v>770.0</v>
      </c>
      <c r="B777" s="15">
        <f>IFERROR(__xludf.DUMMYFUNCTION("""COMPUTED_VALUE"""),43509.64583333333)</f>
        <v>43509.64583</v>
      </c>
      <c r="C777" s="8">
        <f>IFERROR(__xludf.DUMMYFUNCTION("""COMPUTED_VALUE"""),1930.5)</f>
        <v>1930.5</v>
      </c>
      <c r="E777" s="15">
        <f>IFERROR(__xludf.DUMMYFUNCTION("""COMPUTED_VALUE"""),43509.64583333333)</f>
        <v>43509.64583</v>
      </c>
      <c r="F777" s="8">
        <f>IFERROR(__xludf.DUMMYFUNCTION("""COMPUTED_VALUE"""),1071.72)</f>
        <v>1071.72</v>
      </c>
      <c r="H777" s="4">
        <f t="shared" si="1"/>
        <v>858.78</v>
      </c>
      <c r="I777" s="16">
        <f t="shared" si="2"/>
        <v>874.338</v>
      </c>
      <c r="J777" s="16">
        <f t="shared" si="3"/>
        <v>26.6924937</v>
      </c>
      <c r="K777" s="16">
        <f t="shared" si="4"/>
        <v>901.0304937</v>
      </c>
      <c r="L777" s="16">
        <f t="shared" si="5"/>
        <v>847.6455063</v>
      </c>
      <c r="N777" s="17" t="str">
        <f t="shared" si="6"/>
        <v>F</v>
      </c>
      <c r="O777" s="17" t="str">
        <f t="shared" si="7"/>
        <v>F</v>
      </c>
      <c r="P777" s="8">
        <f t="shared" si="8"/>
        <v>1</v>
      </c>
      <c r="R777" s="17" t="str">
        <f t="shared" si="9"/>
        <v>F</v>
      </c>
      <c r="S777" s="3" t="str">
        <f t="shared" si="10"/>
        <v>T</v>
      </c>
      <c r="T777" s="8">
        <f t="shared" si="11"/>
        <v>0</v>
      </c>
      <c r="V777" s="4">
        <f t="shared" si="12"/>
        <v>1</v>
      </c>
      <c r="W777" s="8">
        <f t="shared" si="13"/>
        <v>18.58</v>
      </c>
      <c r="X777" s="8">
        <f t="shared" si="14"/>
        <v>18.58</v>
      </c>
      <c r="Y777" s="8">
        <f t="shared" si="15"/>
        <v>591.06</v>
      </c>
    </row>
    <row r="778">
      <c r="A778" s="2">
        <v>771.0</v>
      </c>
      <c r="B778" s="15">
        <f>IFERROR(__xludf.DUMMYFUNCTION("""COMPUTED_VALUE"""),43510.64583333333)</f>
        <v>43510.64583</v>
      </c>
      <c r="C778" s="8">
        <f>IFERROR(__xludf.DUMMYFUNCTION("""COMPUTED_VALUE"""),1900.7)</f>
        <v>1900.7</v>
      </c>
      <c r="E778" s="15">
        <f>IFERROR(__xludf.DUMMYFUNCTION("""COMPUTED_VALUE"""),43510.64583333333)</f>
        <v>43510.64583</v>
      </c>
      <c r="F778" s="8">
        <f>IFERROR(__xludf.DUMMYFUNCTION("""COMPUTED_VALUE"""),1055.1)</f>
        <v>1055.1</v>
      </c>
      <c r="H778" s="4">
        <f t="shared" si="1"/>
        <v>845.6</v>
      </c>
      <c r="I778" s="16">
        <f t="shared" si="2"/>
        <v>861.254</v>
      </c>
      <c r="J778" s="16">
        <f t="shared" si="3"/>
        <v>19.19834055</v>
      </c>
      <c r="K778" s="16">
        <f t="shared" si="4"/>
        <v>880.4523406</v>
      </c>
      <c r="L778" s="16">
        <f t="shared" si="5"/>
        <v>842.0556594</v>
      </c>
      <c r="N778" s="17" t="str">
        <f t="shared" si="6"/>
        <v>F</v>
      </c>
      <c r="O778" s="17" t="str">
        <f t="shared" si="7"/>
        <v>F</v>
      </c>
      <c r="P778" s="8">
        <f t="shared" si="8"/>
        <v>1</v>
      </c>
      <c r="R778" s="17" t="str">
        <f t="shared" si="9"/>
        <v>F</v>
      </c>
      <c r="S778" s="3" t="str">
        <f t="shared" si="10"/>
        <v>T</v>
      </c>
      <c r="T778" s="8">
        <f t="shared" si="11"/>
        <v>0</v>
      </c>
      <c r="V778" s="4">
        <f t="shared" si="12"/>
        <v>1</v>
      </c>
      <c r="W778" s="8">
        <f t="shared" si="13"/>
        <v>-13.18</v>
      </c>
      <c r="X778" s="8">
        <f t="shared" si="14"/>
        <v>-13.18</v>
      </c>
      <c r="Y778" s="8">
        <f t="shared" si="15"/>
        <v>577.88</v>
      </c>
    </row>
    <row r="779">
      <c r="A779" s="2">
        <v>772.0</v>
      </c>
      <c r="B779" s="15">
        <f>IFERROR(__xludf.DUMMYFUNCTION("""COMPUTED_VALUE"""),43511.64583333333)</f>
        <v>43511.64583</v>
      </c>
      <c r="C779" s="8">
        <f>IFERROR(__xludf.DUMMYFUNCTION("""COMPUTED_VALUE"""),1874.9)</f>
        <v>1874.9</v>
      </c>
      <c r="E779" s="15">
        <f>IFERROR(__xludf.DUMMYFUNCTION("""COMPUTED_VALUE"""),43511.64583333333)</f>
        <v>43511.64583</v>
      </c>
      <c r="F779" s="8">
        <f>IFERROR(__xludf.DUMMYFUNCTION("""COMPUTED_VALUE"""),1050.33)</f>
        <v>1050.33</v>
      </c>
      <c r="H779" s="4">
        <f t="shared" si="1"/>
        <v>824.57</v>
      </c>
      <c r="I779" s="16">
        <f t="shared" si="2"/>
        <v>849.504</v>
      </c>
      <c r="J779" s="16">
        <f t="shared" si="3"/>
        <v>20.26573537</v>
      </c>
      <c r="K779" s="16">
        <f t="shared" si="4"/>
        <v>869.7697354</v>
      </c>
      <c r="L779" s="16">
        <f t="shared" si="5"/>
        <v>829.2382646</v>
      </c>
      <c r="N779" s="17" t="str">
        <f t="shared" si="6"/>
        <v>T</v>
      </c>
      <c r="O779" s="17" t="str">
        <f t="shared" si="7"/>
        <v>F</v>
      </c>
      <c r="P779" s="8">
        <f t="shared" si="8"/>
        <v>1</v>
      </c>
      <c r="R779" s="17" t="str">
        <f t="shared" si="9"/>
        <v>F</v>
      </c>
      <c r="S779" s="3" t="str">
        <f t="shared" si="10"/>
        <v>T</v>
      </c>
      <c r="T779" s="8">
        <f t="shared" si="11"/>
        <v>0</v>
      </c>
      <c r="V779" s="4">
        <f t="shared" si="12"/>
        <v>1</v>
      </c>
      <c r="W779" s="8">
        <f t="shared" si="13"/>
        <v>-21.03</v>
      </c>
      <c r="X779" s="8">
        <f t="shared" si="14"/>
        <v>-21.03</v>
      </c>
      <c r="Y779" s="8">
        <f t="shared" si="15"/>
        <v>556.85</v>
      </c>
    </row>
    <row r="780">
      <c r="A780" s="2">
        <v>773.0</v>
      </c>
      <c r="B780" s="15">
        <f>IFERROR(__xludf.DUMMYFUNCTION("""COMPUTED_VALUE"""),43514.64583333333)</f>
        <v>43514.64583</v>
      </c>
      <c r="C780" s="8">
        <f>IFERROR(__xludf.DUMMYFUNCTION("""COMPUTED_VALUE"""),1874.85)</f>
        <v>1874.85</v>
      </c>
      <c r="E780" s="15">
        <f>IFERROR(__xludf.DUMMYFUNCTION("""COMPUTED_VALUE"""),43514.64583333333)</f>
        <v>43514.64583</v>
      </c>
      <c r="F780" s="8">
        <f>IFERROR(__xludf.DUMMYFUNCTION("""COMPUTED_VALUE"""),1044.95)</f>
        <v>1044.95</v>
      </c>
      <c r="H780" s="4">
        <f t="shared" si="1"/>
        <v>829.9</v>
      </c>
      <c r="I780" s="16">
        <f t="shared" si="2"/>
        <v>839.81</v>
      </c>
      <c r="J780" s="16">
        <f t="shared" si="3"/>
        <v>13.45365006</v>
      </c>
      <c r="K780" s="16">
        <f t="shared" si="4"/>
        <v>853.2636501</v>
      </c>
      <c r="L780" s="16">
        <f t="shared" si="5"/>
        <v>826.3563499</v>
      </c>
      <c r="N780" s="17" t="str">
        <f t="shared" si="6"/>
        <v>F</v>
      </c>
      <c r="O780" s="17" t="str">
        <f t="shared" si="7"/>
        <v>F</v>
      </c>
      <c r="P780" s="8">
        <f t="shared" si="8"/>
        <v>1</v>
      </c>
      <c r="R780" s="17" t="str">
        <f t="shared" si="9"/>
        <v>F</v>
      </c>
      <c r="S780" s="3" t="str">
        <f t="shared" si="10"/>
        <v>T</v>
      </c>
      <c r="T780" s="8">
        <f t="shared" si="11"/>
        <v>0</v>
      </c>
      <c r="V780" s="4">
        <f t="shared" si="12"/>
        <v>1</v>
      </c>
      <c r="W780" s="8">
        <f t="shared" si="13"/>
        <v>5.33</v>
      </c>
      <c r="X780" s="8">
        <f t="shared" si="14"/>
        <v>5.33</v>
      </c>
      <c r="Y780" s="8">
        <f t="shared" si="15"/>
        <v>562.18</v>
      </c>
    </row>
    <row r="781">
      <c r="A781" s="2">
        <v>774.0</v>
      </c>
      <c r="B781" s="15">
        <f>IFERROR(__xludf.DUMMYFUNCTION("""COMPUTED_VALUE"""),43515.64583333333)</f>
        <v>43515.64583</v>
      </c>
      <c r="C781" s="8">
        <f>IFERROR(__xludf.DUMMYFUNCTION("""COMPUTED_VALUE"""),1853.45)</f>
        <v>1853.45</v>
      </c>
      <c r="E781" s="15">
        <f>IFERROR(__xludf.DUMMYFUNCTION("""COMPUTED_VALUE"""),43515.64583333333)</f>
        <v>43515.64583</v>
      </c>
      <c r="F781" s="8">
        <f>IFERROR(__xludf.DUMMYFUNCTION("""COMPUTED_VALUE"""),1042.03)</f>
        <v>1042.03</v>
      </c>
      <c r="H781" s="4">
        <f t="shared" si="1"/>
        <v>811.42</v>
      </c>
      <c r="I781" s="16">
        <f t="shared" si="2"/>
        <v>834.054</v>
      </c>
      <c r="J781" s="16">
        <f t="shared" si="3"/>
        <v>18.46743837</v>
      </c>
      <c r="K781" s="16">
        <f t="shared" si="4"/>
        <v>852.5214384</v>
      </c>
      <c r="L781" s="16">
        <f t="shared" si="5"/>
        <v>815.5865616</v>
      </c>
      <c r="N781" s="17" t="str">
        <f t="shared" si="6"/>
        <v>T</v>
      </c>
      <c r="O781" s="17" t="str">
        <f t="shared" si="7"/>
        <v>F</v>
      </c>
      <c r="P781" s="8">
        <f t="shared" si="8"/>
        <v>1</v>
      </c>
      <c r="R781" s="17" t="str">
        <f t="shared" si="9"/>
        <v>F</v>
      </c>
      <c r="S781" s="3" t="str">
        <f t="shared" si="10"/>
        <v>T</v>
      </c>
      <c r="T781" s="8">
        <f t="shared" si="11"/>
        <v>0</v>
      </c>
      <c r="V781" s="4">
        <f t="shared" si="12"/>
        <v>1</v>
      </c>
      <c r="W781" s="8">
        <f t="shared" si="13"/>
        <v>-18.48</v>
      </c>
      <c r="X781" s="8">
        <f t="shared" si="14"/>
        <v>-18.48</v>
      </c>
      <c r="Y781" s="8">
        <f t="shared" si="15"/>
        <v>543.7</v>
      </c>
    </row>
    <row r="782">
      <c r="A782" s="2">
        <v>775.0</v>
      </c>
      <c r="B782" s="15">
        <f>IFERROR(__xludf.DUMMYFUNCTION("""COMPUTED_VALUE"""),43516.64583333333)</f>
        <v>43516.64583</v>
      </c>
      <c r="C782" s="8">
        <f>IFERROR(__xludf.DUMMYFUNCTION("""COMPUTED_VALUE"""),1870.5)</f>
        <v>1870.5</v>
      </c>
      <c r="E782" s="15">
        <f>IFERROR(__xludf.DUMMYFUNCTION("""COMPUTED_VALUE"""),43516.64583333333)</f>
        <v>43516.64583</v>
      </c>
      <c r="F782" s="8">
        <f>IFERROR(__xludf.DUMMYFUNCTION("""COMPUTED_VALUE"""),1054.18)</f>
        <v>1054.18</v>
      </c>
      <c r="H782" s="4">
        <f t="shared" si="1"/>
        <v>816.32</v>
      </c>
      <c r="I782" s="16">
        <f t="shared" si="2"/>
        <v>825.562</v>
      </c>
      <c r="J782" s="16">
        <f t="shared" si="3"/>
        <v>13.29223909</v>
      </c>
      <c r="K782" s="16">
        <f t="shared" si="4"/>
        <v>838.8542391</v>
      </c>
      <c r="L782" s="16">
        <f t="shared" si="5"/>
        <v>812.2697609</v>
      </c>
      <c r="N782" s="17" t="str">
        <f t="shared" si="6"/>
        <v>F</v>
      </c>
      <c r="O782" s="17" t="str">
        <f t="shared" si="7"/>
        <v>F</v>
      </c>
      <c r="P782" s="8">
        <f t="shared" si="8"/>
        <v>1</v>
      </c>
      <c r="R782" s="17" t="str">
        <f t="shared" si="9"/>
        <v>F</v>
      </c>
      <c r="S782" s="3" t="str">
        <f t="shared" si="10"/>
        <v>T</v>
      </c>
      <c r="T782" s="8">
        <f t="shared" si="11"/>
        <v>0</v>
      </c>
      <c r="V782" s="4">
        <f t="shared" si="12"/>
        <v>1</v>
      </c>
      <c r="W782" s="8">
        <f t="shared" si="13"/>
        <v>4.9</v>
      </c>
      <c r="X782" s="8">
        <f t="shared" si="14"/>
        <v>4.9</v>
      </c>
      <c r="Y782" s="8">
        <f t="shared" si="15"/>
        <v>548.6</v>
      </c>
    </row>
    <row r="783">
      <c r="A783" s="2">
        <v>776.0</v>
      </c>
      <c r="B783" s="15">
        <f>IFERROR(__xludf.DUMMYFUNCTION("""COMPUTED_VALUE"""),43517.64583333333)</f>
        <v>43517.64583</v>
      </c>
      <c r="C783" s="8">
        <f>IFERROR(__xludf.DUMMYFUNCTION("""COMPUTED_VALUE"""),1891.45)</f>
        <v>1891.45</v>
      </c>
      <c r="E783" s="15">
        <f>IFERROR(__xludf.DUMMYFUNCTION("""COMPUTED_VALUE"""),43517.64583333333)</f>
        <v>43517.64583</v>
      </c>
      <c r="F783" s="8">
        <f>IFERROR(__xludf.DUMMYFUNCTION("""COMPUTED_VALUE"""),1057.95)</f>
        <v>1057.95</v>
      </c>
      <c r="H783" s="4">
        <f t="shared" si="1"/>
        <v>833.5</v>
      </c>
      <c r="I783" s="16">
        <f t="shared" si="2"/>
        <v>823.142</v>
      </c>
      <c r="J783" s="16">
        <f t="shared" si="3"/>
        <v>9.205200704</v>
      </c>
      <c r="K783" s="16">
        <f t="shared" si="4"/>
        <v>832.3472007</v>
      </c>
      <c r="L783" s="16">
        <f t="shared" si="5"/>
        <v>813.9367993</v>
      </c>
      <c r="N783" s="17" t="str">
        <f t="shared" si="6"/>
        <v>F</v>
      </c>
      <c r="O783" s="17" t="str">
        <f t="shared" si="7"/>
        <v>T</v>
      </c>
      <c r="P783" s="8">
        <f t="shared" si="8"/>
        <v>0</v>
      </c>
      <c r="R783" s="17" t="str">
        <f t="shared" si="9"/>
        <v>T</v>
      </c>
      <c r="S783" s="3" t="str">
        <f t="shared" si="10"/>
        <v>F</v>
      </c>
      <c r="T783" s="8">
        <f t="shared" si="11"/>
        <v>-1</v>
      </c>
      <c r="V783" s="4">
        <f t="shared" si="12"/>
        <v>-1</v>
      </c>
      <c r="W783" s="8">
        <f t="shared" si="13"/>
        <v>17.18</v>
      </c>
      <c r="X783" s="8">
        <f t="shared" si="14"/>
        <v>17.18</v>
      </c>
      <c r="Y783" s="8">
        <f t="shared" si="15"/>
        <v>565.78</v>
      </c>
    </row>
    <row r="784">
      <c r="A784" s="2">
        <v>777.0</v>
      </c>
      <c r="B784" s="15">
        <f>IFERROR(__xludf.DUMMYFUNCTION("""COMPUTED_VALUE"""),43518.64583333333)</f>
        <v>43518.64583</v>
      </c>
      <c r="C784" s="8">
        <f>IFERROR(__xludf.DUMMYFUNCTION("""COMPUTED_VALUE"""),1887.4)</f>
        <v>1887.4</v>
      </c>
      <c r="E784" s="15">
        <f>IFERROR(__xludf.DUMMYFUNCTION("""COMPUTED_VALUE"""),43518.64583333333)</f>
        <v>43518.64583</v>
      </c>
      <c r="F784" s="8">
        <f>IFERROR(__xludf.DUMMYFUNCTION("""COMPUTED_VALUE"""),1045.72)</f>
        <v>1045.72</v>
      </c>
      <c r="H784" s="4">
        <f t="shared" si="1"/>
        <v>841.68</v>
      </c>
      <c r="I784" s="16">
        <f t="shared" si="2"/>
        <v>826.564</v>
      </c>
      <c r="J784" s="16">
        <f t="shared" si="3"/>
        <v>12.47007137</v>
      </c>
      <c r="K784" s="16">
        <f t="shared" si="4"/>
        <v>839.0340714</v>
      </c>
      <c r="L784" s="16">
        <f t="shared" si="5"/>
        <v>814.0939286</v>
      </c>
      <c r="N784" s="17" t="str">
        <f t="shared" si="6"/>
        <v>F</v>
      </c>
      <c r="O784" s="17" t="str">
        <f t="shared" si="7"/>
        <v>T</v>
      </c>
      <c r="P784" s="8">
        <f t="shared" si="8"/>
        <v>0</v>
      </c>
      <c r="R784" s="17" t="str">
        <f t="shared" si="9"/>
        <v>T</v>
      </c>
      <c r="S784" s="3" t="str">
        <f t="shared" si="10"/>
        <v>F</v>
      </c>
      <c r="T784" s="8">
        <f t="shared" si="11"/>
        <v>-1</v>
      </c>
      <c r="V784" s="4">
        <f t="shared" si="12"/>
        <v>-1</v>
      </c>
      <c r="W784" s="8">
        <f t="shared" si="13"/>
        <v>8.18</v>
      </c>
      <c r="X784" s="8">
        <f t="shared" si="14"/>
        <v>-8.18</v>
      </c>
      <c r="Y784" s="8">
        <f t="shared" si="15"/>
        <v>557.6</v>
      </c>
    </row>
    <row r="785">
      <c r="A785" s="2">
        <v>778.0</v>
      </c>
      <c r="B785" s="15">
        <f>IFERROR(__xludf.DUMMYFUNCTION("""COMPUTED_VALUE"""),43521.64583333333)</f>
        <v>43521.64583</v>
      </c>
      <c r="C785" s="8">
        <f>IFERROR(__xludf.DUMMYFUNCTION("""COMPUTED_VALUE"""),1894.5)</f>
        <v>1894.5</v>
      </c>
      <c r="E785" s="15">
        <f>IFERROR(__xludf.DUMMYFUNCTION("""COMPUTED_VALUE"""),43521.64583333333)</f>
        <v>43521.64583</v>
      </c>
      <c r="F785" s="8">
        <f>IFERROR(__xludf.DUMMYFUNCTION("""COMPUTED_VALUE"""),1062.7)</f>
        <v>1062.7</v>
      </c>
      <c r="H785" s="4">
        <f t="shared" si="1"/>
        <v>831.8</v>
      </c>
      <c r="I785" s="16">
        <f t="shared" si="2"/>
        <v>826.944</v>
      </c>
      <c r="J785" s="16">
        <f t="shared" si="3"/>
        <v>12.62512891</v>
      </c>
      <c r="K785" s="16">
        <f t="shared" si="4"/>
        <v>839.5691289</v>
      </c>
      <c r="L785" s="16">
        <f t="shared" si="5"/>
        <v>814.3188711</v>
      </c>
      <c r="N785" s="17" t="str">
        <f t="shared" si="6"/>
        <v>F</v>
      </c>
      <c r="O785" s="17" t="str">
        <f t="shared" si="7"/>
        <v>T</v>
      </c>
      <c r="P785" s="8">
        <f t="shared" si="8"/>
        <v>0</v>
      </c>
      <c r="R785" s="17" t="str">
        <f t="shared" si="9"/>
        <v>F</v>
      </c>
      <c r="S785" s="3" t="str">
        <f t="shared" si="10"/>
        <v>F</v>
      </c>
      <c r="T785" s="8">
        <f t="shared" si="11"/>
        <v>-1</v>
      </c>
      <c r="V785" s="4">
        <f t="shared" si="12"/>
        <v>-1</v>
      </c>
      <c r="W785" s="8">
        <f t="shared" si="13"/>
        <v>-9.88</v>
      </c>
      <c r="X785" s="8">
        <f t="shared" si="14"/>
        <v>9.88</v>
      </c>
      <c r="Y785" s="8">
        <f t="shared" si="15"/>
        <v>567.48</v>
      </c>
    </row>
    <row r="786">
      <c r="A786" s="2">
        <v>779.0</v>
      </c>
      <c r="B786" s="15">
        <f>IFERROR(__xludf.DUMMYFUNCTION("""COMPUTED_VALUE"""),43522.64583333333)</f>
        <v>43522.64583</v>
      </c>
      <c r="C786" s="8">
        <f>IFERROR(__xludf.DUMMYFUNCTION("""COMPUTED_VALUE"""),1853.65)</f>
        <v>1853.65</v>
      </c>
      <c r="E786" s="15">
        <f>IFERROR(__xludf.DUMMYFUNCTION("""COMPUTED_VALUE"""),43522.64583333333)</f>
        <v>43522.64583</v>
      </c>
      <c r="F786" s="8">
        <f>IFERROR(__xludf.DUMMYFUNCTION("""COMPUTED_VALUE"""),1055.33)</f>
        <v>1055.33</v>
      </c>
      <c r="H786" s="4">
        <f t="shared" si="1"/>
        <v>798.32</v>
      </c>
      <c r="I786" s="16">
        <f t="shared" si="2"/>
        <v>824.324</v>
      </c>
      <c r="J786" s="16">
        <f t="shared" si="3"/>
        <v>17.18714869</v>
      </c>
      <c r="K786" s="16">
        <f t="shared" si="4"/>
        <v>841.5111487</v>
      </c>
      <c r="L786" s="16">
        <f t="shared" si="5"/>
        <v>807.1368513</v>
      </c>
      <c r="N786" s="17" t="str">
        <f t="shared" si="6"/>
        <v>T</v>
      </c>
      <c r="O786" s="17" t="str">
        <f t="shared" si="7"/>
        <v>F</v>
      </c>
      <c r="P786" s="8">
        <f t="shared" si="8"/>
        <v>1</v>
      </c>
      <c r="R786" s="17" t="str">
        <f t="shared" si="9"/>
        <v>F</v>
      </c>
      <c r="S786" s="3" t="str">
        <f t="shared" si="10"/>
        <v>T</v>
      </c>
      <c r="T786" s="8">
        <f t="shared" si="11"/>
        <v>0</v>
      </c>
      <c r="V786" s="4">
        <f t="shared" si="12"/>
        <v>1</v>
      </c>
      <c r="W786" s="8">
        <f t="shared" si="13"/>
        <v>-33.48</v>
      </c>
      <c r="X786" s="8">
        <f t="shared" si="14"/>
        <v>33.48</v>
      </c>
      <c r="Y786" s="8">
        <f t="shared" si="15"/>
        <v>600.96</v>
      </c>
    </row>
    <row r="787">
      <c r="A787" s="2">
        <v>780.0</v>
      </c>
      <c r="B787" s="15">
        <f>IFERROR(__xludf.DUMMYFUNCTION("""COMPUTED_VALUE"""),43523.64583333333)</f>
        <v>43523.64583</v>
      </c>
      <c r="C787" s="8">
        <f>IFERROR(__xludf.DUMMYFUNCTION("""COMPUTED_VALUE"""),1841.0)</f>
        <v>1841</v>
      </c>
      <c r="E787" s="15">
        <f>IFERROR(__xludf.DUMMYFUNCTION("""COMPUTED_VALUE"""),43523.64583333333)</f>
        <v>43523.64583</v>
      </c>
      <c r="F787" s="8">
        <f>IFERROR(__xludf.DUMMYFUNCTION("""COMPUTED_VALUE"""),1046.13)</f>
        <v>1046.13</v>
      </c>
      <c r="H787" s="4">
        <f t="shared" si="1"/>
        <v>794.87</v>
      </c>
      <c r="I787" s="16">
        <f t="shared" si="2"/>
        <v>820.034</v>
      </c>
      <c r="J787" s="16">
        <f t="shared" si="3"/>
        <v>21.75457377</v>
      </c>
      <c r="K787" s="16">
        <f t="shared" si="4"/>
        <v>841.7885738</v>
      </c>
      <c r="L787" s="16">
        <f t="shared" si="5"/>
        <v>798.2794262</v>
      </c>
      <c r="N787" s="17" t="str">
        <f t="shared" si="6"/>
        <v>T</v>
      </c>
      <c r="O787" s="17" t="str">
        <f t="shared" si="7"/>
        <v>F</v>
      </c>
      <c r="P787" s="8">
        <f t="shared" si="8"/>
        <v>1</v>
      </c>
      <c r="R787" s="17" t="str">
        <f t="shared" si="9"/>
        <v>F</v>
      </c>
      <c r="S787" s="3" t="str">
        <f t="shared" si="10"/>
        <v>T</v>
      </c>
      <c r="T787" s="8">
        <f t="shared" si="11"/>
        <v>0</v>
      </c>
      <c r="V787" s="4">
        <f t="shared" si="12"/>
        <v>1</v>
      </c>
      <c r="W787" s="8">
        <f t="shared" si="13"/>
        <v>-3.45</v>
      </c>
      <c r="X787" s="8">
        <f t="shared" si="14"/>
        <v>-3.45</v>
      </c>
      <c r="Y787" s="8">
        <f t="shared" si="15"/>
        <v>597.51</v>
      </c>
    </row>
    <row r="788">
      <c r="A788" s="2">
        <v>781.0</v>
      </c>
      <c r="B788" s="15">
        <f>IFERROR(__xludf.DUMMYFUNCTION("""COMPUTED_VALUE"""),43524.64583333333)</f>
        <v>43524.64583</v>
      </c>
      <c r="C788" s="8">
        <f>IFERROR(__xludf.DUMMYFUNCTION("""COMPUTED_VALUE"""),1841.2)</f>
        <v>1841.2</v>
      </c>
      <c r="E788" s="15">
        <f>IFERROR(__xludf.DUMMYFUNCTION("""COMPUTED_VALUE"""),43524.64583333333)</f>
        <v>43524.64583</v>
      </c>
      <c r="F788" s="8">
        <f>IFERROR(__xludf.DUMMYFUNCTION("""COMPUTED_VALUE"""),1038.78)</f>
        <v>1038.78</v>
      </c>
      <c r="H788" s="4">
        <f t="shared" si="1"/>
        <v>802.42</v>
      </c>
      <c r="I788" s="16">
        <f t="shared" si="2"/>
        <v>813.818</v>
      </c>
      <c r="J788" s="16">
        <f t="shared" si="3"/>
        <v>21.38207474</v>
      </c>
      <c r="K788" s="16">
        <f t="shared" si="4"/>
        <v>835.2000747</v>
      </c>
      <c r="L788" s="16">
        <f t="shared" si="5"/>
        <v>792.4359253</v>
      </c>
      <c r="N788" s="17" t="str">
        <f t="shared" si="6"/>
        <v>F</v>
      </c>
      <c r="O788" s="17" t="str">
        <f t="shared" si="7"/>
        <v>F</v>
      </c>
      <c r="P788" s="8">
        <f t="shared" si="8"/>
        <v>1</v>
      </c>
      <c r="R788" s="17" t="str">
        <f t="shared" si="9"/>
        <v>F</v>
      </c>
      <c r="S788" s="3" t="str">
        <f t="shared" si="10"/>
        <v>T</v>
      </c>
      <c r="T788" s="8">
        <f t="shared" si="11"/>
        <v>0</v>
      </c>
      <c r="V788" s="4">
        <f t="shared" si="12"/>
        <v>1</v>
      </c>
      <c r="W788" s="8">
        <f t="shared" si="13"/>
        <v>7.55</v>
      </c>
      <c r="X788" s="8">
        <f t="shared" si="14"/>
        <v>7.55</v>
      </c>
      <c r="Y788" s="8">
        <f t="shared" si="15"/>
        <v>605.06</v>
      </c>
    </row>
    <row r="789">
      <c r="A789" s="2">
        <v>782.0</v>
      </c>
      <c r="B789" s="15">
        <f>IFERROR(__xludf.DUMMYFUNCTION("""COMPUTED_VALUE"""),43525.64583333333)</f>
        <v>43525.64583</v>
      </c>
      <c r="C789" s="8">
        <f>IFERROR(__xludf.DUMMYFUNCTION("""COMPUTED_VALUE"""),1859.45)</f>
        <v>1859.45</v>
      </c>
      <c r="E789" s="15">
        <f>IFERROR(__xludf.DUMMYFUNCTION("""COMPUTED_VALUE"""),43525.64583333333)</f>
        <v>43525.64583</v>
      </c>
      <c r="F789" s="8">
        <f>IFERROR(__xludf.DUMMYFUNCTION("""COMPUTED_VALUE"""),1041.68)</f>
        <v>1041.68</v>
      </c>
      <c r="H789" s="4">
        <f t="shared" si="1"/>
        <v>817.77</v>
      </c>
      <c r="I789" s="16">
        <f t="shared" si="2"/>
        <v>809.036</v>
      </c>
      <c r="J789" s="16">
        <f t="shared" si="3"/>
        <v>15.44151968</v>
      </c>
      <c r="K789" s="16">
        <f t="shared" si="4"/>
        <v>824.4775197</v>
      </c>
      <c r="L789" s="16">
        <f t="shared" si="5"/>
        <v>793.5944803</v>
      </c>
      <c r="N789" s="17" t="str">
        <f t="shared" si="6"/>
        <v>F</v>
      </c>
      <c r="O789" s="17" t="str">
        <f t="shared" si="7"/>
        <v>T</v>
      </c>
      <c r="P789" s="8">
        <f t="shared" si="8"/>
        <v>0</v>
      </c>
      <c r="R789" s="17" t="str">
        <f t="shared" si="9"/>
        <v>F</v>
      </c>
      <c r="S789" s="3" t="str">
        <f t="shared" si="10"/>
        <v>F</v>
      </c>
      <c r="T789" s="8">
        <f t="shared" si="11"/>
        <v>0</v>
      </c>
      <c r="V789" s="4">
        <f t="shared" si="12"/>
        <v>0</v>
      </c>
      <c r="W789" s="8">
        <f t="shared" si="13"/>
        <v>15.35</v>
      </c>
      <c r="X789" s="8">
        <f t="shared" si="14"/>
        <v>15.35</v>
      </c>
      <c r="Y789" s="8">
        <f t="shared" si="15"/>
        <v>620.41</v>
      </c>
    </row>
    <row r="790">
      <c r="A790" s="2">
        <v>783.0</v>
      </c>
      <c r="B790" s="15">
        <f>IFERROR(__xludf.DUMMYFUNCTION("""COMPUTED_VALUE"""),43529.64583333333)</f>
        <v>43529.64583</v>
      </c>
      <c r="C790" s="8">
        <f>IFERROR(__xludf.DUMMYFUNCTION("""COMPUTED_VALUE"""),1860.0)</f>
        <v>1860</v>
      </c>
      <c r="E790" s="15">
        <f>IFERROR(__xludf.DUMMYFUNCTION("""COMPUTED_VALUE"""),43529.64583333333)</f>
        <v>43529.64583</v>
      </c>
      <c r="F790" s="8">
        <f>IFERROR(__xludf.DUMMYFUNCTION("""COMPUTED_VALUE"""),1053.55)</f>
        <v>1053.55</v>
      </c>
      <c r="H790" s="4">
        <f t="shared" si="1"/>
        <v>806.45</v>
      </c>
      <c r="I790" s="16">
        <f t="shared" si="2"/>
        <v>803.966</v>
      </c>
      <c r="J790" s="16">
        <f t="shared" si="3"/>
        <v>8.856146453</v>
      </c>
      <c r="K790" s="16">
        <f t="shared" si="4"/>
        <v>812.8221465</v>
      </c>
      <c r="L790" s="16">
        <f t="shared" si="5"/>
        <v>795.1098535</v>
      </c>
      <c r="N790" s="17" t="str">
        <f t="shared" si="6"/>
        <v>F</v>
      </c>
      <c r="O790" s="17" t="str">
        <f t="shared" si="7"/>
        <v>T</v>
      </c>
      <c r="P790" s="8">
        <f t="shared" si="8"/>
        <v>0</v>
      </c>
      <c r="R790" s="17" t="str">
        <f t="shared" si="9"/>
        <v>F</v>
      </c>
      <c r="S790" s="3" t="str">
        <f t="shared" si="10"/>
        <v>F</v>
      </c>
      <c r="T790" s="8">
        <f t="shared" si="11"/>
        <v>0</v>
      </c>
      <c r="V790" s="4">
        <f t="shared" si="12"/>
        <v>0</v>
      </c>
      <c r="W790" s="8">
        <f t="shared" si="13"/>
        <v>-11.32</v>
      </c>
      <c r="X790" s="8">
        <f t="shared" si="14"/>
        <v>0</v>
      </c>
      <c r="Y790" s="8">
        <f t="shared" si="15"/>
        <v>620.41</v>
      </c>
    </row>
    <row r="791">
      <c r="A791" s="2">
        <v>784.0</v>
      </c>
      <c r="B791" s="15">
        <f>IFERROR(__xludf.DUMMYFUNCTION("""COMPUTED_VALUE"""),43530.64583333333)</f>
        <v>43530.64583</v>
      </c>
      <c r="C791" s="8">
        <f>IFERROR(__xludf.DUMMYFUNCTION("""COMPUTED_VALUE"""),1885.2)</f>
        <v>1885.2</v>
      </c>
      <c r="E791" s="15">
        <f>IFERROR(__xludf.DUMMYFUNCTION("""COMPUTED_VALUE"""),43530.64583333333)</f>
        <v>43530.64583</v>
      </c>
      <c r="F791" s="8">
        <f>IFERROR(__xludf.DUMMYFUNCTION("""COMPUTED_VALUE"""),1052.13)</f>
        <v>1052.13</v>
      </c>
      <c r="H791" s="4">
        <f t="shared" si="1"/>
        <v>833.07</v>
      </c>
      <c r="I791" s="16">
        <f t="shared" si="2"/>
        <v>810.916</v>
      </c>
      <c r="J791" s="16">
        <f t="shared" si="3"/>
        <v>14.89444796</v>
      </c>
      <c r="K791" s="16">
        <f t="shared" si="4"/>
        <v>825.810448</v>
      </c>
      <c r="L791" s="16">
        <f t="shared" si="5"/>
        <v>796.021552</v>
      </c>
      <c r="N791" s="17" t="str">
        <f t="shared" si="6"/>
        <v>F</v>
      </c>
      <c r="O791" s="17" t="str">
        <f t="shared" si="7"/>
        <v>T</v>
      </c>
      <c r="P791" s="8">
        <f t="shared" si="8"/>
        <v>0</v>
      </c>
      <c r="R791" s="17" t="str">
        <f t="shared" si="9"/>
        <v>T</v>
      </c>
      <c r="S791" s="3" t="str">
        <f t="shared" si="10"/>
        <v>F</v>
      </c>
      <c r="T791" s="8">
        <f t="shared" si="11"/>
        <v>-1</v>
      </c>
      <c r="V791" s="4">
        <f t="shared" si="12"/>
        <v>-1</v>
      </c>
      <c r="W791" s="8">
        <f t="shared" si="13"/>
        <v>26.62</v>
      </c>
      <c r="X791" s="8">
        <f t="shared" si="14"/>
        <v>0</v>
      </c>
      <c r="Y791" s="8">
        <f t="shared" si="15"/>
        <v>620.41</v>
      </c>
    </row>
    <row r="792">
      <c r="A792" s="2">
        <v>785.0</v>
      </c>
      <c r="B792" s="15">
        <f>IFERROR(__xludf.DUMMYFUNCTION("""COMPUTED_VALUE"""),43531.64583333333)</f>
        <v>43531.64583</v>
      </c>
      <c r="C792" s="8">
        <f>IFERROR(__xludf.DUMMYFUNCTION("""COMPUTED_VALUE"""),1880.2)</f>
        <v>1880.2</v>
      </c>
      <c r="E792" s="15">
        <f>IFERROR(__xludf.DUMMYFUNCTION("""COMPUTED_VALUE"""),43531.64583333333)</f>
        <v>43531.64583</v>
      </c>
      <c r="F792" s="8">
        <f>IFERROR(__xludf.DUMMYFUNCTION("""COMPUTED_VALUE"""),1063.25)</f>
        <v>1063.25</v>
      </c>
      <c r="H792" s="4">
        <f t="shared" si="1"/>
        <v>816.95</v>
      </c>
      <c r="I792" s="16">
        <f t="shared" si="2"/>
        <v>815.332</v>
      </c>
      <c r="J792" s="16">
        <f t="shared" si="3"/>
        <v>11.92484885</v>
      </c>
      <c r="K792" s="16">
        <f t="shared" si="4"/>
        <v>827.2568488</v>
      </c>
      <c r="L792" s="16">
        <f t="shared" si="5"/>
        <v>803.4071512</v>
      </c>
      <c r="N792" s="17" t="str">
        <f t="shared" si="6"/>
        <v>F</v>
      </c>
      <c r="O792" s="17" t="str">
        <f t="shared" si="7"/>
        <v>T</v>
      </c>
      <c r="P792" s="8">
        <f t="shared" si="8"/>
        <v>0</v>
      </c>
      <c r="R792" s="17" t="str">
        <f t="shared" si="9"/>
        <v>F</v>
      </c>
      <c r="S792" s="3" t="str">
        <f t="shared" si="10"/>
        <v>F</v>
      </c>
      <c r="T792" s="8">
        <f t="shared" si="11"/>
        <v>-1</v>
      </c>
      <c r="V792" s="4">
        <f t="shared" si="12"/>
        <v>-1</v>
      </c>
      <c r="W792" s="8">
        <f t="shared" si="13"/>
        <v>-16.12</v>
      </c>
      <c r="X792" s="8">
        <f t="shared" si="14"/>
        <v>16.12</v>
      </c>
      <c r="Y792" s="8">
        <f t="shared" si="15"/>
        <v>636.53</v>
      </c>
    </row>
    <row r="793">
      <c r="A793" s="2">
        <v>786.0</v>
      </c>
      <c r="B793" s="15">
        <f>IFERROR(__xludf.DUMMYFUNCTION("""COMPUTED_VALUE"""),43532.64583333333)</f>
        <v>43532.64583</v>
      </c>
      <c r="C793" s="8">
        <f>IFERROR(__xludf.DUMMYFUNCTION("""COMPUTED_VALUE"""),1884.05)</f>
        <v>1884.05</v>
      </c>
      <c r="E793" s="15">
        <f>IFERROR(__xludf.DUMMYFUNCTION("""COMPUTED_VALUE"""),43532.64583333333)</f>
        <v>43532.64583</v>
      </c>
      <c r="F793" s="8">
        <f>IFERROR(__xludf.DUMMYFUNCTION("""COMPUTED_VALUE"""),1064.1)</f>
        <v>1064.1</v>
      </c>
      <c r="H793" s="4">
        <f t="shared" si="1"/>
        <v>819.95</v>
      </c>
      <c r="I793" s="16">
        <f t="shared" si="2"/>
        <v>818.838</v>
      </c>
      <c r="J793" s="16">
        <f t="shared" si="3"/>
        <v>9.512545401</v>
      </c>
      <c r="K793" s="16">
        <f t="shared" si="4"/>
        <v>828.3505454</v>
      </c>
      <c r="L793" s="16">
        <f t="shared" si="5"/>
        <v>809.3254546</v>
      </c>
      <c r="N793" s="17" t="str">
        <f t="shared" si="6"/>
        <v>F</v>
      </c>
      <c r="O793" s="17" t="str">
        <f t="shared" si="7"/>
        <v>T</v>
      </c>
      <c r="P793" s="8">
        <f t="shared" si="8"/>
        <v>0</v>
      </c>
      <c r="R793" s="17" t="str">
        <f t="shared" si="9"/>
        <v>F</v>
      </c>
      <c r="S793" s="3" t="str">
        <f t="shared" si="10"/>
        <v>F</v>
      </c>
      <c r="T793" s="8">
        <f t="shared" si="11"/>
        <v>-1</v>
      </c>
      <c r="V793" s="4">
        <f t="shared" si="12"/>
        <v>-1</v>
      </c>
      <c r="W793" s="8">
        <f t="shared" si="13"/>
        <v>3</v>
      </c>
      <c r="X793" s="8">
        <f t="shared" si="14"/>
        <v>-3</v>
      </c>
      <c r="Y793" s="8">
        <f t="shared" si="15"/>
        <v>633.53</v>
      </c>
    </row>
    <row r="794">
      <c r="A794" s="2">
        <v>787.0</v>
      </c>
      <c r="B794" s="15">
        <f>IFERROR(__xludf.DUMMYFUNCTION("""COMPUTED_VALUE"""),43535.64583333333)</f>
        <v>43535.64583</v>
      </c>
      <c r="C794" s="8">
        <f>IFERROR(__xludf.DUMMYFUNCTION("""COMPUTED_VALUE"""),1897.55)</f>
        <v>1897.55</v>
      </c>
      <c r="E794" s="15">
        <f>IFERROR(__xludf.DUMMYFUNCTION("""COMPUTED_VALUE"""),43535.64583333333)</f>
        <v>43535.64583</v>
      </c>
      <c r="F794" s="8">
        <f>IFERROR(__xludf.DUMMYFUNCTION("""COMPUTED_VALUE"""),1064.22)</f>
        <v>1064.22</v>
      </c>
      <c r="H794" s="4">
        <f t="shared" si="1"/>
        <v>833.33</v>
      </c>
      <c r="I794" s="16">
        <f t="shared" si="2"/>
        <v>821.95</v>
      </c>
      <c r="J794" s="16">
        <f t="shared" si="3"/>
        <v>11.42813196</v>
      </c>
      <c r="K794" s="16">
        <f t="shared" si="4"/>
        <v>833.378132</v>
      </c>
      <c r="L794" s="16">
        <f t="shared" si="5"/>
        <v>810.521868</v>
      </c>
      <c r="N794" s="17" t="str">
        <f t="shared" si="6"/>
        <v>F</v>
      </c>
      <c r="O794" s="17" t="str">
        <f t="shared" si="7"/>
        <v>T</v>
      </c>
      <c r="P794" s="8">
        <f t="shared" si="8"/>
        <v>0</v>
      </c>
      <c r="R794" s="17" t="str">
        <f t="shared" si="9"/>
        <v>F</v>
      </c>
      <c r="S794" s="3" t="str">
        <f t="shared" si="10"/>
        <v>F</v>
      </c>
      <c r="T794" s="8">
        <f t="shared" si="11"/>
        <v>-1</v>
      </c>
      <c r="V794" s="4">
        <f t="shared" si="12"/>
        <v>-1</v>
      </c>
      <c r="W794" s="8">
        <f t="shared" si="13"/>
        <v>13.38</v>
      </c>
      <c r="X794" s="8">
        <f t="shared" si="14"/>
        <v>-13.38</v>
      </c>
      <c r="Y794" s="8">
        <f t="shared" si="15"/>
        <v>620.15</v>
      </c>
    </row>
    <row r="795">
      <c r="A795" s="2">
        <v>788.0</v>
      </c>
      <c r="B795" s="15">
        <f>IFERROR(__xludf.DUMMYFUNCTION("""COMPUTED_VALUE"""),43536.64583333333)</f>
        <v>43536.64583</v>
      </c>
      <c r="C795" s="8">
        <f>IFERROR(__xludf.DUMMYFUNCTION("""COMPUTED_VALUE"""),1930.0)</f>
        <v>1930</v>
      </c>
      <c r="E795" s="15">
        <f>IFERROR(__xludf.DUMMYFUNCTION("""COMPUTED_VALUE"""),43536.64583333333)</f>
        <v>43536.64583</v>
      </c>
      <c r="F795" s="8">
        <f>IFERROR(__xludf.DUMMYFUNCTION("""COMPUTED_VALUE"""),1085.5)</f>
        <v>1085.5</v>
      </c>
      <c r="H795" s="4">
        <f t="shared" si="1"/>
        <v>844.5</v>
      </c>
      <c r="I795" s="16">
        <f t="shared" si="2"/>
        <v>829.56</v>
      </c>
      <c r="J795" s="16">
        <f t="shared" si="3"/>
        <v>11.19264044</v>
      </c>
      <c r="K795" s="16">
        <f t="shared" si="4"/>
        <v>840.7526404</v>
      </c>
      <c r="L795" s="16">
        <f t="shared" si="5"/>
        <v>818.3673596</v>
      </c>
      <c r="N795" s="17" t="str">
        <f t="shared" si="6"/>
        <v>F</v>
      </c>
      <c r="O795" s="17" t="str">
        <f t="shared" si="7"/>
        <v>T</v>
      </c>
      <c r="P795" s="8">
        <f t="shared" si="8"/>
        <v>0</v>
      </c>
      <c r="R795" s="17" t="str">
        <f t="shared" si="9"/>
        <v>T</v>
      </c>
      <c r="S795" s="3" t="str">
        <f t="shared" si="10"/>
        <v>F</v>
      </c>
      <c r="T795" s="8">
        <f t="shared" si="11"/>
        <v>-1</v>
      </c>
      <c r="V795" s="4">
        <f t="shared" si="12"/>
        <v>-1</v>
      </c>
      <c r="W795" s="8">
        <f t="shared" si="13"/>
        <v>11.17</v>
      </c>
      <c r="X795" s="8">
        <f t="shared" si="14"/>
        <v>-11.17</v>
      </c>
      <c r="Y795" s="8">
        <f t="shared" si="15"/>
        <v>608.98</v>
      </c>
    </row>
    <row r="796">
      <c r="A796" s="2">
        <v>789.0</v>
      </c>
      <c r="B796" s="15">
        <f>IFERROR(__xludf.DUMMYFUNCTION("""COMPUTED_VALUE"""),43537.64583333333)</f>
        <v>43537.64583</v>
      </c>
      <c r="C796" s="8">
        <f>IFERROR(__xludf.DUMMYFUNCTION("""COMPUTED_VALUE"""),1950.65)</f>
        <v>1950.65</v>
      </c>
      <c r="E796" s="15">
        <f>IFERROR(__xludf.DUMMYFUNCTION("""COMPUTED_VALUE"""),43537.64583333333)</f>
        <v>43537.64583</v>
      </c>
      <c r="F796" s="8">
        <f>IFERROR(__xludf.DUMMYFUNCTION("""COMPUTED_VALUE"""),1113.28)</f>
        <v>1113.28</v>
      </c>
      <c r="H796" s="4">
        <f t="shared" si="1"/>
        <v>837.37</v>
      </c>
      <c r="I796" s="16">
        <f t="shared" si="2"/>
        <v>830.42</v>
      </c>
      <c r="J796" s="16">
        <f t="shared" si="3"/>
        <v>11.6841645</v>
      </c>
      <c r="K796" s="16">
        <f t="shared" si="4"/>
        <v>842.1041645</v>
      </c>
      <c r="L796" s="16">
        <f t="shared" si="5"/>
        <v>818.7358355</v>
      </c>
      <c r="N796" s="17" t="str">
        <f t="shared" si="6"/>
        <v>F</v>
      </c>
      <c r="O796" s="17" t="str">
        <f t="shared" si="7"/>
        <v>T</v>
      </c>
      <c r="P796" s="8">
        <f t="shared" si="8"/>
        <v>0</v>
      </c>
      <c r="R796" s="17" t="str">
        <f t="shared" si="9"/>
        <v>F</v>
      </c>
      <c r="S796" s="3" t="str">
        <f t="shared" si="10"/>
        <v>F</v>
      </c>
      <c r="T796" s="8">
        <f t="shared" si="11"/>
        <v>-1</v>
      </c>
      <c r="V796" s="4">
        <f t="shared" si="12"/>
        <v>-1</v>
      </c>
      <c r="W796" s="8">
        <f t="shared" si="13"/>
        <v>-7.13</v>
      </c>
      <c r="X796" s="8">
        <f t="shared" si="14"/>
        <v>7.13</v>
      </c>
      <c r="Y796" s="8">
        <f t="shared" si="15"/>
        <v>616.11</v>
      </c>
    </row>
    <row r="797">
      <c r="A797" s="2">
        <v>790.0</v>
      </c>
      <c r="B797" s="15">
        <f>IFERROR(__xludf.DUMMYFUNCTION("""COMPUTED_VALUE"""),43538.64583333333)</f>
        <v>43538.64583</v>
      </c>
      <c r="C797" s="8">
        <f>IFERROR(__xludf.DUMMYFUNCTION("""COMPUTED_VALUE"""),1956.95)</f>
        <v>1956.95</v>
      </c>
      <c r="E797" s="15">
        <f>IFERROR(__xludf.DUMMYFUNCTION("""COMPUTED_VALUE"""),43538.64583333333)</f>
        <v>43538.64583</v>
      </c>
      <c r="F797" s="8">
        <f>IFERROR(__xludf.DUMMYFUNCTION("""COMPUTED_VALUE"""),1112.38)</f>
        <v>1112.38</v>
      </c>
      <c r="H797" s="4">
        <f t="shared" si="1"/>
        <v>844.57</v>
      </c>
      <c r="I797" s="16">
        <f t="shared" si="2"/>
        <v>835.944</v>
      </c>
      <c r="J797" s="16">
        <f t="shared" si="3"/>
        <v>10.15243222</v>
      </c>
      <c r="K797" s="16">
        <f t="shared" si="4"/>
        <v>846.0964322</v>
      </c>
      <c r="L797" s="16">
        <f t="shared" si="5"/>
        <v>825.7915678</v>
      </c>
      <c r="N797" s="17" t="str">
        <f t="shared" si="6"/>
        <v>F</v>
      </c>
      <c r="O797" s="17" t="str">
        <f t="shared" si="7"/>
        <v>T</v>
      </c>
      <c r="P797" s="8">
        <f t="shared" si="8"/>
        <v>0</v>
      </c>
      <c r="R797" s="17" t="str">
        <f t="shared" si="9"/>
        <v>F</v>
      </c>
      <c r="S797" s="3" t="str">
        <f t="shared" si="10"/>
        <v>F</v>
      </c>
      <c r="T797" s="8">
        <f t="shared" si="11"/>
        <v>-1</v>
      </c>
      <c r="V797" s="4">
        <f t="shared" si="12"/>
        <v>-1</v>
      </c>
      <c r="W797" s="8">
        <f t="shared" si="13"/>
        <v>7.2</v>
      </c>
      <c r="X797" s="8">
        <f t="shared" si="14"/>
        <v>-7.2</v>
      </c>
      <c r="Y797" s="8">
        <f t="shared" si="15"/>
        <v>608.91</v>
      </c>
    </row>
    <row r="798">
      <c r="A798" s="2">
        <v>791.0</v>
      </c>
      <c r="B798" s="15">
        <f>IFERROR(__xludf.DUMMYFUNCTION("""COMPUTED_VALUE"""),43539.64583333333)</f>
        <v>43539.64583</v>
      </c>
      <c r="C798" s="8">
        <f>IFERROR(__xludf.DUMMYFUNCTION("""COMPUTED_VALUE"""),1974.65)</f>
        <v>1974.65</v>
      </c>
      <c r="E798" s="15">
        <f>IFERROR(__xludf.DUMMYFUNCTION("""COMPUTED_VALUE"""),43539.64583333333)</f>
        <v>43539.64583</v>
      </c>
      <c r="F798" s="8">
        <f>IFERROR(__xludf.DUMMYFUNCTION("""COMPUTED_VALUE"""),1126.5)</f>
        <v>1126.5</v>
      </c>
      <c r="H798" s="4">
        <f t="shared" si="1"/>
        <v>848.15</v>
      </c>
      <c r="I798" s="16">
        <f t="shared" si="2"/>
        <v>841.584</v>
      </c>
      <c r="J798" s="16">
        <f t="shared" si="3"/>
        <v>6.050163634</v>
      </c>
      <c r="K798" s="16">
        <f t="shared" si="4"/>
        <v>847.6341636</v>
      </c>
      <c r="L798" s="16">
        <f t="shared" si="5"/>
        <v>835.5338364</v>
      </c>
      <c r="N798" s="17" t="str">
        <f t="shared" si="6"/>
        <v>F</v>
      </c>
      <c r="O798" s="17" t="str">
        <f t="shared" si="7"/>
        <v>T</v>
      </c>
      <c r="P798" s="8">
        <f t="shared" si="8"/>
        <v>0</v>
      </c>
      <c r="R798" s="17" t="str">
        <f t="shared" si="9"/>
        <v>T</v>
      </c>
      <c r="S798" s="3" t="str">
        <f t="shared" si="10"/>
        <v>F</v>
      </c>
      <c r="T798" s="8">
        <f t="shared" si="11"/>
        <v>-1</v>
      </c>
      <c r="V798" s="4">
        <f t="shared" si="12"/>
        <v>-1</v>
      </c>
      <c r="W798" s="8">
        <f t="shared" si="13"/>
        <v>3.58</v>
      </c>
      <c r="X798" s="8">
        <f t="shared" si="14"/>
        <v>-3.58</v>
      </c>
      <c r="Y798" s="8">
        <f t="shared" si="15"/>
        <v>605.33</v>
      </c>
    </row>
    <row r="799">
      <c r="A799" s="2">
        <v>792.0</v>
      </c>
      <c r="B799" s="15">
        <f>IFERROR(__xludf.DUMMYFUNCTION("""COMPUTED_VALUE"""),43542.64583333333)</f>
        <v>43542.64583</v>
      </c>
      <c r="C799" s="8">
        <f>IFERROR(__xludf.DUMMYFUNCTION("""COMPUTED_VALUE"""),1962.4)</f>
        <v>1962.4</v>
      </c>
      <c r="E799" s="15">
        <f>IFERROR(__xludf.DUMMYFUNCTION("""COMPUTED_VALUE"""),43542.64583333333)</f>
        <v>43542.64583</v>
      </c>
      <c r="F799" s="8">
        <f>IFERROR(__xludf.DUMMYFUNCTION("""COMPUTED_VALUE"""),1130.72)</f>
        <v>1130.72</v>
      </c>
      <c r="H799" s="4">
        <f t="shared" si="1"/>
        <v>831.68</v>
      </c>
      <c r="I799" s="16">
        <f t="shared" si="2"/>
        <v>841.254</v>
      </c>
      <c r="J799" s="16">
        <f t="shared" si="3"/>
        <v>6.630122925</v>
      </c>
      <c r="K799" s="16">
        <f t="shared" si="4"/>
        <v>847.8841229</v>
      </c>
      <c r="L799" s="16">
        <f t="shared" si="5"/>
        <v>834.6238771</v>
      </c>
      <c r="N799" s="17" t="str">
        <f t="shared" si="6"/>
        <v>T</v>
      </c>
      <c r="O799" s="17" t="str">
        <f t="shared" si="7"/>
        <v>F</v>
      </c>
      <c r="P799" s="8">
        <f t="shared" si="8"/>
        <v>1</v>
      </c>
      <c r="R799" s="17" t="str">
        <f t="shared" si="9"/>
        <v>F</v>
      </c>
      <c r="S799" s="3" t="str">
        <f t="shared" si="10"/>
        <v>T</v>
      </c>
      <c r="T799" s="8">
        <f t="shared" si="11"/>
        <v>0</v>
      </c>
      <c r="V799" s="4">
        <f t="shared" si="12"/>
        <v>1</v>
      </c>
      <c r="W799" s="8">
        <f t="shared" si="13"/>
        <v>-16.47</v>
      </c>
      <c r="X799" s="8">
        <f t="shared" si="14"/>
        <v>16.47</v>
      </c>
      <c r="Y799" s="8">
        <f t="shared" si="15"/>
        <v>621.8</v>
      </c>
    </row>
    <row r="800">
      <c r="A800" s="2">
        <v>793.0</v>
      </c>
      <c r="B800" s="15">
        <f>IFERROR(__xludf.DUMMYFUNCTION("""COMPUTED_VALUE"""),43543.64583333333)</f>
        <v>43543.64583</v>
      </c>
      <c r="C800" s="8">
        <f>IFERROR(__xludf.DUMMYFUNCTION("""COMPUTED_VALUE"""),1967.85)</f>
        <v>1967.85</v>
      </c>
      <c r="E800" s="15">
        <f>IFERROR(__xludf.DUMMYFUNCTION("""COMPUTED_VALUE"""),43543.64583333333)</f>
        <v>43543.64583</v>
      </c>
      <c r="F800" s="8">
        <f>IFERROR(__xludf.DUMMYFUNCTION("""COMPUTED_VALUE"""),1133.88)</f>
        <v>1133.88</v>
      </c>
      <c r="H800" s="4">
        <f t="shared" si="1"/>
        <v>833.97</v>
      </c>
      <c r="I800" s="16">
        <f t="shared" si="2"/>
        <v>839.148</v>
      </c>
      <c r="J800" s="16">
        <f t="shared" si="3"/>
        <v>7.003179278</v>
      </c>
      <c r="K800" s="16">
        <f t="shared" si="4"/>
        <v>846.1511793</v>
      </c>
      <c r="L800" s="16">
        <f t="shared" si="5"/>
        <v>832.1448207</v>
      </c>
      <c r="N800" s="17" t="str">
        <f t="shared" si="6"/>
        <v>F</v>
      </c>
      <c r="O800" s="17" t="str">
        <f t="shared" si="7"/>
        <v>F</v>
      </c>
      <c r="P800" s="8">
        <f t="shared" si="8"/>
        <v>1</v>
      </c>
      <c r="R800" s="17" t="str">
        <f t="shared" si="9"/>
        <v>F</v>
      </c>
      <c r="S800" s="3" t="str">
        <f t="shared" si="10"/>
        <v>T</v>
      </c>
      <c r="T800" s="8">
        <f t="shared" si="11"/>
        <v>0</v>
      </c>
      <c r="V800" s="4">
        <f t="shared" si="12"/>
        <v>1</v>
      </c>
      <c r="W800" s="8">
        <f t="shared" si="13"/>
        <v>2.29</v>
      </c>
      <c r="X800" s="8">
        <f t="shared" si="14"/>
        <v>2.29</v>
      </c>
      <c r="Y800" s="8">
        <f t="shared" si="15"/>
        <v>624.09</v>
      </c>
    </row>
    <row r="801">
      <c r="A801" s="2">
        <v>794.0</v>
      </c>
      <c r="B801" s="15">
        <f>IFERROR(__xludf.DUMMYFUNCTION("""COMPUTED_VALUE"""),43544.64583333333)</f>
        <v>43544.64583</v>
      </c>
      <c r="C801" s="8">
        <f>IFERROR(__xludf.DUMMYFUNCTION("""COMPUTED_VALUE"""),1987.55)</f>
        <v>1987.55</v>
      </c>
      <c r="E801" s="15">
        <f>IFERROR(__xludf.DUMMYFUNCTION("""COMPUTED_VALUE"""),43544.64583333333)</f>
        <v>43544.64583</v>
      </c>
      <c r="F801" s="8">
        <f>IFERROR(__xludf.DUMMYFUNCTION("""COMPUTED_VALUE"""),1149.5)</f>
        <v>1149.5</v>
      </c>
      <c r="H801" s="4">
        <f t="shared" si="1"/>
        <v>838.05</v>
      </c>
      <c r="I801" s="16">
        <f t="shared" si="2"/>
        <v>839.284</v>
      </c>
      <c r="J801" s="16">
        <f t="shared" si="3"/>
        <v>6.966525676</v>
      </c>
      <c r="K801" s="16">
        <f t="shared" si="4"/>
        <v>846.2505257</v>
      </c>
      <c r="L801" s="16">
        <f t="shared" si="5"/>
        <v>832.3174743</v>
      </c>
      <c r="N801" s="17" t="str">
        <f t="shared" si="6"/>
        <v>F</v>
      </c>
      <c r="O801" s="17" t="str">
        <f t="shared" si="7"/>
        <v>F</v>
      </c>
      <c r="P801" s="8">
        <f t="shared" si="8"/>
        <v>1</v>
      </c>
      <c r="R801" s="17" t="str">
        <f t="shared" si="9"/>
        <v>F</v>
      </c>
      <c r="S801" s="3" t="str">
        <f t="shared" si="10"/>
        <v>T</v>
      </c>
      <c r="T801" s="8">
        <f t="shared" si="11"/>
        <v>0</v>
      </c>
      <c r="V801" s="4">
        <f t="shared" si="12"/>
        <v>1</v>
      </c>
      <c r="W801" s="8">
        <f t="shared" si="13"/>
        <v>4.08</v>
      </c>
      <c r="X801" s="8">
        <f t="shared" si="14"/>
        <v>4.08</v>
      </c>
      <c r="Y801" s="8">
        <f t="shared" si="15"/>
        <v>628.17</v>
      </c>
    </row>
    <row r="802">
      <c r="A802" s="2">
        <v>795.0</v>
      </c>
      <c r="B802" s="15">
        <f>IFERROR(__xludf.DUMMYFUNCTION("""COMPUTED_VALUE"""),43546.64583333333)</f>
        <v>43546.64583</v>
      </c>
      <c r="C802" s="8">
        <f>IFERROR(__xludf.DUMMYFUNCTION("""COMPUTED_VALUE"""),1981.55)</f>
        <v>1981.55</v>
      </c>
      <c r="E802" s="15">
        <f>IFERROR(__xludf.DUMMYFUNCTION("""COMPUTED_VALUE"""),43546.64583333333)</f>
        <v>43546.64583</v>
      </c>
      <c r="F802" s="8">
        <f>IFERROR(__xludf.DUMMYFUNCTION("""COMPUTED_VALUE"""),1138.08)</f>
        <v>1138.08</v>
      </c>
      <c r="H802" s="4">
        <f t="shared" si="1"/>
        <v>843.47</v>
      </c>
      <c r="I802" s="16">
        <f t="shared" si="2"/>
        <v>839.064</v>
      </c>
      <c r="J802" s="16">
        <f t="shared" si="3"/>
        <v>6.772531285</v>
      </c>
      <c r="K802" s="16">
        <f t="shared" si="4"/>
        <v>845.8365313</v>
      </c>
      <c r="L802" s="16">
        <f t="shared" si="5"/>
        <v>832.2914687</v>
      </c>
      <c r="N802" s="17" t="str">
        <f t="shared" si="6"/>
        <v>F</v>
      </c>
      <c r="O802" s="17" t="str">
        <f t="shared" si="7"/>
        <v>T</v>
      </c>
      <c r="P802" s="8">
        <f t="shared" si="8"/>
        <v>0</v>
      </c>
      <c r="R802" s="17" t="str">
        <f t="shared" si="9"/>
        <v>F</v>
      </c>
      <c r="S802" s="3" t="str">
        <f t="shared" si="10"/>
        <v>F</v>
      </c>
      <c r="T802" s="8">
        <f t="shared" si="11"/>
        <v>0</v>
      </c>
      <c r="V802" s="4">
        <f t="shared" si="12"/>
        <v>0</v>
      </c>
      <c r="W802" s="8">
        <f t="shared" si="13"/>
        <v>5.42</v>
      </c>
      <c r="X802" s="8">
        <f t="shared" si="14"/>
        <v>5.42</v>
      </c>
      <c r="Y802" s="8">
        <f t="shared" si="15"/>
        <v>633.59</v>
      </c>
    </row>
    <row r="803">
      <c r="A803" s="2">
        <v>796.0</v>
      </c>
      <c r="B803" s="15">
        <f>IFERROR(__xludf.DUMMYFUNCTION("""COMPUTED_VALUE"""),43549.64583333333)</f>
        <v>43549.64583</v>
      </c>
      <c r="C803" s="8">
        <f>IFERROR(__xludf.DUMMYFUNCTION("""COMPUTED_VALUE"""),1945.65)</f>
        <v>1945.65</v>
      </c>
      <c r="E803" s="15">
        <f>IFERROR(__xludf.DUMMYFUNCTION("""COMPUTED_VALUE"""),43549.64583333333)</f>
        <v>43549.64583</v>
      </c>
      <c r="F803" s="8">
        <f>IFERROR(__xludf.DUMMYFUNCTION("""COMPUTED_VALUE"""),1140.65)</f>
        <v>1140.65</v>
      </c>
      <c r="H803" s="4">
        <f t="shared" si="1"/>
        <v>805</v>
      </c>
      <c r="I803" s="16">
        <f t="shared" si="2"/>
        <v>830.434</v>
      </c>
      <c r="J803" s="16">
        <f t="shared" si="3"/>
        <v>14.90708657</v>
      </c>
      <c r="K803" s="16">
        <f t="shared" si="4"/>
        <v>845.3410866</v>
      </c>
      <c r="L803" s="16">
        <f t="shared" si="5"/>
        <v>815.5269134</v>
      </c>
      <c r="N803" s="17" t="str">
        <f t="shared" si="6"/>
        <v>T</v>
      </c>
      <c r="O803" s="17" t="str">
        <f t="shared" si="7"/>
        <v>F</v>
      </c>
      <c r="P803" s="8">
        <f t="shared" si="8"/>
        <v>1</v>
      </c>
      <c r="R803" s="17" t="str">
        <f t="shared" si="9"/>
        <v>F</v>
      </c>
      <c r="S803" s="3" t="str">
        <f t="shared" si="10"/>
        <v>T</v>
      </c>
      <c r="T803" s="8">
        <f t="shared" si="11"/>
        <v>0</v>
      </c>
      <c r="V803" s="4">
        <f t="shared" si="12"/>
        <v>1</v>
      </c>
      <c r="W803" s="8">
        <f t="shared" si="13"/>
        <v>-38.47</v>
      </c>
      <c r="X803" s="8">
        <f t="shared" si="14"/>
        <v>0</v>
      </c>
      <c r="Y803" s="8">
        <f t="shared" si="15"/>
        <v>633.59</v>
      </c>
    </row>
    <row r="804">
      <c r="A804" s="2">
        <v>797.0</v>
      </c>
      <c r="B804" s="15">
        <f>IFERROR(__xludf.DUMMYFUNCTION("""COMPUTED_VALUE"""),43550.64583333333)</f>
        <v>43550.64583</v>
      </c>
      <c r="C804" s="8">
        <f>IFERROR(__xludf.DUMMYFUNCTION("""COMPUTED_VALUE"""),1946.3)</f>
        <v>1946.3</v>
      </c>
      <c r="E804" s="15">
        <f>IFERROR(__xludf.DUMMYFUNCTION("""COMPUTED_VALUE"""),43550.64583333333)</f>
        <v>43550.64583</v>
      </c>
      <c r="F804" s="8">
        <f>IFERROR(__xludf.DUMMYFUNCTION("""COMPUTED_VALUE"""),1155.68)</f>
        <v>1155.68</v>
      </c>
      <c r="H804" s="4">
        <f t="shared" si="1"/>
        <v>790.62</v>
      </c>
      <c r="I804" s="16">
        <f t="shared" si="2"/>
        <v>822.222</v>
      </c>
      <c r="J804" s="16">
        <f t="shared" si="3"/>
        <v>23.10466555</v>
      </c>
      <c r="K804" s="16">
        <f t="shared" si="4"/>
        <v>845.3266655</v>
      </c>
      <c r="L804" s="16">
        <f t="shared" si="5"/>
        <v>799.1173345</v>
      </c>
      <c r="N804" s="17" t="str">
        <f t="shared" si="6"/>
        <v>T</v>
      </c>
      <c r="O804" s="17" t="str">
        <f t="shared" si="7"/>
        <v>F</v>
      </c>
      <c r="P804" s="8">
        <f t="shared" si="8"/>
        <v>1</v>
      </c>
      <c r="R804" s="17" t="str">
        <f t="shared" si="9"/>
        <v>F</v>
      </c>
      <c r="S804" s="3" t="str">
        <f t="shared" si="10"/>
        <v>T</v>
      </c>
      <c r="T804" s="8">
        <f t="shared" si="11"/>
        <v>0</v>
      </c>
      <c r="V804" s="4">
        <f t="shared" si="12"/>
        <v>1</v>
      </c>
      <c r="W804" s="8">
        <f t="shared" si="13"/>
        <v>-14.38</v>
      </c>
      <c r="X804" s="8">
        <f t="shared" si="14"/>
        <v>-14.38</v>
      </c>
      <c r="Y804" s="8">
        <f t="shared" si="15"/>
        <v>619.21</v>
      </c>
    </row>
    <row r="805">
      <c r="A805" s="2">
        <v>798.0</v>
      </c>
      <c r="B805" s="15">
        <f>IFERROR(__xludf.DUMMYFUNCTION("""COMPUTED_VALUE"""),43551.64583333333)</f>
        <v>43551.64583</v>
      </c>
      <c r="C805" s="8">
        <f>IFERROR(__xludf.DUMMYFUNCTION("""COMPUTED_VALUE"""),1919.9)</f>
        <v>1919.9</v>
      </c>
      <c r="E805" s="15">
        <f>IFERROR(__xludf.DUMMYFUNCTION("""COMPUTED_VALUE"""),43551.64583333333)</f>
        <v>43551.64583</v>
      </c>
      <c r="F805" s="8">
        <f>IFERROR(__xludf.DUMMYFUNCTION("""COMPUTED_VALUE"""),1149.72)</f>
        <v>1149.72</v>
      </c>
      <c r="H805" s="4">
        <f t="shared" si="1"/>
        <v>770.18</v>
      </c>
      <c r="I805" s="16">
        <f t="shared" si="2"/>
        <v>809.464</v>
      </c>
      <c r="J805" s="16">
        <f t="shared" si="3"/>
        <v>31.1922415</v>
      </c>
      <c r="K805" s="16">
        <f t="shared" si="4"/>
        <v>840.6562415</v>
      </c>
      <c r="L805" s="16">
        <f t="shared" si="5"/>
        <v>778.2717585</v>
      </c>
      <c r="N805" s="17" t="str">
        <f t="shared" si="6"/>
        <v>T</v>
      </c>
      <c r="O805" s="17" t="str">
        <f t="shared" si="7"/>
        <v>F</v>
      </c>
      <c r="P805" s="8">
        <f t="shared" si="8"/>
        <v>1</v>
      </c>
      <c r="R805" s="17" t="str">
        <f t="shared" si="9"/>
        <v>F</v>
      </c>
      <c r="S805" s="3" t="str">
        <f t="shared" si="10"/>
        <v>T</v>
      </c>
      <c r="T805" s="8">
        <f t="shared" si="11"/>
        <v>0</v>
      </c>
      <c r="V805" s="4">
        <f t="shared" si="12"/>
        <v>1</v>
      </c>
      <c r="W805" s="8">
        <f t="shared" si="13"/>
        <v>-20.44</v>
      </c>
      <c r="X805" s="8">
        <f t="shared" si="14"/>
        <v>-20.44</v>
      </c>
      <c r="Y805" s="8">
        <f t="shared" si="15"/>
        <v>598.77</v>
      </c>
    </row>
    <row r="806">
      <c r="A806" s="2">
        <v>799.0</v>
      </c>
      <c r="B806" s="15">
        <f>IFERROR(__xludf.DUMMYFUNCTION("""COMPUTED_VALUE"""),43552.64583333333)</f>
        <v>43552.64583</v>
      </c>
      <c r="C806" s="8">
        <f>IFERROR(__xludf.DUMMYFUNCTION("""COMPUTED_VALUE"""),1944.45)</f>
        <v>1944.45</v>
      </c>
      <c r="E806" s="15">
        <f>IFERROR(__xludf.DUMMYFUNCTION("""COMPUTED_VALUE"""),43552.64583333333)</f>
        <v>43552.64583</v>
      </c>
      <c r="F806" s="8">
        <f>IFERROR(__xludf.DUMMYFUNCTION("""COMPUTED_VALUE"""),1151.4)</f>
        <v>1151.4</v>
      </c>
      <c r="H806" s="4">
        <f t="shared" si="1"/>
        <v>793.05</v>
      </c>
      <c r="I806" s="16">
        <f t="shared" si="2"/>
        <v>800.464</v>
      </c>
      <c r="J806" s="16">
        <f t="shared" si="3"/>
        <v>27.10665841</v>
      </c>
      <c r="K806" s="16">
        <f t="shared" si="4"/>
        <v>827.5706584</v>
      </c>
      <c r="L806" s="16">
        <f t="shared" si="5"/>
        <v>773.3573416</v>
      </c>
      <c r="N806" s="17" t="str">
        <f t="shared" si="6"/>
        <v>F</v>
      </c>
      <c r="O806" s="17" t="str">
        <f t="shared" si="7"/>
        <v>F</v>
      </c>
      <c r="P806" s="8">
        <f t="shared" si="8"/>
        <v>1</v>
      </c>
      <c r="R806" s="17" t="str">
        <f t="shared" si="9"/>
        <v>F</v>
      </c>
      <c r="S806" s="3" t="str">
        <f t="shared" si="10"/>
        <v>T</v>
      </c>
      <c r="T806" s="8">
        <f t="shared" si="11"/>
        <v>0</v>
      </c>
      <c r="V806" s="4">
        <f t="shared" si="12"/>
        <v>1</v>
      </c>
      <c r="W806" s="8">
        <f t="shared" si="13"/>
        <v>22.87</v>
      </c>
      <c r="X806" s="8">
        <f t="shared" si="14"/>
        <v>22.87</v>
      </c>
      <c r="Y806" s="8">
        <f t="shared" si="15"/>
        <v>621.64</v>
      </c>
    </row>
    <row r="807">
      <c r="A807" s="2">
        <v>800.0</v>
      </c>
      <c r="B807" s="15">
        <f>IFERROR(__xludf.DUMMYFUNCTION("""COMPUTED_VALUE"""),43553.64583333333)</f>
        <v>43553.64583</v>
      </c>
      <c r="C807" s="8">
        <f>IFERROR(__xludf.DUMMYFUNCTION("""COMPUTED_VALUE"""),1968.25)</f>
        <v>1968.25</v>
      </c>
      <c r="E807" s="15">
        <f>IFERROR(__xludf.DUMMYFUNCTION("""COMPUTED_VALUE"""),43553.64583333333)</f>
        <v>43553.64583</v>
      </c>
      <c r="F807" s="8">
        <f>IFERROR(__xludf.DUMMYFUNCTION("""COMPUTED_VALUE"""),1159.45)</f>
        <v>1159.45</v>
      </c>
      <c r="H807" s="4">
        <f t="shared" si="1"/>
        <v>808.8</v>
      </c>
      <c r="I807" s="16">
        <f t="shared" si="2"/>
        <v>793.53</v>
      </c>
      <c r="J807" s="16">
        <f t="shared" si="3"/>
        <v>15.15465935</v>
      </c>
      <c r="K807" s="16">
        <f t="shared" si="4"/>
        <v>808.6846593</v>
      </c>
      <c r="L807" s="16">
        <f t="shared" si="5"/>
        <v>778.3753407</v>
      </c>
      <c r="N807" s="17" t="str">
        <f t="shared" si="6"/>
        <v>F</v>
      </c>
      <c r="O807" s="17" t="str">
        <f t="shared" si="7"/>
        <v>T</v>
      </c>
      <c r="P807" s="8">
        <f t="shared" si="8"/>
        <v>0</v>
      </c>
      <c r="R807" s="17" t="str">
        <f t="shared" si="9"/>
        <v>T</v>
      </c>
      <c r="S807" s="3" t="str">
        <f t="shared" si="10"/>
        <v>F</v>
      </c>
      <c r="T807" s="8">
        <f t="shared" si="11"/>
        <v>-1</v>
      </c>
      <c r="V807" s="4">
        <f t="shared" si="12"/>
        <v>-1</v>
      </c>
      <c r="W807" s="8">
        <f t="shared" si="13"/>
        <v>15.75</v>
      </c>
      <c r="X807" s="8">
        <f t="shared" si="14"/>
        <v>15.75</v>
      </c>
      <c r="Y807" s="8">
        <f t="shared" si="15"/>
        <v>637.39</v>
      </c>
    </row>
    <row r="808">
      <c r="A808" s="2">
        <v>801.0</v>
      </c>
      <c r="B808" s="15">
        <f>IFERROR(__xludf.DUMMYFUNCTION("""COMPUTED_VALUE"""),43556.64583333333)</f>
        <v>43556.64583</v>
      </c>
      <c r="C808" s="8">
        <f>IFERROR(__xludf.DUMMYFUNCTION("""COMPUTED_VALUE"""),1959.65)</f>
        <v>1959.65</v>
      </c>
      <c r="E808" s="15">
        <f>IFERROR(__xludf.DUMMYFUNCTION("""COMPUTED_VALUE"""),43556.64583333333)</f>
        <v>43556.64583</v>
      </c>
      <c r="F808" s="8">
        <f>IFERROR(__xludf.DUMMYFUNCTION("""COMPUTED_VALUE"""),1155.9)</f>
        <v>1155.9</v>
      </c>
      <c r="H808" s="4">
        <f t="shared" si="1"/>
        <v>803.75</v>
      </c>
      <c r="I808" s="16">
        <f t="shared" si="2"/>
        <v>793.28</v>
      </c>
      <c r="J808" s="16">
        <f t="shared" si="3"/>
        <v>14.92673608</v>
      </c>
      <c r="K808" s="16">
        <f t="shared" si="4"/>
        <v>808.2067361</v>
      </c>
      <c r="L808" s="16">
        <f t="shared" si="5"/>
        <v>778.3532639</v>
      </c>
      <c r="N808" s="17" t="str">
        <f t="shared" si="6"/>
        <v>F</v>
      </c>
      <c r="O808" s="17" t="str">
        <f t="shared" si="7"/>
        <v>T</v>
      </c>
      <c r="P808" s="8">
        <f t="shared" si="8"/>
        <v>0</v>
      </c>
      <c r="R808" s="17" t="str">
        <f t="shared" si="9"/>
        <v>F</v>
      </c>
      <c r="S808" s="3" t="str">
        <f t="shared" si="10"/>
        <v>F</v>
      </c>
      <c r="T808" s="8">
        <f t="shared" si="11"/>
        <v>-1</v>
      </c>
      <c r="V808" s="4">
        <f t="shared" si="12"/>
        <v>-1</v>
      </c>
      <c r="W808" s="8">
        <f t="shared" si="13"/>
        <v>-5.05</v>
      </c>
      <c r="X808" s="8">
        <f t="shared" si="14"/>
        <v>5.05</v>
      </c>
      <c r="Y808" s="8">
        <f t="shared" si="15"/>
        <v>642.44</v>
      </c>
    </row>
    <row r="809">
      <c r="A809" s="2">
        <v>802.0</v>
      </c>
      <c r="B809" s="15">
        <f>IFERROR(__xludf.DUMMYFUNCTION("""COMPUTED_VALUE"""),43557.64583333333)</f>
        <v>43557.64583</v>
      </c>
      <c r="C809" s="8">
        <f>IFERROR(__xludf.DUMMYFUNCTION("""COMPUTED_VALUE"""),1995.95)</f>
        <v>1995.95</v>
      </c>
      <c r="E809" s="15">
        <f>IFERROR(__xludf.DUMMYFUNCTION("""COMPUTED_VALUE"""),43557.64583333333)</f>
        <v>43557.64583</v>
      </c>
      <c r="F809" s="8">
        <f>IFERROR(__xludf.DUMMYFUNCTION("""COMPUTED_VALUE"""),1147.43)</f>
        <v>1147.43</v>
      </c>
      <c r="H809" s="4">
        <f t="shared" si="1"/>
        <v>848.52</v>
      </c>
      <c r="I809" s="16">
        <f t="shared" si="2"/>
        <v>804.86</v>
      </c>
      <c r="J809" s="16">
        <f t="shared" si="3"/>
        <v>28.57065715</v>
      </c>
      <c r="K809" s="16">
        <f t="shared" si="4"/>
        <v>833.4306572</v>
      </c>
      <c r="L809" s="16">
        <f t="shared" si="5"/>
        <v>776.2893428</v>
      </c>
      <c r="N809" s="17" t="str">
        <f t="shared" si="6"/>
        <v>F</v>
      </c>
      <c r="O809" s="17" t="str">
        <f t="shared" si="7"/>
        <v>T</v>
      </c>
      <c r="P809" s="8">
        <f t="shared" si="8"/>
        <v>0</v>
      </c>
      <c r="R809" s="17" t="str">
        <f t="shared" si="9"/>
        <v>T</v>
      </c>
      <c r="S809" s="3" t="str">
        <f t="shared" si="10"/>
        <v>F</v>
      </c>
      <c r="T809" s="8">
        <f t="shared" si="11"/>
        <v>-1</v>
      </c>
      <c r="V809" s="4">
        <f t="shared" si="12"/>
        <v>-1</v>
      </c>
      <c r="W809" s="8">
        <f t="shared" si="13"/>
        <v>44.77</v>
      </c>
      <c r="X809" s="8">
        <f t="shared" si="14"/>
        <v>-44.77</v>
      </c>
      <c r="Y809" s="8">
        <f t="shared" si="15"/>
        <v>597.67</v>
      </c>
    </row>
    <row r="810">
      <c r="A810" s="2">
        <v>803.0</v>
      </c>
      <c r="B810" s="15">
        <f>IFERROR(__xludf.DUMMYFUNCTION("""COMPUTED_VALUE"""),43558.64583333333)</f>
        <v>43558.64583</v>
      </c>
      <c r="C810" s="8">
        <f>IFERROR(__xludf.DUMMYFUNCTION("""COMPUTED_VALUE"""),2013.1)</f>
        <v>2013.1</v>
      </c>
      <c r="E810" s="15">
        <f>IFERROR(__xludf.DUMMYFUNCTION("""COMPUTED_VALUE"""),43558.64583333333)</f>
        <v>43558.64583</v>
      </c>
      <c r="F810" s="8">
        <f>IFERROR(__xludf.DUMMYFUNCTION("""COMPUTED_VALUE"""),1146.38)</f>
        <v>1146.38</v>
      </c>
      <c r="H810" s="4">
        <f t="shared" si="1"/>
        <v>866.72</v>
      </c>
      <c r="I810" s="16">
        <f t="shared" si="2"/>
        <v>824.168</v>
      </c>
      <c r="J810" s="16">
        <f t="shared" si="3"/>
        <v>31.72180906</v>
      </c>
      <c r="K810" s="16">
        <f t="shared" si="4"/>
        <v>855.8898091</v>
      </c>
      <c r="L810" s="16">
        <f t="shared" si="5"/>
        <v>792.4461909</v>
      </c>
      <c r="N810" s="17" t="str">
        <f t="shared" si="6"/>
        <v>F</v>
      </c>
      <c r="O810" s="17" t="str">
        <f t="shared" si="7"/>
        <v>T</v>
      </c>
      <c r="P810" s="8">
        <f t="shared" si="8"/>
        <v>0</v>
      </c>
      <c r="R810" s="17" t="str">
        <f t="shared" si="9"/>
        <v>T</v>
      </c>
      <c r="S810" s="3" t="str">
        <f t="shared" si="10"/>
        <v>F</v>
      </c>
      <c r="T810" s="8">
        <f t="shared" si="11"/>
        <v>-1</v>
      </c>
      <c r="V810" s="4">
        <f t="shared" si="12"/>
        <v>-1</v>
      </c>
      <c r="W810" s="8">
        <f t="shared" si="13"/>
        <v>18.2</v>
      </c>
      <c r="X810" s="8">
        <f t="shared" si="14"/>
        <v>-18.2</v>
      </c>
      <c r="Y810" s="8">
        <f t="shared" si="15"/>
        <v>579.47</v>
      </c>
    </row>
    <row r="811">
      <c r="A811" s="2">
        <v>804.0</v>
      </c>
      <c r="B811" s="15">
        <f>IFERROR(__xludf.DUMMYFUNCTION("""COMPUTED_VALUE"""),43559.64583333333)</f>
        <v>43559.64583</v>
      </c>
      <c r="C811" s="8">
        <f>IFERROR(__xludf.DUMMYFUNCTION("""COMPUTED_VALUE"""),2042.05)</f>
        <v>2042.05</v>
      </c>
      <c r="E811" s="15">
        <f>IFERROR(__xludf.DUMMYFUNCTION("""COMPUTED_VALUE"""),43559.64583333333)</f>
        <v>43559.64583</v>
      </c>
      <c r="F811" s="8">
        <f>IFERROR(__xludf.DUMMYFUNCTION("""COMPUTED_VALUE"""),1141.97)</f>
        <v>1141.97</v>
      </c>
      <c r="H811" s="4">
        <f t="shared" si="1"/>
        <v>900.08</v>
      </c>
      <c r="I811" s="16">
        <f t="shared" si="2"/>
        <v>845.574</v>
      </c>
      <c r="J811" s="16">
        <f t="shared" si="3"/>
        <v>40.39897994</v>
      </c>
      <c r="K811" s="16">
        <f t="shared" si="4"/>
        <v>885.9729799</v>
      </c>
      <c r="L811" s="16">
        <f t="shared" si="5"/>
        <v>805.1750201</v>
      </c>
      <c r="N811" s="17" t="str">
        <f t="shared" si="6"/>
        <v>F</v>
      </c>
      <c r="O811" s="17" t="str">
        <f t="shared" si="7"/>
        <v>T</v>
      </c>
      <c r="P811" s="8">
        <f t="shared" si="8"/>
        <v>0</v>
      </c>
      <c r="R811" s="17" t="str">
        <f t="shared" si="9"/>
        <v>T</v>
      </c>
      <c r="S811" s="3" t="str">
        <f t="shared" si="10"/>
        <v>F</v>
      </c>
      <c r="T811" s="8">
        <f t="shared" si="11"/>
        <v>-1</v>
      </c>
      <c r="V811" s="4">
        <f t="shared" si="12"/>
        <v>-1</v>
      </c>
      <c r="W811" s="8">
        <f t="shared" si="13"/>
        <v>33.36</v>
      </c>
      <c r="X811" s="8">
        <f t="shared" si="14"/>
        <v>-33.36</v>
      </c>
      <c r="Y811" s="8">
        <f t="shared" si="15"/>
        <v>546.11</v>
      </c>
    </row>
    <row r="812">
      <c r="A812" s="2">
        <v>805.0</v>
      </c>
      <c r="B812" s="15">
        <f>IFERROR(__xludf.DUMMYFUNCTION("""COMPUTED_VALUE"""),43560.64583333333)</f>
        <v>43560.64583</v>
      </c>
      <c r="C812" s="8">
        <f>IFERROR(__xludf.DUMMYFUNCTION("""COMPUTED_VALUE"""),2059.2)</f>
        <v>2059.2</v>
      </c>
      <c r="E812" s="15">
        <f>IFERROR(__xludf.DUMMYFUNCTION("""COMPUTED_VALUE"""),43560.64583333333)</f>
        <v>43560.64583</v>
      </c>
      <c r="F812" s="8">
        <f>IFERROR(__xludf.DUMMYFUNCTION("""COMPUTED_VALUE"""),1152.8)</f>
        <v>1152.8</v>
      </c>
      <c r="H812" s="4">
        <f t="shared" si="1"/>
        <v>906.4</v>
      </c>
      <c r="I812" s="16">
        <f t="shared" si="2"/>
        <v>865.094</v>
      </c>
      <c r="J812" s="16">
        <f t="shared" si="3"/>
        <v>41.74515996</v>
      </c>
      <c r="K812" s="16">
        <f t="shared" si="4"/>
        <v>906.83916</v>
      </c>
      <c r="L812" s="16">
        <f t="shared" si="5"/>
        <v>823.34884</v>
      </c>
      <c r="N812" s="17" t="str">
        <f t="shared" si="6"/>
        <v>F</v>
      </c>
      <c r="O812" s="17" t="str">
        <f t="shared" si="7"/>
        <v>T</v>
      </c>
      <c r="P812" s="8">
        <f t="shared" si="8"/>
        <v>0</v>
      </c>
      <c r="R812" s="17" t="str">
        <f t="shared" si="9"/>
        <v>F</v>
      </c>
      <c r="S812" s="3" t="str">
        <f t="shared" si="10"/>
        <v>F</v>
      </c>
      <c r="T812" s="8">
        <f t="shared" si="11"/>
        <v>-1</v>
      </c>
      <c r="V812" s="4">
        <f t="shared" si="12"/>
        <v>-1</v>
      </c>
      <c r="W812" s="8">
        <f t="shared" si="13"/>
        <v>6.32</v>
      </c>
      <c r="X812" s="8">
        <f t="shared" si="14"/>
        <v>-6.32</v>
      </c>
      <c r="Y812" s="8">
        <f t="shared" si="15"/>
        <v>539.79</v>
      </c>
    </row>
    <row r="813">
      <c r="A813" s="2">
        <v>806.0</v>
      </c>
      <c r="B813" s="15">
        <f>IFERROR(__xludf.DUMMYFUNCTION("""COMPUTED_VALUE"""),43563.64583333333)</f>
        <v>43563.64583</v>
      </c>
      <c r="C813" s="8">
        <f>IFERROR(__xludf.DUMMYFUNCTION("""COMPUTED_VALUE"""),2054.9)</f>
        <v>2054.9</v>
      </c>
      <c r="E813" s="15">
        <f>IFERROR(__xludf.DUMMYFUNCTION("""COMPUTED_VALUE"""),43563.64583333333)</f>
        <v>43563.64583</v>
      </c>
      <c r="F813" s="8">
        <f>IFERROR(__xludf.DUMMYFUNCTION("""COMPUTED_VALUE"""),1144.7)</f>
        <v>1144.7</v>
      </c>
      <c r="H813" s="4">
        <f t="shared" si="1"/>
        <v>910.2</v>
      </c>
      <c r="I813" s="16">
        <f t="shared" si="2"/>
        <v>886.384</v>
      </c>
      <c r="J813" s="16">
        <f t="shared" si="3"/>
        <v>27.27534564</v>
      </c>
      <c r="K813" s="16">
        <f t="shared" si="4"/>
        <v>913.6593456</v>
      </c>
      <c r="L813" s="16">
        <f t="shared" si="5"/>
        <v>859.1086544</v>
      </c>
      <c r="N813" s="17" t="str">
        <f t="shared" si="6"/>
        <v>F</v>
      </c>
      <c r="O813" s="17" t="str">
        <f t="shared" si="7"/>
        <v>T</v>
      </c>
      <c r="P813" s="8">
        <f t="shared" si="8"/>
        <v>0</v>
      </c>
      <c r="R813" s="17" t="str">
        <f t="shared" si="9"/>
        <v>F</v>
      </c>
      <c r="S813" s="3" t="str">
        <f t="shared" si="10"/>
        <v>F</v>
      </c>
      <c r="T813" s="8">
        <f t="shared" si="11"/>
        <v>-1</v>
      </c>
      <c r="V813" s="4">
        <f t="shared" si="12"/>
        <v>-1</v>
      </c>
      <c r="W813" s="8">
        <f t="shared" si="13"/>
        <v>3.8</v>
      </c>
      <c r="X813" s="8">
        <f t="shared" si="14"/>
        <v>-3.8</v>
      </c>
      <c r="Y813" s="8">
        <f t="shared" si="15"/>
        <v>535.99</v>
      </c>
    </row>
    <row r="814">
      <c r="A814" s="2">
        <v>807.0</v>
      </c>
      <c r="B814" s="15">
        <f>IFERROR(__xludf.DUMMYFUNCTION("""COMPUTED_VALUE"""),43564.64583333333)</f>
        <v>43564.64583</v>
      </c>
      <c r="C814" s="8">
        <f>IFERROR(__xludf.DUMMYFUNCTION("""COMPUTED_VALUE"""),2069.15)</f>
        <v>2069.15</v>
      </c>
      <c r="E814" s="15">
        <f>IFERROR(__xludf.DUMMYFUNCTION("""COMPUTED_VALUE"""),43564.64583333333)</f>
        <v>43564.64583</v>
      </c>
      <c r="F814" s="8">
        <f>IFERROR(__xludf.DUMMYFUNCTION("""COMPUTED_VALUE"""),1143.63)</f>
        <v>1143.63</v>
      </c>
      <c r="H814" s="4">
        <f t="shared" si="1"/>
        <v>925.52</v>
      </c>
      <c r="I814" s="16">
        <f t="shared" si="2"/>
        <v>901.784</v>
      </c>
      <c r="J814" s="16">
        <f t="shared" si="3"/>
        <v>21.72511174</v>
      </c>
      <c r="K814" s="16">
        <f t="shared" si="4"/>
        <v>923.5091117</v>
      </c>
      <c r="L814" s="16">
        <f t="shared" si="5"/>
        <v>880.0588883</v>
      </c>
      <c r="N814" s="17" t="str">
        <f t="shared" si="6"/>
        <v>F</v>
      </c>
      <c r="O814" s="17" t="str">
        <f t="shared" si="7"/>
        <v>T</v>
      </c>
      <c r="P814" s="8">
        <f t="shared" si="8"/>
        <v>0</v>
      </c>
      <c r="R814" s="17" t="str">
        <f t="shared" si="9"/>
        <v>T</v>
      </c>
      <c r="S814" s="3" t="str">
        <f t="shared" si="10"/>
        <v>F</v>
      </c>
      <c r="T814" s="8">
        <f t="shared" si="11"/>
        <v>-1</v>
      </c>
      <c r="V814" s="4">
        <f t="shared" si="12"/>
        <v>-1</v>
      </c>
      <c r="W814" s="8">
        <f t="shared" si="13"/>
        <v>15.32</v>
      </c>
      <c r="X814" s="8">
        <f t="shared" si="14"/>
        <v>-15.32</v>
      </c>
      <c r="Y814" s="8">
        <f t="shared" si="15"/>
        <v>520.67</v>
      </c>
    </row>
    <row r="815">
      <c r="A815" s="2">
        <v>808.0</v>
      </c>
      <c r="B815" s="15">
        <f>IFERROR(__xludf.DUMMYFUNCTION("""COMPUTED_VALUE"""),43565.64583333333)</f>
        <v>43565.64583</v>
      </c>
      <c r="C815" s="8">
        <f>IFERROR(__xludf.DUMMYFUNCTION("""COMPUTED_VALUE"""),2029.25)</f>
        <v>2029.25</v>
      </c>
      <c r="E815" s="15">
        <f>IFERROR(__xludf.DUMMYFUNCTION("""COMPUTED_VALUE"""),43565.64583333333)</f>
        <v>43565.64583</v>
      </c>
      <c r="F815" s="8">
        <f>IFERROR(__xludf.DUMMYFUNCTION("""COMPUTED_VALUE"""),1118.68)</f>
        <v>1118.68</v>
      </c>
      <c r="H815" s="4">
        <f t="shared" si="1"/>
        <v>910.57</v>
      </c>
      <c r="I815" s="16">
        <f t="shared" si="2"/>
        <v>910.554</v>
      </c>
      <c r="J815" s="16">
        <f t="shared" si="3"/>
        <v>9.368392605</v>
      </c>
      <c r="K815" s="16">
        <f t="shared" si="4"/>
        <v>919.9223926</v>
      </c>
      <c r="L815" s="16">
        <f t="shared" si="5"/>
        <v>901.1856074</v>
      </c>
      <c r="N815" s="17" t="str">
        <f t="shared" si="6"/>
        <v>F</v>
      </c>
      <c r="O815" s="17" t="str">
        <f t="shared" si="7"/>
        <v>T</v>
      </c>
      <c r="P815" s="8">
        <f t="shared" si="8"/>
        <v>0</v>
      </c>
      <c r="R815" s="17" t="str">
        <f t="shared" si="9"/>
        <v>F</v>
      </c>
      <c r="S815" s="3" t="str">
        <f t="shared" si="10"/>
        <v>F</v>
      </c>
      <c r="T815" s="8">
        <f t="shared" si="11"/>
        <v>-1</v>
      </c>
      <c r="V815" s="4">
        <f t="shared" si="12"/>
        <v>-1</v>
      </c>
      <c r="W815" s="8">
        <f t="shared" si="13"/>
        <v>-14.95</v>
      </c>
      <c r="X815" s="8">
        <f t="shared" si="14"/>
        <v>14.95</v>
      </c>
      <c r="Y815" s="8">
        <f t="shared" si="15"/>
        <v>535.62</v>
      </c>
    </row>
    <row r="816">
      <c r="A816" s="2">
        <v>809.0</v>
      </c>
      <c r="B816" s="15">
        <f>IFERROR(__xludf.DUMMYFUNCTION("""COMPUTED_VALUE"""),43566.64583333333)</f>
        <v>43566.64583</v>
      </c>
      <c r="C816" s="8">
        <f>IFERROR(__xludf.DUMMYFUNCTION("""COMPUTED_VALUE"""),2022.8)</f>
        <v>2022.8</v>
      </c>
      <c r="E816" s="15">
        <f>IFERROR(__xludf.DUMMYFUNCTION("""COMPUTED_VALUE"""),43566.64583333333)</f>
        <v>43566.64583</v>
      </c>
      <c r="F816" s="8">
        <f>IFERROR(__xludf.DUMMYFUNCTION("""COMPUTED_VALUE"""),1128.75)</f>
        <v>1128.75</v>
      </c>
      <c r="H816" s="4">
        <f t="shared" si="1"/>
        <v>894.05</v>
      </c>
      <c r="I816" s="16">
        <f t="shared" si="2"/>
        <v>909.348</v>
      </c>
      <c r="J816" s="16">
        <f t="shared" si="3"/>
        <v>11.25246951</v>
      </c>
      <c r="K816" s="16">
        <f t="shared" si="4"/>
        <v>920.6004695</v>
      </c>
      <c r="L816" s="16">
        <f t="shared" si="5"/>
        <v>898.0955305</v>
      </c>
      <c r="N816" s="17" t="str">
        <f t="shared" si="6"/>
        <v>T</v>
      </c>
      <c r="O816" s="17" t="str">
        <f t="shared" si="7"/>
        <v>F</v>
      </c>
      <c r="P816" s="8">
        <f t="shared" si="8"/>
        <v>1</v>
      </c>
      <c r="R816" s="17" t="str">
        <f t="shared" si="9"/>
        <v>F</v>
      </c>
      <c r="S816" s="3" t="str">
        <f t="shared" si="10"/>
        <v>T</v>
      </c>
      <c r="T816" s="8">
        <f t="shared" si="11"/>
        <v>0</v>
      </c>
      <c r="V816" s="4">
        <f t="shared" si="12"/>
        <v>1</v>
      </c>
      <c r="W816" s="8">
        <f t="shared" si="13"/>
        <v>-16.52</v>
      </c>
      <c r="X816" s="8">
        <f t="shared" si="14"/>
        <v>16.52</v>
      </c>
      <c r="Y816" s="8">
        <f t="shared" si="15"/>
        <v>552.14</v>
      </c>
    </row>
    <row r="817">
      <c r="A817" s="2">
        <v>810.0</v>
      </c>
      <c r="B817" s="15">
        <f>IFERROR(__xludf.DUMMYFUNCTION("""COMPUTED_VALUE"""),43567.64583333333)</f>
        <v>43567.64583</v>
      </c>
      <c r="C817" s="8">
        <f>IFERROR(__xludf.DUMMYFUNCTION("""COMPUTED_VALUE"""),2024.95)</f>
        <v>2024.95</v>
      </c>
      <c r="E817" s="15">
        <f>IFERROR(__xludf.DUMMYFUNCTION("""COMPUTED_VALUE"""),43567.64583333333)</f>
        <v>43567.64583</v>
      </c>
      <c r="F817" s="8">
        <f>IFERROR(__xludf.DUMMYFUNCTION("""COMPUTED_VALUE"""),1132.63)</f>
        <v>1132.63</v>
      </c>
      <c r="H817" s="4">
        <f t="shared" si="1"/>
        <v>892.32</v>
      </c>
      <c r="I817" s="16">
        <f t="shared" si="2"/>
        <v>906.532</v>
      </c>
      <c r="J817" s="16">
        <f t="shared" si="3"/>
        <v>13.67557202</v>
      </c>
      <c r="K817" s="16">
        <f t="shared" si="4"/>
        <v>920.207572</v>
      </c>
      <c r="L817" s="16">
        <f t="shared" si="5"/>
        <v>892.856428</v>
      </c>
      <c r="N817" s="17" t="str">
        <f t="shared" si="6"/>
        <v>T</v>
      </c>
      <c r="O817" s="17" t="str">
        <f t="shared" si="7"/>
        <v>F</v>
      </c>
      <c r="P817" s="8">
        <f t="shared" si="8"/>
        <v>1</v>
      </c>
      <c r="R817" s="17" t="str">
        <f t="shared" si="9"/>
        <v>F</v>
      </c>
      <c r="S817" s="3" t="str">
        <f t="shared" si="10"/>
        <v>T</v>
      </c>
      <c r="T817" s="8">
        <f t="shared" si="11"/>
        <v>0</v>
      </c>
      <c r="V817" s="4">
        <f t="shared" si="12"/>
        <v>1</v>
      </c>
      <c r="W817" s="8">
        <f t="shared" si="13"/>
        <v>-1.73</v>
      </c>
      <c r="X817" s="8">
        <f t="shared" si="14"/>
        <v>-1.73</v>
      </c>
      <c r="Y817" s="8">
        <f t="shared" si="15"/>
        <v>550.41</v>
      </c>
    </row>
    <row r="818">
      <c r="A818" s="2">
        <v>811.0</v>
      </c>
      <c r="B818" s="15">
        <f>IFERROR(__xludf.DUMMYFUNCTION("""COMPUTED_VALUE"""),43570.64583333333)</f>
        <v>43570.64583</v>
      </c>
      <c r="C818" s="8">
        <f>IFERROR(__xludf.DUMMYFUNCTION("""COMPUTED_VALUE"""),2014.25)</f>
        <v>2014.25</v>
      </c>
      <c r="E818" s="15">
        <f>IFERROR(__xludf.DUMMYFUNCTION("""COMPUTED_VALUE"""),43570.64583333333)</f>
        <v>43570.64583</v>
      </c>
      <c r="F818" s="8">
        <f>IFERROR(__xludf.DUMMYFUNCTION("""COMPUTED_VALUE"""),1144.4)</f>
        <v>1144.4</v>
      </c>
      <c r="H818" s="4">
        <f t="shared" si="1"/>
        <v>869.85</v>
      </c>
      <c r="I818" s="16">
        <f t="shared" si="2"/>
        <v>898.462</v>
      </c>
      <c r="J818" s="16">
        <f t="shared" si="3"/>
        <v>20.94382654</v>
      </c>
      <c r="K818" s="16">
        <f t="shared" si="4"/>
        <v>919.4058265</v>
      </c>
      <c r="L818" s="16">
        <f t="shared" si="5"/>
        <v>877.5181735</v>
      </c>
      <c r="N818" s="17" t="str">
        <f t="shared" si="6"/>
        <v>T</v>
      </c>
      <c r="O818" s="17" t="str">
        <f t="shared" si="7"/>
        <v>F</v>
      </c>
      <c r="P818" s="8">
        <f t="shared" si="8"/>
        <v>1</v>
      </c>
      <c r="R818" s="17" t="str">
        <f t="shared" si="9"/>
        <v>F</v>
      </c>
      <c r="S818" s="3" t="str">
        <f t="shared" si="10"/>
        <v>T</v>
      </c>
      <c r="T818" s="8">
        <f t="shared" si="11"/>
        <v>0</v>
      </c>
      <c r="V818" s="4">
        <f t="shared" si="12"/>
        <v>1</v>
      </c>
      <c r="W818" s="8">
        <f t="shared" si="13"/>
        <v>-22.47</v>
      </c>
      <c r="X818" s="8">
        <f t="shared" si="14"/>
        <v>-22.47</v>
      </c>
      <c r="Y818" s="8">
        <f t="shared" si="15"/>
        <v>527.94</v>
      </c>
    </row>
    <row r="819">
      <c r="A819" s="2">
        <v>812.0</v>
      </c>
      <c r="B819" s="15">
        <f>IFERROR(__xludf.DUMMYFUNCTION("""COMPUTED_VALUE"""),43571.64583333333)</f>
        <v>43571.64583</v>
      </c>
      <c r="C819" s="8">
        <f>IFERROR(__xludf.DUMMYFUNCTION("""COMPUTED_VALUE"""),2026.7)</f>
        <v>2026.7</v>
      </c>
      <c r="E819" s="15">
        <f>IFERROR(__xludf.DUMMYFUNCTION("""COMPUTED_VALUE"""),43571.64583333333)</f>
        <v>43571.64583</v>
      </c>
      <c r="F819" s="8">
        <f>IFERROR(__xludf.DUMMYFUNCTION("""COMPUTED_VALUE"""),1152.53)</f>
        <v>1152.53</v>
      </c>
      <c r="H819" s="4">
        <f t="shared" si="1"/>
        <v>874.17</v>
      </c>
      <c r="I819" s="16">
        <f t="shared" si="2"/>
        <v>888.192</v>
      </c>
      <c r="J819" s="16">
        <f t="shared" si="3"/>
        <v>16.47101151</v>
      </c>
      <c r="K819" s="16">
        <f t="shared" si="4"/>
        <v>904.6630115</v>
      </c>
      <c r="L819" s="16">
        <f t="shared" si="5"/>
        <v>871.7209885</v>
      </c>
      <c r="N819" s="17" t="str">
        <f t="shared" si="6"/>
        <v>F</v>
      </c>
      <c r="O819" s="17" t="str">
        <f t="shared" si="7"/>
        <v>F</v>
      </c>
      <c r="P819" s="8">
        <f t="shared" si="8"/>
        <v>1</v>
      </c>
      <c r="R819" s="17" t="str">
        <f t="shared" si="9"/>
        <v>F</v>
      </c>
      <c r="S819" s="3" t="str">
        <f t="shared" si="10"/>
        <v>T</v>
      </c>
      <c r="T819" s="8">
        <f t="shared" si="11"/>
        <v>0</v>
      </c>
      <c r="V819" s="4">
        <f t="shared" si="12"/>
        <v>1</v>
      </c>
      <c r="W819" s="8">
        <f t="shared" si="13"/>
        <v>4.32</v>
      </c>
      <c r="X819" s="8">
        <f t="shared" si="14"/>
        <v>4.32</v>
      </c>
      <c r="Y819" s="8">
        <f t="shared" si="15"/>
        <v>532.26</v>
      </c>
    </row>
    <row r="820">
      <c r="A820" s="2">
        <v>813.0</v>
      </c>
      <c r="B820" s="15">
        <f>IFERROR(__xludf.DUMMYFUNCTION("""COMPUTED_VALUE"""),43573.64583333333)</f>
        <v>43573.64583</v>
      </c>
      <c r="C820" s="8">
        <f>IFERROR(__xludf.DUMMYFUNCTION("""COMPUTED_VALUE"""),2003.75)</f>
        <v>2003.75</v>
      </c>
      <c r="E820" s="15">
        <f>IFERROR(__xludf.DUMMYFUNCTION("""COMPUTED_VALUE"""),43573.64583333333)</f>
        <v>43573.64583</v>
      </c>
      <c r="F820" s="8">
        <f>IFERROR(__xludf.DUMMYFUNCTION("""COMPUTED_VALUE"""),1146.83)</f>
        <v>1146.83</v>
      </c>
      <c r="H820" s="4">
        <f t="shared" si="1"/>
        <v>856.92</v>
      </c>
      <c r="I820" s="16">
        <f t="shared" si="2"/>
        <v>877.462</v>
      </c>
      <c r="J820" s="16">
        <f t="shared" si="3"/>
        <v>15.70569546</v>
      </c>
      <c r="K820" s="16">
        <f t="shared" si="4"/>
        <v>893.1676955</v>
      </c>
      <c r="L820" s="16">
        <f t="shared" si="5"/>
        <v>861.7563045</v>
      </c>
      <c r="N820" s="17" t="str">
        <f t="shared" si="6"/>
        <v>T</v>
      </c>
      <c r="O820" s="17" t="str">
        <f t="shared" si="7"/>
        <v>F</v>
      </c>
      <c r="P820" s="8">
        <f t="shared" si="8"/>
        <v>1</v>
      </c>
      <c r="R820" s="17" t="str">
        <f t="shared" si="9"/>
        <v>F</v>
      </c>
      <c r="S820" s="3" t="str">
        <f t="shared" si="10"/>
        <v>T</v>
      </c>
      <c r="T820" s="8">
        <f t="shared" si="11"/>
        <v>0</v>
      </c>
      <c r="V820" s="4">
        <f t="shared" si="12"/>
        <v>1</v>
      </c>
      <c r="W820" s="8">
        <f t="shared" si="13"/>
        <v>-17.25</v>
      </c>
      <c r="X820" s="8">
        <f t="shared" si="14"/>
        <v>-17.25</v>
      </c>
      <c r="Y820" s="8">
        <f t="shared" si="15"/>
        <v>515.01</v>
      </c>
    </row>
    <row r="821">
      <c r="A821" s="2">
        <v>814.0</v>
      </c>
      <c r="B821" s="15">
        <f>IFERROR(__xludf.DUMMYFUNCTION("""COMPUTED_VALUE"""),43577.64583333333)</f>
        <v>43577.64583</v>
      </c>
      <c r="C821" s="8">
        <f>IFERROR(__xludf.DUMMYFUNCTION("""COMPUTED_VALUE"""),1953.9)</f>
        <v>1953.9</v>
      </c>
      <c r="E821" s="15">
        <f>IFERROR(__xludf.DUMMYFUNCTION("""COMPUTED_VALUE"""),43577.64583333333)</f>
        <v>43577.64583</v>
      </c>
      <c r="F821" s="8">
        <f>IFERROR(__xludf.DUMMYFUNCTION("""COMPUTED_VALUE"""),1134.35)</f>
        <v>1134.35</v>
      </c>
      <c r="H821" s="4">
        <f t="shared" si="1"/>
        <v>819.55</v>
      </c>
      <c r="I821" s="16">
        <f t="shared" si="2"/>
        <v>862.562</v>
      </c>
      <c r="J821" s="16">
        <f t="shared" si="3"/>
        <v>27.18116756</v>
      </c>
      <c r="K821" s="16">
        <f t="shared" si="4"/>
        <v>889.7431676</v>
      </c>
      <c r="L821" s="16">
        <f t="shared" si="5"/>
        <v>835.3808324</v>
      </c>
      <c r="N821" s="17" t="str">
        <f t="shared" si="6"/>
        <v>T</v>
      </c>
      <c r="O821" s="17" t="str">
        <f t="shared" si="7"/>
        <v>F</v>
      </c>
      <c r="P821" s="8">
        <f t="shared" si="8"/>
        <v>1</v>
      </c>
      <c r="R821" s="17" t="str">
        <f t="shared" si="9"/>
        <v>F</v>
      </c>
      <c r="S821" s="3" t="str">
        <f t="shared" si="10"/>
        <v>T</v>
      </c>
      <c r="T821" s="8">
        <f t="shared" si="11"/>
        <v>0</v>
      </c>
      <c r="V821" s="4">
        <f t="shared" si="12"/>
        <v>1</v>
      </c>
      <c r="W821" s="8">
        <f t="shared" si="13"/>
        <v>-37.37</v>
      </c>
      <c r="X821" s="8">
        <f t="shared" si="14"/>
        <v>-37.37</v>
      </c>
      <c r="Y821" s="8">
        <f t="shared" si="15"/>
        <v>477.64</v>
      </c>
    </row>
    <row r="822">
      <c r="A822" s="2">
        <v>815.0</v>
      </c>
      <c r="B822" s="15">
        <f>IFERROR(__xludf.DUMMYFUNCTION("""COMPUTED_VALUE"""),43578.64583333333)</f>
        <v>43578.64583</v>
      </c>
      <c r="C822" s="8">
        <f>IFERROR(__xludf.DUMMYFUNCTION("""COMPUTED_VALUE"""),1934.7)</f>
        <v>1934.7</v>
      </c>
      <c r="E822" s="15">
        <f>IFERROR(__xludf.DUMMYFUNCTION("""COMPUTED_VALUE"""),43578.64583333333)</f>
        <v>43578.64583</v>
      </c>
      <c r="F822" s="8">
        <f>IFERROR(__xludf.DUMMYFUNCTION("""COMPUTED_VALUE"""),1122.65)</f>
        <v>1122.65</v>
      </c>
      <c r="H822" s="4">
        <f t="shared" si="1"/>
        <v>812.05</v>
      </c>
      <c r="I822" s="16">
        <f t="shared" si="2"/>
        <v>846.508</v>
      </c>
      <c r="J822" s="16">
        <f t="shared" si="3"/>
        <v>28.86404545</v>
      </c>
      <c r="K822" s="16">
        <f t="shared" si="4"/>
        <v>875.3720455</v>
      </c>
      <c r="L822" s="16">
        <f t="shared" si="5"/>
        <v>817.6439545</v>
      </c>
      <c r="N822" s="17" t="str">
        <f t="shared" si="6"/>
        <v>T</v>
      </c>
      <c r="O822" s="17" t="str">
        <f t="shared" si="7"/>
        <v>F</v>
      </c>
      <c r="P822" s="8">
        <f t="shared" si="8"/>
        <v>1</v>
      </c>
      <c r="R822" s="17" t="str">
        <f t="shared" si="9"/>
        <v>F</v>
      </c>
      <c r="S822" s="3" t="str">
        <f t="shared" si="10"/>
        <v>T</v>
      </c>
      <c r="T822" s="8">
        <f t="shared" si="11"/>
        <v>0</v>
      </c>
      <c r="V822" s="4">
        <f t="shared" si="12"/>
        <v>1</v>
      </c>
      <c r="W822" s="8">
        <f t="shared" si="13"/>
        <v>-7.5</v>
      </c>
      <c r="X822" s="8">
        <f t="shared" si="14"/>
        <v>-7.5</v>
      </c>
      <c r="Y822" s="8">
        <f t="shared" si="15"/>
        <v>470.14</v>
      </c>
    </row>
    <row r="823">
      <c r="A823" s="2">
        <v>816.0</v>
      </c>
      <c r="B823" s="15">
        <f>IFERROR(__xludf.DUMMYFUNCTION("""COMPUTED_VALUE"""),43579.64583333333)</f>
        <v>43579.64583</v>
      </c>
      <c r="C823" s="8">
        <f>IFERROR(__xludf.DUMMYFUNCTION("""COMPUTED_VALUE"""),1980.4)</f>
        <v>1980.4</v>
      </c>
      <c r="E823" s="15">
        <f>IFERROR(__xludf.DUMMYFUNCTION("""COMPUTED_VALUE"""),43579.64583333333)</f>
        <v>43579.64583</v>
      </c>
      <c r="F823" s="8">
        <f>IFERROR(__xludf.DUMMYFUNCTION("""COMPUTED_VALUE"""),1139.88)</f>
        <v>1139.88</v>
      </c>
      <c r="H823" s="4">
        <f t="shared" si="1"/>
        <v>840.52</v>
      </c>
      <c r="I823" s="16">
        <f t="shared" si="2"/>
        <v>840.642</v>
      </c>
      <c r="J823" s="16">
        <f t="shared" si="3"/>
        <v>25.74630983</v>
      </c>
      <c r="K823" s="16">
        <f t="shared" si="4"/>
        <v>866.3883098</v>
      </c>
      <c r="L823" s="16">
        <f t="shared" si="5"/>
        <v>814.8956902</v>
      </c>
      <c r="N823" s="17" t="str">
        <f t="shared" si="6"/>
        <v>F</v>
      </c>
      <c r="O823" s="17" t="str">
        <f t="shared" si="7"/>
        <v>F</v>
      </c>
      <c r="P823" s="8">
        <f t="shared" si="8"/>
        <v>1</v>
      </c>
      <c r="R823" s="17" t="str">
        <f t="shared" si="9"/>
        <v>F</v>
      </c>
      <c r="S823" s="3" t="str">
        <f t="shared" si="10"/>
        <v>T</v>
      </c>
      <c r="T823" s="8">
        <f t="shared" si="11"/>
        <v>0</v>
      </c>
      <c r="V823" s="4">
        <f t="shared" si="12"/>
        <v>1</v>
      </c>
      <c r="W823" s="8">
        <f t="shared" si="13"/>
        <v>28.47</v>
      </c>
      <c r="X823" s="8">
        <f t="shared" si="14"/>
        <v>28.47</v>
      </c>
      <c r="Y823" s="8">
        <f t="shared" si="15"/>
        <v>498.61</v>
      </c>
    </row>
    <row r="824">
      <c r="A824" s="2">
        <v>817.0</v>
      </c>
      <c r="B824" s="15">
        <f>IFERROR(__xludf.DUMMYFUNCTION("""COMPUTED_VALUE"""),43580.64583333333)</f>
        <v>43580.64583</v>
      </c>
      <c r="C824" s="8">
        <f>IFERROR(__xludf.DUMMYFUNCTION("""COMPUTED_VALUE"""),1955.15)</f>
        <v>1955.15</v>
      </c>
      <c r="E824" s="15">
        <f>IFERROR(__xludf.DUMMYFUNCTION("""COMPUTED_VALUE"""),43580.64583333333)</f>
        <v>43580.64583</v>
      </c>
      <c r="F824" s="8">
        <f>IFERROR(__xludf.DUMMYFUNCTION("""COMPUTED_VALUE"""),1131.72)</f>
        <v>1131.72</v>
      </c>
      <c r="H824" s="4">
        <f t="shared" si="1"/>
        <v>823.43</v>
      </c>
      <c r="I824" s="16">
        <f t="shared" si="2"/>
        <v>830.494</v>
      </c>
      <c r="J824" s="16">
        <f t="shared" si="3"/>
        <v>18.08802449</v>
      </c>
      <c r="K824" s="16">
        <f t="shared" si="4"/>
        <v>848.5820245</v>
      </c>
      <c r="L824" s="16">
        <f t="shared" si="5"/>
        <v>812.4059755</v>
      </c>
      <c r="N824" s="17" t="str">
        <f t="shared" si="6"/>
        <v>F</v>
      </c>
      <c r="O824" s="17" t="str">
        <f t="shared" si="7"/>
        <v>F</v>
      </c>
      <c r="P824" s="8">
        <f t="shared" si="8"/>
        <v>1</v>
      </c>
      <c r="R824" s="17" t="str">
        <f t="shared" si="9"/>
        <v>F</v>
      </c>
      <c r="S824" s="3" t="str">
        <f t="shared" si="10"/>
        <v>T</v>
      </c>
      <c r="T824" s="8">
        <f t="shared" si="11"/>
        <v>0</v>
      </c>
      <c r="V824" s="4">
        <f t="shared" si="12"/>
        <v>1</v>
      </c>
      <c r="W824" s="8">
        <f t="shared" si="13"/>
        <v>-17.09</v>
      </c>
      <c r="X824" s="8">
        <f t="shared" si="14"/>
        <v>-17.09</v>
      </c>
      <c r="Y824" s="8">
        <f t="shared" si="15"/>
        <v>481.52</v>
      </c>
    </row>
    <row r="825">
      <c r="A825" s="2">
        <v>818.0</v>
      </c>
      <c r="B825" s="15">
        <f>IFERROR(__xludf.DUMMYFUNCTION("""COMPUTED_VALUE"""),43581.64583333333)</f>
        <v>43581.64583</v>
      </c>
      <c r="C825" s="8">
        <f>IFERROR(__xludf.DUMMYFUNCTION("""COMPUTED_VALUE"""),1977.4)</f>
        <v>1977.4</v>
      </c>
      <c r="E825" s="15">
        <f>IFERROR(__xludf.DUMMYFUNCTION("""COMPUTED_VALUE"""),43581.64583333333)</f>
        <v>43581.64583</v>
      </c>
      <c r="F825" s="8">
        <f>IFERROR(__xludf.DUMMYFUNCTION("""COMPUTED_VALUE"""),1140.47)</f>
        <v>1140.47</v>
      </c>
      <c r="H825" s="4">
        <f t="shared" si="1"/>
        <v>836.93</v>
      </c>
      <c r="I825" s="16">
        <f t="shared" si="2"/>
        <v>826.496</v>
      </c>
      <c r="J825" s="16">
        <f t="shared" si="3"/>
        <v>11.9569553</v>
      </c>
      <c r="K825" s="16">
        <f t="shared" si="4"/>
        <v>838.4529553</v>
      </c>
      <c r="L825" s="16">
        <f t="shared" si="5"/>
        <v>814.5390447</v>
      </c>
      <c r="N825" s="17" t="str">
        <f t="shared" si="6"/>
        <v>F</v>
      </c>
      <c r="O825" s="17" t="str">
        <f t="shared" si="7"/>
        <v>T</v>
      </c>
      <c r="P825" s="8">
        <f t="shared" si="8"/>
        <v>0</v>
      </c>
      <c r="R825" s="17" t="str">
        <f t="shared" si="9"/>
        <v>F</v>
      </c>
      <c r="S825" s="3" t="str">
        <f t="shared" si="10"/>
        <v>F</v>
      </c>
      <c r="T825" s="8">
        <f t="shared" si="11"/>
        <v>0</v>
      </c>
      <c r="V825" s="4">
        <f t="shared" si="12"/>
        <v>0</v>
      </c>
      <c r="W825" s="8">
        <f t="shared" si="13"/>
        <v>13.5</v>
      </c>
      <c r="X825" s="8">
        <f t="shared" si="14"/>
        <v>13.5</v>
      </c>
      <c r="Y825" s="8">
        <f t="shared" si="15"/>
        <v>495.02</v>
      </c>
    </row>
    <row r="826">
      <c r="A826" s="2">
        <v>819.0</v>
      </c>
      <c r="B826" s="15">
        <f>IFERROR(__xludf.DUMMYFUNCTION("""COMPUTED_VALUE"""),43585.64583333333)</f>
        <v>43585.64583</v>
      </c>
      <c r="C826" s="8">
        <f>IFERROR(__xludf.DUMMYFUNCTION("""COMPUTED_VALUE"""),1995.05)</f>
        <v>1995.05</v>
      </c>
      <c r="E826" s="15">
        <f>IFERROR(__xludf.DUMMYFUNCTION("""COMPUTED_VALUE"""),43585.64583333333)</f>
        <v>43585.64583</v>
      </c>
      <c r="F826" s="8">
        <f>IFERROR(__xludf.DUMMYFUNCTION("""COMPUTED_VALUE"""),1158.72)</f>
        <v>1158.72</v>
      </c>
      <c r="H826" s="4">
        <f t="shared" si="1"/>
        <v>836.33</v>
      </c>
      <c r="I826" s="16">
        <f t="shared" si="2"/>
        <v>829.852</v>
      </c>
      <c r="J826" s="16">
        <f t="shared" si="3"/>
        <v>11.87457452</v>
      </c>
      <c r="K826" s="16">
        <f t="shared" si="4"/>
        <v>841.7265745</v>
      </c>
      <c r="L826" s="16">
        <f t="shared" si="5"/>
        <v>817.9774255</v>
      </c>
      <c r="N826" s="17" t="str">
        <f t="shared" si="6"/>
        <v>F</v>
      </c>
      <c r="O826" s="17" t="str">
        <f t="shared" si="7"/>
        <v>T</v>
      </c>
      <c r="P826" s="8">
        <f t="shared" si="8"/>
        <v>0</v>
      </c>
      <c r="R826" s="17" t="str">
        <f t="shared" si="9"/>
        <v>F</v>
      </c>
      <c r="S826" s="3" t="str">
        <f t="shared" si="10"/>
        <v>F</v>
      </c>
      <c r="T826" s="8">
        <f t="shared" si="11"/>
        <v>0</v>
      </c>
      <c r="V826" s="4">
        <f t="shared" si="12"/>
        <v>0</v>
      </c>
      <c r="W826" s="8">
        <f t="shared" si="13"/>
        <v>-0.6</v>
      </c>
      <c r="X826" s="8">
        <f t="shared" si="14"/>
        <v>0</v>
      </c>
      <c r="Y826" s="8">
        <f t="shared" si="15"/>
        <v>495.02</v>
      </c>
    </row>
    <row r="827">
      <c r="A827" s="2">
        <v>820.0</v>
      </c>
      <c r="B827" s="15">
        <f>IFERROR(__xludf.DUMMYFUNCTION("""COMPUTED_VALUE"""),43587.64583333333)</f>
        <v>43587.64583</v>
      </c>
      <c r="C827" s="8">
        <f>IFERROR(__xludf.DUMMYFUNCTION("""COMPUTED_VALUE"""),2017.4)</f>
        <v>2017.4</v>
      </c>
      <c r="E827" s="15">
        <f>IFERROR(__xludf.DUMMYFUNCTION("""COMPUTED_VALUE"""),43587.64583333333)</f>
        <v>43587.64583</v>
      </c>
      <c r="F827" s="8">
        <f>IFERROR(__xludf.DUMMYFUNCTION("""COMPUTED_VALUE"""),1177.9)</f>
        <v>1177.9</v>
      </c>
      <c r="H827" s="4">
        <f t="shared" si="1"/>
        <v>839.5</v>
      </c>
      <c r="I827" s="16">
        <f t="shared" si="2"/>
        <v>835.342</v>
      </c>
      <c r="J827" s="16">
        <f t="shared" si="3"/>
        <v>6.882846068</v>
      </c>
      <c r="K827" s="16">
        <f t="shared" si="4"/>
        <v>842.2248461</v>
      </c>
      <c r="L827" s="16">
        <f t="shared" si="5"/>
        <v>828.4591539</v>
      </c>
      <c r="N827" s="17" t="str">
        <f t="shared" si="6"/>
        <v>F</v>
      </c>
      <c r="O827" s="17" t="str">
        <f t="shared" si="7"/>
        <v>T</v>
      </c>
      <c r="P827" s="8">
        <f t="shared" si="8"/>
        <v>0</v>
      </c>
      <c r="R827" s="17" t="str">
        <f t="shared" si="9"/>
        <v>F</v>
      </c>
      <c r="S827" s="3" t="str">
        <f t="shared" si="10"/>
        <v>F</v>
      </c>
      <c r="T827" s="8">
        <f t="shared" si="11"/>
        <v>0</v>
      </c>
      <c r="V827" s="4">
        <f t="shared" si="12"/>
        <v>0</v>
      </c>
      <c r="W827" s="8">
        <f t="shared" si="13"/>
        <v>3.17</v>
      </c>
      <c r="X827" s="8">
        <f t="shared" si="14"/>
        <v>0</v>
      </c>
      <c r="Y827" s="8">
        <f t="shared" si="15"/>
        <v>495.02</v>
      </c>
    </row>
    <row r="828">
      <c r="A828" s="2">
        <v>821.0</v>
      </c>
      <c r="B828" s="15">
        <f>IFERROR(__xludf.DUMMYFUNCTION("""COMPUTED_VALUE"""),43588.64583333333)</f>
        <v>43588.64583</v>
      </c>
      <c r="C828" s="8">
        <f>IFERROR(__xludf.DUMMYFUNCTION("""COMPUTED_VALUE"""),2006.4)</f>
        <v>2006.4</v>
      </c>
      <c r="E828" s="15">
        <f>IFERROR(__xludf.DUMMYFUNCTION("""COMPUTED_VALUE"""),43588.64583333333)</f>
        <v>43588.64583</v>
      </c>
      <c r="F828" s="8">
        <f>IFERROR(__xludf.DUMMYFUNCTION("""COMPUTED_VALUE"""),1183.97)</f>
        <v>1183.97</v>
      </c>
      <c r="H828" s="4">
        <f t="shared" si="1"/>
        <v>822.43</v>
      </c>
      <c r="I828" s="16">
        <f t="shared" si="2"/>
        <v>831.724</v>
      </c>
      <c r="J828" s="16">
        <f t="shared" si="3"/>
        <v>8.123310901</v>
      </c>
      <c r="K828" s="16">
        <f t="shared" si="4"/>
        <v>839.8473109</v>
      </c>
      <c r="L828" s="16">
        <f t="shared" si="5"/>
        <v>823.6006891</v>
      </c>
      <c r="N828" s="17" t="str">
        <f t="shared" si="6"/>
        <v>T</v>
      </c>
      <c r="O828" s="17" t="str">
        <f t="shared" si="7"/>
        <v>F</v>
      </c>
      <c r="P828" s="8">
        <f t="shared" si="8"/>
        <v>1</v>
      </c>
      <c r="R828" s="17" t="str">
        <f t="shared" si="9"/>
        <v>F</v>
      </c>
      <c r="S828" s="3" t="str">
        <f t="shared" si="10"/>
        <v>T</v>
      </c>
      <c r="T828" s="8">
        <f t="shared" si="11"/>
        <v>0</v>
      </c>
      <c r="V828" s="4">
        <f t="shared" si="12"/>
        <v>1</v>
      </c>
      <c r="W828" s="8">
        <f t="shared" si="13"/>
        <v>-17.07</v>
      </c>
      <c r="X828" s="8">
        <f t="shared" si="14"/>
        <v>0</v>
      </c>
      <c r="Y828" s="8">
        <f t="shared" si="15"/>
        <v>495.02</v>
      </c>
    </row>
    <row r="829">
      <c r="A829" s="2">
        <v>822.0</v>
      </c>
      <c r="B829" s="15">
        <f>IFERROR(__xludf.DUMMYFUNCTION("""COMPUTED_VALUE"""),43591.64583333333)</f>
        <v>43591.64583</v>
      </c>
      <c r="C829" s="8">
        <f>IFERROR(__xludf.DUMMYFUNCTION("""COMPUTED_VALUE"""),1965.45)</f>
        <v>1965.45</v>
      </c>
      <c r="E829" s="15">
        <f>IFERROR(__xludf.DUMMYFUNCTION("""COMPUTED_VALUE"""),43591.64583333333)</f>
        <v>43591.64583</v>
      </c>
      <c r="F829" s="8">
        <f>IFERROR(__xludf.DUMMYFUNCTION("""COMPUTED_VALUE"""),1164.22)</f>
        <v>1164.22</v>
      </c>
      <c r="H829" s="4">
        <f t="shared" si="1"/>
        <v>801.23</v>
      </c>
      <c r="I829" s="16">
        <f t="shared" si="2"/>
        <v>827.284</v>
      </c>
      <c r="J829" s="16">
        <f t="shared" si="3"/>
        <v>16.01935017</v>
      </c>
      <c r="K829" s="16">
        <f t="shared" si="4"/>
        <v>843.3033502</v>
      </c>
      <c r="L829" s="16">
        <f t="shared" si="5"/>
        <v>811.2646498</v>
      </c>
      <c r="N829" s="17" t="str">
        <f t="shared" si="6"/>
        <v>T</v>
      </c>
      <c r="O829" s="17" t="str">
        <f t="shared" si="7"/>
        <v>F</v>
      </c>
      <c r="P829" s="8">
        <f t="shared" si="8"/>
        <v>1</v>
      </c>
      <c r="R829" s="17" t="str">
        <f t="shared" si="9"/>
        <v>F</v>
      </c>
      <c r="S829" s="3" t="str">
        <f t="shared" si="10"/>
        <v>T</v>
      </c>
      <c r="T829" s="8">
        <f t="shared" si="11"/>
        <v>0</v>
      </c>
      <c r="V829" s="4">
        <f t="shared" si="12"/>
        <v>1</v>
      </c>
      <c r="W829" s="8">
        <f t="shared" si="13"/>
        <v>-21.2</v>
      </c>
      <c r="X829" s="8">
        <f t="shared" si="14"/>
        <v>-21.2</v>
      </c>
      <c r="Y829" s="8">
        <f t="shared" si="15"/>
        <v>473.82</v>
      </c>
    </row>
    <row r="830">
      <c r="A830" s="2">
        <v>823.0</v>
      </c>
      <c r="B830" s="15">
        <f>IFERROR(__xludf.DUMMYFUNCTION("""COMPUTED_VALUE"""),43592.79166666667)</f>
        <v>43592.79167</v>
      </c>
      <c r="C830" s="8">
        <f>IFERROR(__xludf.DUMMYFUNCTION("""COMPUTED_VALUE"""),1966.3)</f>
        <v>1966.3</v>
      </c>
      <c r="E830" s="15">
        <f>IFERROR(__xludf.DUMMYFUNCTION("""COMPUTED_VALUE"""),43592.79166666667)</f>
        <v>43592.79167</v>
      </c>
      <c r="F830" s="8">
        <f>IFERROR(__xludf.DUMMYFUNCTION("""COMPUTED_VALUE"""),1161.18)</f>
        <v>1161.18</v>
      </c>
      <c r="H830" s="4">
        <f t="shared" si="1"/>
        <v>805.12</v>
      </c>
      <c r="I830" s="16">
        <f t="shared" si="2"/>
        <v>820.922</v>
      </c>
      <c r="J830" s="16">
        <f t="shared" si="3"/>
        <v>17.48070851</v>
      </c>
      <c r="K830" s="16">
        <f t="shared" si="4"/>
        <v>838.4027085</v>
      </c>
      <c r="L830" s="16">
        <f t="shared" si="5"/>
        <v>803.4412915</v>
      </c>
      <c r="N830" s="17" t="str">
        <f t="shared" si="6"/>
        <v>F</v>
      </c>
      <c r="O830" s="17" t="str">
        <f t="shared" si="7"/>
        <v>F</v>
      </c>
      <c r="P830" s="8">
        <f t="shared" si="8"/>
        <v>1</v>
      </c>
      <c r="R830" s="17" t="str">
        <f t="shared" si="9"/>
        <v>F</v>
      </c>
      <c r="S830" s="3" t="str">
        <f t="shared" si="10"/>
        <v>T</v>
      </c>
      <c r="T830" s="8">
        <f t="shared" si="11"/>
        <v>0</v>
      </c>
      <c r="V830" s="4">
        <f t="shared" si="12"/>
        <v>1</v>
      </c>
      <c r="W830" s="8">
        <f t="shared" si="13"/>
        <v>3.89</v>
      </c>
      <c r="X830" s="8">
        <f t="shared" si="14"/>
        <v>3.89</v>
      </c>
      <c r="Y830" s="8">
        <f t="shared" si="15"/>
        <v>477.71</v>
      </c>
    </row>
    <row r="831">
      <c r="A831" s="2">
        <v>824.0</v>
      </c>
      <c r="B831" s="15">
        <f>IFERROR(__xludf.DUMMYFUNCTION("""COMPUTED_VALUE"""),43593.64583333333)</f>
        <v>43593.64583</v>
      </c>
      <c r="C831" s="8">
        <f>IFERROR(__xludf.DUMMYFUNCTION("""COMPUTED_VALUE"""),1930.75)</f>
        <v>1930.75</v>
      </c>
      <c r="E831" s="15">
        <f>IFERROR(__xludf.DUMMYFUNCTION("""COMPUTED_VALUE"""),43593.64583333333)</f>
        <v>43593.64583</v>
      </c>
      <c r="F831" s="8">
        <f>IFERROR(__xludf.DUMMYFUNCTION("""COMPUTED_VALUE"""),1153.63)</f>
        <v>1153.63</v>
      </c>
      <c r="H831" s="4">
        <f t="shared" si="1"/>
        <v>777.12</v>
      </c>
      <c r="I831" s="16">
        <f t="shared" si="2"/>
        <v>809.08</v>
      </c>
      <c r="J831" s="16">
        <f t="shared" si="3"/>
        <v>23.46457223</v>
      </c>
      <c r="K831" s="16">
        <f t="shared" si="4"/>
        <v>832.5445722</v>
      </c>
      <c r="L831" s="16">
        <f t="shared" si="5"/>
        <v>785.6154278</v>
      </c>
      <c r="N831" s="17" t="str">
        <f t="shared" si="6"/>
        <v>T</v>
      </c>
      <c r="O831" s="17" t="str">
        <f t="shared" si="7"/>
        <v>F</v>
      </c>
      <c r="P831" s="8">
        <f t="shared" si="8"/>
        <v>1</v>
      </c>
      <c r="R831" s="17" t="str">
        <f t="shared" si="9"/>
        <v>F</v>
      </c>
      <c r="S831" s="3" t="str">
        <f t="shared" si="10"/>
        <v>T</v>
      </c>
      <c r="T831" s="8">
        <f t="shared" si="11"/>
        <v>0</v>
      </c>
      <c r="V831" s="4">
        <f t="shared" si="12"/>
        <v>1</v>
      </c>
      <c r="W831" s="8">
        <f t="shared" si="13"/>
        <v>-28</v>
      </c>
      <c r="X831" s="8">
        <f t="shared" si="14"/>
        <v>-28</v>
      </c>
      <c r="Y831" s="8">
        <f t="shared" si="15"/>
        <v>449.71</v>
      </c>
    </row>
    <row r="832">
      <c r="A832" s="2">
        <v>825.0</v>
      </c>
      <c r="B832" s="15">
        <f>IFERROR(__xludf.DUMMYFUNCTION("""COMPUTED_VALUE"""),43594.64583333333)</f>
        <v>43594.64583</v>
      </c>
      <c r="C832" s="8">
        <f>IFERROR(__xludf.DUMMYFUNCTION("""COMPUTED_VALUE"""),1914.6)</f>
        <v>1914.6</v>
      </c>
      <c r="E832" s="15">
        <f>IFERROR(__xludf.DUMMYFUNCTION("""COMPUTED_VALUE"""),43594.64583333333)</f>
        <v>43594.64583</v>
      </c>
      <c r="F832" s="8">
        <f>IFERROR(__xludf.DUMMYFUNCTION("""COMPUTED_VALUE"""),1145.45)</f>
        <v>1145.45</v>
      </c>
      <c r="H832" s="4">
        <f t="shared" si="1"/>
        <v>769.15</v>
      </c>
      <c r="I832" s="16">
        <f t="shared" si="2"/>
        <v>795.01</v>
      </c>
      <c r="J832" s="16">
        <f t="shared" si="3"/>
        <v>21.6884105</v>
      </c>
      <c r="K832" s="16">
        <f t="shared" si="4"/>
        <v>816.6984105</v>
      </c>
      <c r="L832" s="16">
        <f t="shared" si="5"/>
        <v>773.3215895</v>
      </c>
      <c r="N832" s="17" t="str">
        <f t="shared" si="6"/>
        <v>T</v>
      </c>
      <c r="O832" s="17" t="str">
        <f t="shared" si="7"/>
        <v>F</v>
      </c>
      <c r="P832" s="8">
        <f t="shared" si="8"/>
        <v>1</v>
      </c>
      <c r="R832" s="17" t="str">
        <f t="shared" si="9"/>
        <v>F</v>
      </c>
      <c r="S832" s="3" t="str">
        <f t="shared" si="10"/>
        <v>T</v>
      </c>
      <c r="T832" s="8">
        <f t="shared" si="11"/>
        <v>0</v>
      </c>
      <c r="V832" s="4">
        <f t="shared" si="12"/>
        <v>1</v>
      </c>
      <c r="W832" s="8">
        <f t="shared" si="13"/>
        <v>-7.97</v>
      </c>
      <c r="X832" s="8">
        <f t="shared" si="14"/>
        <v>-7.97</v>
      </c>
      <c r="Y832" s="8">
        <f t="shared" si="15"/>
        <v>441.74</v>
      </c>
    </row>
    <row r="833">
      <c r="A833" s="2">
        <v>826.0</v>
      </c>
      <c r="B833" s="15">
        <f>IFERROR(__xludf.DUMMYFUNCTION("""COMPUTED_VALUE"""),43595.64583333333)</f>
        <v>43595.64583</v>
      </c>
      <c r="C833" s="8">
        <f>IFERROR(__xludf.DUMMYFUNCTION("""COMPUTED_VALUE"""),1931.7)</f>
        <v>1931.7</v>
      </c>
      <c r="E833" s="15">
        <f>IFERROR(__xludf.DUMMYFUNCTION("""COMPUTED_VALUE"""),43595.64583333333)</f>
        <v>43595.64583</v>
      </c>
      <c r="F833" s="8">
        <f>IFERROR(__xludf.DUMMYFUNCTION("""COMPUTED_VALUE"""),1148.25)</f>
        <v>1148.25</v>
      </c>
      <c r="H833" s="4">
        <f t="shared" si="1"/>
        <v>783.45</v>
      </c>
      <c r="I833" s="16">
        <f t="shared" si="2"/>
        <v>787.214</v>
      </c>
      <c r="J833" s="16">
        <f t="shared" si="3"/>
        <v>15.48739584</v>
      </c>
      <c r="K833" s="16">
        <f t="shared" si="4"/>
        <v>802.7013958</v>
      </c>
      <c r="L833" s="16">
        <f t="shared" si="5"/>
        <v>771.7266042</v>
      </c>
      <c r="N833" s="17" t="str">
        <f t="shared" si="6"/>
        <v>F</v>
      </c>
      <c r="O833" s="17" t="str">
        <f t="shared" si="7"/>
        <v>F</v>
      </c>
      <c r="P833" s="8">
        <f t="shared" si="8"/>
        <v>1</v>
      </c>
      <c r="R833" s="17" t="str">
        <f t="shared" si="9"/>
        <v>F</v>
      </c>
      <c r="S833" s="3" t="str">
        <f t="shared" si="10"/>
        <v>T</v>
      </c>
      <c r="T833" s="8">
        <f t="shared" si="11"/>
        <v>0</v>
      </c>
      <c r="V833" s="4">
        <f t="shared" si="12"/>
        <v>1</v>
      </c>
      <c r="W833" s="8">
        <f t="shared" si="13"/>
        <v>14.3</v>
      </c>
      <c r="X833" s="8">
        <f t="shared" si="14"/>
        <v>14.3</v>
      </c>
      <c r="Y833" s="8">
        <f t="shared" si="15"/>
        <v>456.04</v>
      </c>
    </row>
    <row r="834">
      <c r="A834" s="2">
        <v>827.0</v>
      </c>
      <c r="B834" s="15">
        <f>IFERROR(__xludf.DUMMYFUNCTION("""COMPUTED_VALUE"""),43598.64583333333)</f>
        <v>43598.64583</v>
      </c>
      <c r="C834" s="8">
        <f>IFERROR(__xludf.DUMMYFUNCTION("""COMPUTED_VALUE"""),1952.9)</f>
        <v>1952.9</v>
      </c>
      <c r="E834" s="15">
        <f>IFERROR(__xludf.DUMMYFUNCTION("""COMPUTED_VALUE"""),43598.64583333333)</f>
        <v>43598.64583</v>
      </c>
      <c r="F834" s="8">
        <f>IFERROR(__xludf.DUMMYFUNCTION("""COMPUTED_VALUE"""),1143.6)</f>
        <v>1143.6</v>
      </c>
      <c r="H834" s="4">
        <f t="shared" si="1"/>
        <v>809.3</v>
      </c>
      <c r="I834" s="16">
        <f t="shared" si="2"/>
        <v>788.828</v>
      </c>
      <c r="J834" s="16">
        <f t="shared" si="3"/>
        <v>17.59087747</v>
      </c>
      <c r="K834" s="16">
        <f t="shared" si="4"/>
        <v>806.4188775</v>
      </c>
      <c r="L834" s="16">
        <f t="shared" si="5"/>
        <v>771.2371225</v>
      </c>
      <c r="N834" s="17" t="str">
        <f t="shared" si="6"/>
        <v>F</v>
      </c>
      <c r="O834" s="17" t="str">
        <f t="shared" si="7"/>
        <v>T</v>
      </c>
      <c r="P834" s="8">
        <f t="shared" si="8"/>
        <v>0</v>
      </c>
      <c r="R834" s="17" t="str">
        <f t="shared" si="9"/>
        <v>T</v>
      </c>
      <c r="S834" s="3" t="str">
        <f t="shared" si="10"/>
        <v>F</v>
      </c>
      <c r="T834" s="8">
        <f t="shared" si="11"/>
        <v>-1</v>
      </c>
      <c r="V834" s="4">
        <f t="shared" si="12"/>
        <v>-1</v>
      </c>
      <c r="W834" s="8">
        <f t="shared" si="13"/>
        <v>25.85</v>
      </c>
      <c r="X834" s="8">
        <f t="shared" si="14"/>
        <v>25.85</v>
      </c>
      <c r="Y834" s="8">
        <f t="shared" si="15"/>
        <v>481.89</v>
      </c>
    </row>
    <row r="835">
      <c r="A835" s="2">
        <v>828.0</v>
      </c>
      <c r="B835" s="15">
        <f>IFERROR(__xludf.DUMMYFUNCTION("""COMPUTED_VALUE"""),43599.64583333333)</f>
        <v>43599.64583</v>
      </c>
      <c r="C835" s="8">
        <f>IFERROR(__xludf.DUMMYFUNCTION("""COMPUTED_VALUE"""),1965.2)</f>
        <v>1965.2</v>
      </c>
      <c r="E835" s="15">
        <f>IFERROR(__xludf.DUMMYFUNCTION("""COMPUTED_VALUE"""),43599.64583333333)</f>
        <v>43599.64583</v>
      </c>
      <c r="F835" s="8">
        <f>IFERROR(__xludf.DUMMYFUNCTION("""COMPUTED_VALUE"""),1143.95)</f>
        <v>1143.95</v>
      </c>
      <c r="H835" s="4">
        <f t="shared" si="1"/>
        <v>821.25</v>
      </c>
      <c r="I835" s="16">
        <f t="shared" si="2"/>
        <v>792.054</v>
      </c>
      <c r="J835" s="16">
        <f t="shared" si="3"/>
        <v>22.20066058</v>
      </c>
      <c r="K835" s="16">
        <f t="shared" si="4"/>
        <v>814.2546606</v>
      </c>
      <c r="L835" s="16">
        <f t="shared" si="5"/>
        <v>769.8533394</v>
      </c>
      <c r="N835" s="17" t="str">
        <f t="shared" si="6"/>
        <v>F</v>
      </c>
      <c r="O835" s="17" t="str">
        <f t="shared" si="7"/>
        <v>T</v>
      </c>
      <c r="P835" s="8">
        <f t="shared" si="8"/>
        <v>0</v>
      </c>
      <c r="R835" s="17" t="str">
        <f t="shared" si="9"/>
        <v>T</v>
      </c>
      <c r="S835" s="3" t="str">
        <f t="shared" si="10"/>
        <v>F</v>
      </c>
      <c r="T835" s="8">
        <f t="shared" si="11"/>
        <v>-1</v>
      </c>
      <c r="V835" s="4">
        <f t="shared" si="12"/>
        <v>-1</v>
      </c>
      <c r="W835" s="8">
        <f t="shared" si="13"/>
        <v>11.95</v>
      </c>
      <c r="X835" s="8">
        <f t="shared" si="14"/>
        <v>-11.95</v>
      </c>
      <c r="Y835" s="8">
        <f t="shared" si="15"/>
        <v>469.94</v>
      </c>
    </row>
    <row r="836">
      <c r="A836" s="2">
        <v>829.0</v>
      </c>
      <c r="B836" s="15">
        <f>IFERROR(__xludf.DUMMYFUNCTION("""COMPUTED_VALUE"""),43600.64583333333)</f>
        <v>43600.64583</v>
      </c>
      <c r="C836" s="8">
        <f>IFERROR(__xludf.DUMMYFUNCTION("""COMPUTED_VALUE"""),1944.95)</f>
        <v>1944.95</v>
      </c>
      <c r="E836" s="15">
        <f>IFERROR(__xludf.DUMMYFUNCTION("""COMPUTED_VALUE"""),43600.64583333333)</f>
        <v>43600.64583</v>
      </c>
      <c r="F836" s="8">
        <f>IFERROR(__xludf.DUMMYFUNCTION("""COMPUTED_VALUE"""),1143.35)</f>
        <v>1143.35</v>
      </c>
      <c r="H836" s="4">
        <f t="shared" si="1"/>
        <v>801.6</v>
      </c>
      <c r="I836" s="16">
        <f t="shared" si="2"/>
        <v>796.95</v>
      </c>
      <c r="J836" s="16">
        <f t="shared" si="3"/>
        <v>20.73478358</v>
      </c>
      <c r="K836" s="16">
        <f t="shared" si="4"/>
        <v>817.6847836</v>
      </c>
      <c r="L836" s="16">
        <f t="shared" si="5"/>
        <v>776.2152164</v>
      </c>
      <c r="N836" s="17" t="str">
        <f t="shared" si="6"/>
        <v>F</v>
      </c>
      <c r="O836" s="17" t="str">
        <f t="shared" si="7"/>
        <v>T</v>
      </c>
      <c r="P836" s="8">
        <f t="shared" si="8"/>
        <v>0</v>
      </c>
      <c r="R836" s="17" t="str">
        <f t="shared" si="9"/>
        <v>F</v>
      </c>
      <c r="S836" s="3" t="str">
        <f t="shared" si="10"/>
        <v>F</v>
      </c>
      <c r="T836" s="8">
        <f t="shared" si="11"/>
        <v>-1</v>
      </c>
      <c r="V836" s="4">
        <f t="shared" si="12"/>
        <v>-1</v>
      </c>
      <c r="W836" s="8">
        <f t="shared" si="13"/>
        <v>-19.65</v>
      </c>
      <c r="X836" s="8">
        <f t="shared" si="14"/>
        <v>19.65</v>
      </c>
      <c r="Y836" s="8">
        <f t="shared" si="15"/>
        <v>489.59</v>
      </c>
    </row>
    <row r="837">
      <c r="A837" s="2">
        <v>830.0</v>
      </c>
      <c r="B837" s="15">
        <f>IFERROR(__xludf.DUMMYFUNCTION("""COMPUTED_VALUE"""),43601.64583333333)</f>
        <v>43601.64583</v>
      </c>
      <c r="C837" s="8">
        <f>IFERROR(__xludf.DUMMYFUNCTION("""COMPUTED_VALUE"""),1942.1)</f>
        <v>1942.1</v>
      </c>
      <c r="E837" s="15">
        <f>IFERROR(__xludf.DUMMYFUNCTION("""COMPUTED_VALUE"""),43601.64583333333)</f>
        <v>43601.64583</v>
      </c>
      <c r="F837" s="8">
        <f>IFERROR(__xludf.DUMMYFUNCTION("""COMPUTED_VALUE"""),1155.33)</f>
        <v>1155.33</v>
      </c>
      <c r="H837" s="4">
        <f t="shared" si="1"/>
        <v>786.77</v>
      </c>
      <c r="I837" s="16">
        <f t="shared" si="2"/>
        <v>800.474</v>
      </c>
      <c r="J837" s="16">
        <f t="shared" si="3"/>
        <v>15.71960973</v>
      </c>
      <c r="K837" s="16">
        <f t="shared" si="4"/>
        <v>816.1936097</v>
      </c>
      <c r="L837" s="16">
        <f t="shared" si="5"/>
        <v>784.7543903</v>
      </c>
      <c r="N837" s="17" t="str">
        <f t="shared" si="6"/>
        <v>F</v>
      </c>
      <c r="O837" s="17" t="str">
        <f t="shared" si="7"/>
        <v>F</v>
      </c>
      <c r="P837" s="8">
        <f t="shared" si="8"/>
        <v>0</v>
      </c>
      <c r="R837" s="17" t="str">
        <f t="shared" si="9"/>
        <v>F</v>
      </c>
      <c r="S837" s="3" t="str">
        <f t="shared" si="10"/>
        <v>T</v>
      </c>
      <c r="T837" s="8">
        <f t="shared" si="11"/>
        <v>0</v>
      </c>
      <c r="V837" s="4">
        <f t="shared" si="12"/>
        <v>0</v>
      </c>
      <c r="W837" s="8">
        <f t="shared" si="13"/>
        <v>-14.83</v>
      </c>
      <c r="X837" s="8">
        <f t="shared" si="14"/>
        <v>14.83</v>
      </c>
      <c r="Y837" s="8">
        <f t="shared" si="15"/>
        <v>504.42</v>
      </c>
    </row>
    <row r="838">
      <c r="A838" s="2">
        <v>831.0</v>
      </c>
      <c r="B838" s="15">
        <f>IFERROR(__xludf.DUMMYFUNCTION("""COMPUTED_VALUE"""),43602.64583333333)</f>
        <v>43602.64583</v>
      </c>
      <c r="C838" s="8">
        <f>IFERROR(__xludf.DUMMYFUNCTION("""COMPUTED_VALUE"""),1993.65)</f>
        <v>1993.65</v>
      </c>
      <c r="E838" s="15">
        <f>IFERROR(__xludf.DUMMYFUNCTION("""COMPUTED_VALUE"""),43602.64583333333)</f>
        <v>43602.64583</v>
      </c>
      <c r="F838" s="8">
        <f>IFERROR(__xludf.DUMMYFUNCTION("""COMPUTED_VALUE"""),1181.05)</f>
        <v>1181.05</v>
      </c>
      <c r="H838" s="4">
        <f t="shared" si="1"/>
        <v>812.6</v>
      </c>
      <c r="I838" s="16">
        <f t="shared" si="2"/>
        <v>806.304</v>
      </c>
      <c r="J838" s="16">
        <f t="shared" si="3"/>
        <v>12.99714699</v>
      </c>
      <c r="K838" s="16">
        <f t="shared" si="4"/>
        <v>819.301147</v>
      </c>
      <c r="L838" s="16">
        <f t="shared" si="5"/>
        <v>793.306853</v>
      </c>
      <c r="N838" s="17" t="str">
        <f t="shared" si="6"/>
        <v>F</v>
      </c>
      <c r="O838" s="17" t="str">
        <f t="shared" si="7"/>
        <v>T</v>
      </c>
      <c r="P838" s="8">
        <f t="shared" si="8"/>
        <v>0</v>
      </c>
      <c r="R838" s="17" t="str">
        <f t="shared" si="9"/>
        <v>F</v>
      </c>
      <c r="S838" s="3" t="str">
        <f t="shared" si="10"/>
        <v>F</v>
      </c>
      <c r="T838" s="8">
        <f t="shared" si="11"/>
        <v>0</v>
      </c>
      <c r="V838" s="4">
        <f t="shared" si="12"/>
        <v>0</v>
      </c>
      <c r="W838" s="8">
        <f t="shared" si="13"/>
        <v>25.83</v>
      </c>
      <c r="X838" s="8">
        <f t="shared" si="14"/>
        <v>0</v>
      </c>
      <c r="Y838" s="8">
        <f t="shared" si="15"/>
        <v>504.42</v>
      </c>
    </row>
    <row r="839">
      <c r="A839" s="2">
        <v>832.0</v>
      </c>
      <c r="B839" s="15">
        <f>IFERROR(__xludf.DUMMYFUNCTION("""COMPUTED_VALUE"""),43605.64583333333)</f>
        <v>43605.64583</v>
      </c>
      <c r="C839" s="8">
        <f>IFERROR(__xludf.DUMMYFUNCTION("""COMPUTED_VALUE"""),2122.5)</f>
        <v>2122.5</v>
      </c>
      <c r="E839" s="15">
        <f>IFERROR(__xludf.DUMMYFUNCTION("""COMPUTED_VALUE"""),43605.64583333333)</f>
        <v>43605.64583</v>
      </c>
      <c r="F839" s="8">
        <f>IFERROR(__xludf.DUMMYFUNCTION("""COMPUTED_VALUE"""),1216.18)</f>
        <v>1216.18</v>
      </c>
      <c r="H839" s="4">
        <f t="shared" si="1"/>
        <v>906.32</v>
      </c>
      <c r="I839" s="16">
        <f t="shared" si="2"/>
        <v>825.708</v>
      </c>
      <c r="J839" s="16">
        <f t="shared" si="3"/>
        <v>46.87043706</v>
      </c>
      <c r="K839" s="16">
        <f t="shared" si="4"/>
        <v>872.5784371</v>
      </c>
      <c r="L839" s="16">
        <f t="shared" si="5"/>
        <v>778.8375629</v>
      </c>
      <c r="N839" s="17" t="str">
        <f t="shared" si="6"/>
        <v>F</v>
      </c>
      <c r="O839" s="17" t="str">
        <f t="shared" si="7"/>
        <v>T</v>
      </c>
      <c r="P839" s="8">
        <f t="shared" si="8"/>
        <v>0</v>
      </c>
      <c r="R839" s="17" t="str">
        <f t="shared" si="9"/>
        <v>T</v>
      </c>
      <c r="S839" s="3" t="str">
        <f t="shared" si="10"/>
        <v>F</v>
      </c>
      <c r="T839" s="8">
        <f t="shared" si="11"/>
        <v>-1</v>
      </c>
      <c r="V839" s="4">
        <f t="shared" si="12"/>
        <v>-1</v>
      </c>
      <c r="W839" s="8">
        <f t="shared" si="13"/>
        <v>93.72</v>
      </c>
      <c r="X839" s="8">
        <f t="shared" si="14"/>
        <v>0</v>
      </c>
      <c r="Y839" s="8">
        <f t="shared" si="15"/>
        <v>504.42</v>
      </c>
    </row>
    <row r="840">
      <c r="A840" s="2">
        <v>833.0</v>
      </c>
      <c r="B840" s="15">
        <f>IFERROR(__xludf.DUMMYFUNCTION("""COMPUTED_VALUE"""),43606.64583333333)</f>
        <v>43606.64583</v>
      </c>
      <c r="C840" s="8">
        <f>IFERROR(__xludf.DUMMYFUNCTION("""COMPUTED_VALUE"""),2114.5)</f>
        <v>2114.5</v>
      </c>
      <c r="E840" s="15">
        <f>IFERROR(__xludf.DUMMYFUNCTION("""COMPUTED_VALUE"""),43606.64583333333)</f>
        <v>43606.64583</v>
      </c>
      <c r="F840" s="8">
        <f>IFERROR(__xludf.DUMMYFUNCTION("""COMPUTED_VALUE"""),1201.85)</f>
        <v>1201.85</v>
      </c>
      <c r="H840" s="4">
        <f t="shared" si="1"/>
        <v>912.65</v>
      </c>
      <c r="I840" s="16">
        <f t="shared" si="2"/>
        <v>843.988</v>
      </c>
      <c r="J840" s="16">
        <f t="shared" si="3"/>
        <v>60.53015174</v>
      </c>
      <c r="K840" s="16">
        <f t="shared" si="4"/>
        <v>904.5181517</v>
      </c>
      <c r="L840" s="16">
        <f t="shared" si="5"/>
        <v>783.4578483</v>
      </c>
      <c r="N840" s="17" t="str">
        <f t="shared" si="6"/>
        <v>F</v>
      </c>
      <c r="O840" s="17" t="str">
        <f t="shared" si="7"/>
        <v>T</v>
      </c>
      <c r="P840" s="8">
        <f t="shared" si="8"/>
        <v>0</v>
      </c>
      <c r="R840" s="17" t="str">
        <f t="shared" si="9"/>
        <v>T</v>
      </c>
      <c r="S840" s="3" t="str">
        <f t="shared" si="10"/>
        <v>F</v>
      </c>
      <c r="T840" s="8">
        <f t="shared" si="11"/>
        <v>-1</v>
      </c>
      <c r="V840" s="4">
        <f t="shared" si="12"/>
        <v>-1</v>
      </c>
      <c r="W840" s="8">
        <f t="shared" si="13"/>
        <v>6.33</v>
      </c>
      <c r="X840" s="8">
        <f t="shared" si="14"/>
        <v>-6.33</v>
      </c>
      <c r="Y840" s="8">
        <f t="shared" si="15"/>
        <v>498.09</v>
      </c>
    </row>
    <row r="841">
      <c r="A841" s="2">
        <v>834.0</v>
      </c>
      <c r="B841" s="15">
        <f>IFERROR(__xludf.DUMMYFUNCTION("""COMPUTED_VALUE"""),43607.64583333333)</f>
        <v>43607.64583</v>
      </c>
      <c r="C841" s="8">
        <f>IFERROR(__xludf.DUMMYFUNCTION("""COMPUTED_VALUE"""),2138.8)</f>
        <v>2138.8</v>
      </c>
      <c r="E841" s="15">
        <f>IFERROR(__xludf.DUMMYFUNCTION("""COMPUTED_VALUE"""),43607.64583333333)</f>
        <v>43607.64583</v>
      </c>
      <c r="F841" s="8">
        <f>IFERROR(__xludf.DUMMYFUNCTION("""COMPUTED_VALUE"""),1202.88)</f>
        <v>1202.88</v>
      </c>
      <c r="H841" s="4">
        <f t="shared" si="1"/>
        <v>935.92</v>
      </c>
      <c r="I841" s="16">
        <f t="shared" si="2"/>
        <v>870.852</v>
      </c>
      <c r="J841" s="16">
        <f t="shared" si="3"/>
        <v>66.52438403</v>
      </c>
      <c r="K841" s="16">
        <f t="shared" si="4"/>
        <v>937.376384</v>
      </c>
      <c r="L841" s="16">
        <f t="shared" si="5"/>
        <v>804.327616</v>
      </c>
      <c r="N841" s="17" t="str">
        <f t="shared" si="6"/>
        <v>F</v>
      </c>
      <c r="O841" s="17" t="str">
        <f t="shared" si="7"/>
        <v>T</v>
      </c>
      <c r="P841" s="8">
        <f t="shared" si="8"/>
        <v>0</v>
      </c>
      <c r="R841" s="17" t="str">
        <f t="shared" si="9"/>
        <v>F</v>
      </c>
      <c r="S841" s="3" t="str">
        <f t="shared" si="10"/>
        <v>F</v>
      </c>
      <c r="T841" s="8">
        <f t="shared" si="11"/>
        <v>-1</v>
      </c>
      <c r="V841" s="4">
        <f t="shared" si="12"/>
        <v>-1</v>
      </c>
      <c r="W841" s="8">
        <f t="shared" si="13"/>
        <v>23.27</v>
      </c>
      <c r="X841" s="8">
        <f t="shared" si="14"/>
        <v>-23.27</v>
      </c>
      <c r="Y841" s="8">
        <f t="shared" si="15"/>
        <v>474.82</v>
      </c>
    </row>
    <row r="842">
      <c r="A842" s="2">
        <v>835.0</v>
      </c>
      <c r="B842" s="15">
        <f>IFERROR(__xludf.DUMMYFUNCTION("""COMPUTED_VALUE"""),43608.64583333333)</f>
        <v>43608.64583</v>
      </c>
      <c r="C842" s="8">
        <f>IFERROR(__xludf.DUMMYFUNCTION("""COMPUTED_VALUE"""),2114.4)</f>
        <v>2114.4</v>
      </c>
      <c r="E842" s="15">
        <f>IFERROR(__xludf.DUMMYFUNCTION("""COMPUTED_VALUE"""),43608.64583333333)</f>
        <v>43608.64583</v>
      </c>
      <c r="F842" s="8">
        <f>IFERROR(__xludf.DUMMYFUNCTION("""COMPUTED_VALUE"""),1166.05)</f>
        <v>1166.05</v>
      </c>
      <c r="H842" s="4">
        <f t="shared" si="1"/>
        <v>948.35</v>
      </c>
      <c r="I842" s="16">
        <f t="shared" si="2"/>
        <v>903.168</v>
      </c>
      <c r="J842" s="16">
        <f t="shared" si="3"/>
        <v>53.42404112</v>
      </c>
      <c r="K842" s="16">
        <f t="shared" si="4"/>
        <v>956.5920411</v>
      </c>
      <c r="L842" s="16">
        <f t="shared" si="5"/>
        <v>849.7439589</v>
      </c>
      <c r="N842" s="17" t="str">
        <f t="shared" si="6"/>
        <v>F</v>
      </c>
      <c r="O842" s="17" t="str">
        <f t="shared" si="7"/>
        <v>T</v>
      </c>
      <c r="P842" s="8">
        <f t="shared" si="8"/>
        <v>0</v>
      </c>
      <c r="R842" s="17" t="str">
        <f t="shared" si="9"/>
        <v>F</v>
      </c>
      <c r="S842" s="3" t="str">
        <f t="shared" si="10"/>
        <v>F</v>
      </c>
      <c r="T842" s="8">
        <f t="shared" si="11"/>
        <v>-1</v>
      </c>
      <c r="V842" s="4">
        <f t="shared" si="12"/>
        <v>-1</v>
      </c>
      <c r="W842" s="8">
        <f t="shared" si="13"/>
        <v>12.43</v>
      </c>
      <c r="X842" s="8">
        <f t="shared" si="14"/>
        <v>-12.43</v>
      </c>
      <c r="Y842" s="8">
        <f t="shared" si="15"/>
        <v>462.39</v>
      </c>
    </row>
    <row r="843">
      <c r="A843" s="2">
        <v>836.0</v>
      </c>
      <c r="B843" s="15">
        <f>IFERROR(__xludf.DUMMYFUNCTION("""COMPUTED_VALUE"""),43609.64583333333)</f>
        <v>43609.64583</v>
      </c>
      <c r="C843" s="8">
        <f>IFERROR(__xludf.DUMMYFUNCTION("""COMPUTED_VALUE"""),2123.4)</f>
        <v>2123.4</v>
      </c>
      <c r="E843" s="15">
        <f>IFERROR(__xludf.DUMMYFUNCTION("""COMPUTED_VALUE"""),43609.64583333333)</f>
        <v>43609.64583</v>
      </c>
      <c r="F843" s="8">
        <f>IFERROR(__xludf.DUMMYFUNCTION("""COMPUTED_VALUE"""),1186.68)</f>
        <v>1186.68</v>
      </c>
      <c r="H843" s="4">
        <f t="shared" si="1"/>
        <v>936.72</v>
      </c>
      <c r="I843" s="16">
        <f t="shared" si="2"/>
        <v>927.992</v>
      </c>
      <c r="J843" s="16">
        <f t="shared" si="3"/>
        <v>17.73789644</v>
      </c>
      <c r="K843" s="16">
        <f t="shared" si="4"/>
        <v>945.7298964</v>
      </c>
      <c r="L843" s="16">
        <f t="shared" si="5"/>
        <v>910.2541036</v>
      </c>
      <c r="N843" s="17" t="str">
        <f t="shared" si="6"/>
        <v>F</v>
      </c>
      <c r="O843" s="17" t="str">
        <f t="shared" si="7"/>
        <v>T</v>
      </c>
      <c r="P843" s="8">
        <f t="shared" si="8"/>
        <v>0</v>
      </c>
      <c r="R843" s="17" t="str">
        <f t="shared" si="9"/>
        <v>F</v>
      </c>
      <c r="S843" s="3" t="str">
        <f t="shared" si="10"/>
        <v>F</v>
      </c>
      <c r="T843" s="8">
        <f t="shared" si="11"/>
        <v>-1</v>
      </c>
      <c r="V843" s="4">
        <f t="shared" si="12"/>
        <v>-1</v>
      </c>
      <c r="W843" s="8">
        <f t="shared" si="13"/>
        <v>-11.63</v>
      </c>
      <c r="X843" s="8">
        <f t="shared" si="14"/>
        <v>11.63</v>
      </c>
      <c r="Y843" s="8">
        <f t="shared" si="15"/>
        <v>474.02</v>
      </c>
    </row>
    <row r="844">
      <c r="A844" s="2">
        <v>837.0</v>
      </c>
      <c r="B844" s="15">
        <f>IFERROR(__xludf.DUMMYFUNCTION("""COMPUTED_VALUE"""),43612.64583333333)</f>
        <v>43612.64583</v>
      </c>
      <c r="C844" s="8">
        <f>IFERROR(__xludf.DUMMYFUNCTION("""COMPUTED_VALUE"""),2165.3)</f>
        <v>2165.3</v>
      </c>
      <c r="E844" s="15">
        <f>IFERROR(__xludf.DUMMYFUNCTION("""COMPUTED_VALUE"""),43612.64583333333)</f>
        <v>43612.64583</v>
      </c>
      <c r="F844" s="8">
        <f>IFERROR(__xludf.DUMMYFUNCTION("""COMPUTED_VALUE"""),1204.18)</f>
        <v>1204.18</v>
      </c>
      <c r="H844" s="4">
        <f t="shared" si="1"/>
        <v>961.12</v>
      </c>
      <c r="I844" s="16">
        <f t="shared" si="2"/>
        <v>938.952</v>
      </c>
      <c r="J844" s="16">
        <f t="shared" si="3"/>
        <v>17.92841794</v>
      </c>
      <c r="K844" s="16">
        <f t="shared" si="4"/>
        <v>956.8804179</v>
      </c>
      <c r="L844" s="16">
        <f t="shared" si="5"/>
        <v>921.0235821</v>
      </c>
      <c r="N844" s="17" t="str">
        <f t="shared" si="6"/>
        <v>F</v>
      </c>
      <c r="O844" s="17" t="str">
        <f t="shared" si="7"/>
        <v>T</v>
      </c>
      <c r="P844" s="8">
        <f t="shared" si="8"/>
        <v>0</v>
      </c>
      <c r="R844" s="17" t="str">
        <f t="shared" si="9"/>
        <v>T</v>
      </c>
      <c r="S844" s="3" t="str">
        <f t="shared" si="10"/>
        <v>F</v>
      </c>
      <c r="T844" s="8">
        <f t="shared" si="11"/>
        <v>-1</v>
      </c>
      <c r="V844" s="4">
        <f t="shared" si="12"/>
        <v>-1</v>
      </c>
      <c r="W844" s="8">
        <f t="shared" si="13"/>
        <v>24.4</v>
      </c>
      <c r="X844" s="8">
        <f t="shared" si="14"/>
        <v>-24.4</v>
      </c>
      <c r="Y844" s="8">
        <f t="shared" si="15"/>
        <v>449.62</v>
      </c>
    </row>
    <row r="845">
      <c r="A845" s="2">
        <v>838.0</v>
      </c>
      <c r="B845" s="15">
        <f>IFERROR(__xludf.DUMMYFUNCTION("""COMPUTED_VALUE"""),43613.64583333333)</f>
        <v>43613.64583</v>
      </c>
      <c r="C845" s="8">
        <f>IFERROR(__xludf.DUMMYFUNCTION("""COMPUTED_VALUE"""),2147.85)</f>
        <v>2147.85</v>
      </c>
      <c r="E845" s="15">
        <f>IFERROR(__xludf.DUMMYFUNCTION("""COMPUTED_VALUE"""),43613.64583333333)</f>
        <v>43613.64583</v>
      </c>
      <c r="F845" s="8">
        <f>IFERROR(__xludf.DUMMYFUNCTION("""COMPUTED_VALUE"""),1208.1)</f>
        <v>1208.1</v>
      </c>
      <c r="H845" s="4">
        <f t="shared" si="1"/>
        <v>939.75</v>
      </c>
      <c r="I845" s="16">
        <f t="shared" si="2"/>
        <v>944.372</v>
      </c>
      <c r="J845" s="16">
        <f t="shared" si="3"/>
        <v>10.57913371</v>
      </c>
      <c r="K845" s="16">
        <f t="shared" si="4"/>
        <v>954.9511337</v>
      </c>
      <c r="L845" s="16">
        <f t="shared" si="5"/>
        <v>933.7928663</v>
      </c>
      <c r="N845" s="17" t="str">
        <f t="shared" si="6"/>
        <v>F</v>
      </c>
      <c r="O845" s="17" t="str">
        <f t="shared" si="7"/>
        <v>F</v>
      </c>
      <c r="P845" s="8">
        <f t="shared" si="8"/>
        <v>0</v>
      </c>
      <c r="R845" s="17" t="str">
        <f t="shared" si="9"/>
        <v>F</v>
      </c>
      <c r="S845" s="3" t="str">
        <f t="shared" si="10"/>
        <v>T</v>
      </c>
      <c r="T845" s="8">
        <f t="shared" si="11"/>
        <v>0</v>
      </c>
      <c r="V845" s="4">
        <f t="shared" si="12"/>
        <v>0</v>
      </c>
      <c r="W845" s="8">
        <f t="shared" si="13"/>
        <v>-21.37</v>
      </c>
      <c r="X845" s="8">
        <f t="shared" si="14"/>
        <v>21.37</v>
      </c>
      <c r="Y845" s="8">
        <f t="shared" si="15"/>
        <v>470.99</v>
      </c>
    </row>
    <row r="846">
      <c r="A846" s="2">
        <v>839.0</v>
      </c>
      <c r="B846" s="15">
        <f>IFERROR(__xludf.DUMMYFUNCTION("""COMPUTED_VALUE"""),43614.64583333333)</f>
        <v>43614.64583</v>
      </c>
      <c r="C846" s="8">
        <f>IFERROR(__xludf.DUMMYFUNCTION("""COMPUTED_VALUE"""),2147.45)</f>
        <v>2147.45</v>
      </c>
      <c r="E846" s="15">
        <f>IFERROR(__xludf.DUMMYFUNCTION("""COMPUTED_VALUE"""),43614.64583333333)</f>
        <v>43614.64583</v>
      </c>
      <c r="F846" s="8">
        <f>IFERROR(__xludf.DUMMYFUNCTION("""COMPUTED_VALUE"""),1208.45)</f>
        <v>1208.45</v>
      </c>
      <c r="H846" s="4">
        <f t="shared" si="1"/>
        <v>939</v>
      </c>
      <c r="I846" s="16">
        <f t="shared" si="2"/>
        <v>944.988</v>
      </c>
      <c r="J846" s="16">
        <f t="shared" si="3"/>
        <v>10.03988396</v>
      </c>
      <c r="K846" s="16">
        <f t="shared" si="4"/>
        <v>955.027884</v>
      </c>
      <c r="L846" s="16">
        <f t="shared" si="5"/>
        <v>934.948116</v>
      </c>
      <c r="N846" s="17" t="str">
        <f t="shared" si="6"/>
        <v>F</v>
      </c>
      <c r="O846" s="17" t="str">
        <f t="shared" si="7"/>
        <v>F</v>
      </c>
      <c r="P846" s="8">
        <f t="shared" si="8"/>
        <v>0</v>
      </c>
      <c r="R846" s="17" t="str">
        <f t="shared" si="9"/>
        <v>F</v>
      </c>
      <c r="S846" s="3" t="str">
        <f t="shared" si="10"/>
        <v>T</v>
      </c>
      <c r="T846" s="8">
        <f t="shared" si="11"/>
        <v>0</v>
      </c>
      <c r="V846" s="4">
        <f t="shared" si="12"/>
        <v>0</v>
      </c>
      <c r="W846" s="8">
        <f t="shared" si="13"/>
        <v>-0.75</v>
      </c>
      <c r="X846" s="8">
        <f t="shared" si="14"/>
        <v>0</v>
      </c>
      <c r="Y846" s="8">
        <f t="shared" si="15"/>
        <v>470.99</v>
      </c>
    </row>
    <row r="847">
      <c r="A847" s="2">
        <v>840.0</v>
      </c>
      <c r="B847" s="15">
        <f>IFERROR(__xludf.DUMMYFUNCTION("""COMPUTED_VALUE"""),43615.64583333333)</f>
        <v>43615.64583</v>
      </c>
      <c r="C847" s="8">
        <f>IFERROR(__xludf.DUMMYFUNCTION("""COMPUTED_VALUE"""),2184.4)</f>
        <v>2184.4</v>
      </c>
      <c r="E847" s="15">
        <f>IFERROR(__xludf.DUMMYFUNCTION("""COMPUTED_VALUE"""),43615.64583333333)</f>
        <v>43615.64583</v>
      </c>
      <c r="F847" s="8">
        <f>IFERROR(__xludf.DUMMYFUNCTION("""COMPUTED_VALUE"""),1219.78)</f>
        <v>1219.78</v>
      </c>
      <c r="H847" s="4">
        <f t="shared" si="1"/>
        <v>964.62</v>
      </c>
      <c r="I847" s="16">
        <f t="shared" si="2"/>
        <v>948.242</v>
      </c>
      <c r="J847" s="16">
        <f t="shared" si="3"/>
        <v>13.45703236</v>
      </c>
      <c r="K847" s="16">
        <f t="shared" si="4"/>
        <v>961.6990324</v>
      </c>
      <c r="L847" s="16">
        <f t="shared" si="5"/>
        <v>934.7849676</v>
      </c>
      <c r="N847" s="17" t="str">
        <f t="shared" si="6"/>
        <v>F</v>
      </c>
      <c r="O847" s="17" t="str">
        <f t="shared" si="7"/>
        <v>T</v>
      </c>
      <c r="P847" s="8">
        <f t="shared" si="8"/>
        <v>0</v>
      </c>
      <c r="R847" s="17" t="str">
        <f t="shared" si="9"/>
        <v>T</v>
      </c>
      <c r="S847" s="3" t="str">
        <f t="shared" si="10"/>
        <v>F</v>
      </c>
      <c r="T847" s="8">
        <f t="shared" si="11"/>
        <v>-1</v>
      </c>
      <c r="V847" s="4">
        <f t="shared" si="12"/>
        <v>-1</v>
      </c>
      <c r="W847" s="8">
        <f t="shared" si="13"/>
        <v>25.62</v>
      </c>
      <c r="X847" s="8">
        <f t="shared" si="14"/>
        <v>0</v>
      </c>
      <c r="Y847" s="8">
        <f t="shared" si="15"/>
        <v>470.99</v>
      </c>
    </row>
    <row r="848">
      <c r="A848" s="2">
        <v>841.0</v>
      </c>
      <c r="B848" s="15">
        <f>IFERROR(__xludf.DUMMYFUNCTION("""COMPUTED_VALUE"""),43616.64583333333)</f>
        <v>43616.64583</v>
      </c>
      <c r="C848" s="8">
        <f>IFERROR(__xludf.DUMMYFUNCTION("""COMPUTED_VALUE"""),2182.65)</f>
        <v>2182.65</v>
      </c>
      <c r="E848" s="15">
        <f>IFERROR(__xludf.DUMMYFUNCTION("""COMPUTED_VALUE"""),43616.64583333333)</f>
        <v>43616.64583</v>
      </c>
      <c r="F848" s="8">
        <f>IFERROR(__xludf.DUMMYFUNCTION("""COMPUTED_VALUE"""),1212.68)</f>
        <v>1212.68</v>
      </c>
      <c r="H848" s="4">
        <f t="shared" si="1"/>
        <v>969.97</v>
      </c>
      <c r="I848" s="16">
        <f t="shared" si="2"/>
        <v>954.892</v>
      </c>
      <c r="J848" s="16">
        <f t="shared" si="3"/>
        <v>14.51381997</v>
      </c>
      <c r="K848" s="16">
        <f t="shared" si="4"/>
        <v>969.40582</v>
      </c>
      <c r="L848" s="16">
        <f t="shared" si="5"/>
        <v>940.37818</v>
      </c>
      <c r="N848" s="17" t="str">
        <f t="shared" si="6"/>
        <v>F</v>
      </c>
      <c r="O848" s="17" t="str">
        <f t="shared" si="7"/>
        <v>T</v>
      </c>
      <c r="P848" s="8">
        <f t="shared" si="8"/>
        <v>0</v>
      </c>
      <c r="R848" s="17" t="str">
        <f t="shared" si="9"/>
        <v>T</v>
      </c>
      <c r="S848" s="3" t="str">
        <f t="shared" si="10"/>
        <v>F</v>
      </c>
      <c r="T848" s="8">
        <f t="shared" si="11"/>
        <v>-1</v>
      </c>
      <c r="V848" s="4">
        <f t="shared" si="12"/>
        <v>-1</v>
      </c>
      <c r="W848" s="8">
        <f t="shared" si="13"/>
        <v>5.35</v>
      </c>
      <c r="X848" s="8">
        <f t="shared" si="14"/>
        <v>-5.35</v>
      </c>
      <c r="Y848" s="8">
        <f t="shared" si="15"/>
        <v>465.64</v>
      </c>
    </row>
    <row r="849">
      <c r="A849" s="2">
        <v>842.0</v>
      </c>
      <c r="B849" s="15">
        <f>IFERROR(__xludf.DUMMYFUNCTION("""COMPUTED_VALUE"""),43619.64583333333)</f>
        <v>43619.64583</v>
      </c>
      <c r="C849" s="8">
        <f>IFERROR(__xludf.DUMMYFUNCTION("""COMPUTED_VALUE"""),2230.45)</f>
        <v>2230.45</v>
      </c>
      <c r="E849" s="15">
        <f>IFERROR(__xludf.DUMMYFUNCTION("""COMPUTED_VALUE"""),43619.64583333333)</f>
        <v>43619.64583</v>
      </c>
      <c r="F849" s="8">
        <f>IFERROR(__xludf.DUMMYFUNCTION("""COMPUTED_VALUE"""),1228.55)</f>
        <v>1228.55</v>
      </c>
      <c r="H849" s="4">
        <f t="shared" si="1"/>
        <v>1001.9</v>
      </c>
      <c r="I849" s="16">
        <f t="shared" si="2"/>
        <v>963.048</v>
      </c>
      <c r="J849" s="16">
        <f t="shared" si="3"/>
        <v>25.88902412</v>
      </c>
      <c r="K849" s="16">
        <f t="shared" si="4"/>
        <v>988.9370241</v>
      </c>
      <c r="L849" s="16">
        <f t="shared" si="5"/>
        <v>937.1589759</v>
      </c>
      <c r="N849" s="17" t="str">
        <f t="shared" si="6"/>
        <v>F</v>
      </c>
      <c r="O849" s="17" t="str">
        <f t="shared" si="7"/>
        <v>T</v>
      </c>
      <c r="P849" s="8">
        <f t="shared" si="8"/>
        <v>0</v>
      </c>
      <c r="R849" s="17" t="str">
        <f t="shared" si="9"/>
        <v>T</v>
      </c>
      <c r="S849" s="3" t="str">
        <f t="shared" si="10"/>
        <v>F</v>
      </c>
      <c r="T849" s="8">
        <f t="shared" si="11"/>
        <v>-1</v>
      </c>
      <c r="V849" s="4">
        <f t="shared" si="12"/>
        <v>-1</v>
      </c>
      <c r="W849" s="8">
        <f t="shared" si="13"/>
        <v>31.93</v>
      </c>
      <c r="X849" s="8">
        <f t="shared" si="14"/>
        <v>-31.93</v>
      </c>
      <c r="Y849" s="8">
        <f t="shared" si="15"/>
        <v>433.71</v>
      </c>
    </row>
    <row r="850">
      <c r="A850" s="2">
        <v>843.0</v>
      </c>
      <c r="B850" s="15">
        <f>IFERROR(__xludf.DUMMYFUNCTION("""COMPUTED_VALUE"""),43620.64583333333)</f>
        <v>43620.64583</v>
      </c>
      <c r="C850" s="8">
        <f>IFERROR(__xludf.DUMMYFUNCTION("""COMPUTED_VALUE"""),2223.95)</f>
        <v>2223.95</v>
      </c>
      <c r="E850" s="15">
        <f>IFERROR(__xludf.DUMMYFUNCTION("""COMPUTED_VALUE"""),43620.64583333333)</f>
        <v>43620.64583</v>
      </c>
      <c r="F850" s="8">
        <f>IFERROR(__xludf.DUMMYFUNCTION("""COMPUTED_VALUE"""),1226.15)</f>
        <v>1226.15</v>
      </c>
      <c r="H850" s="4">
        <f t="shared" si="1"/>
        <v>997.8</v>
      </c>
      <c r="I850" s="16">
        <f t="shared" si="2"/>
        <v>974.658</v>
      </c>
      <c r="J850" s="16">
        <f t="shared" si="3"/>
        <v>25.84526301</v>
      </c>
      <c r="K850" s="16">
        <f t="shared" si="4"/>
        <v>1000.503263</v>
      </c>
      <c r="L850" s="16">
        <f t="shared" si="5"/>
        <v>948.812737</v>
      </c>
      <c r="N850" s="17" t="str">
        <f t="shared" si="6"/>
        <v>F</v>
      </c>
      <c r="O850" s="17" t="str">
        <f t="shared" si="7"/>
        <v>T</v>
      </c>
      <c r="P850" s="8">
        <f t="shared" si="8"/>
        <v>0</v>
      </c>
      <c r="R850" s="17" t="str">
        <f t="shared" si="9"/>
        <v>F</v>
      </c>
      <c r="S850" s="3" t="str">
        <f t="shared" si="10"/>
        <v>F</v>
      </c>
      <c r="T850" s="8">
        <f t="shared" si="11"/>
        <v>-1</v>
      </c>
      <c r="V850" s="4">
        <f t="shared" si="12"/>
        <v>-1</v>
      </c>
      <c r="W850" s="8">
        <f t="shared" si="13"/>
        <v>-4.1</v>
      </c>
      <c r="X850" s="8">
        <f t="shared" si="14"/>
        <v>4.1</v>
      </c>
      <c r="Y850" s="8">
        <f t="shared" si="15"/>
        <v>437.81</v>
      </c>
    </row>
    <row r="851">
      <c r="A851" s="2">
        <v>844.0</v>
      </c>
      <c r="B851" s="15">
        <f>IFERROR(__xludf.DUMMYFUNCTION("""COMPUTED_VALUE"""),43622.64583333333)</f>
        <v>43622.64583</v>
      </c>
      <c r="C851" s="8">
        <f>IFERROR(__xludf.DUMMYFUNCTION("""COMPUTED_VALUE"""),2183.45)</f>
        <v>2183.45</v>
      </c>
      <c r="E851" s="15">
        <f>IFERROR(__xludf.DUMMYFUNCTION("""COMPUTED_VALUE"""),43622.64583333333)</f>
        <v>43622.64583</v>
      </c>
      <c r="F851" s="8">
        <f>IFERROR(__xludf.DUMMYFUNCTION("""COMPUTED_VALUE"""),1211.68)</f>
        <v>1211.68</v>
      </c>
      <c r="H851" s="4">
        <f t="shared" si="1"/>
        <v>971.77</v>
      </c>
      <c r="I851" s="16">
        <f t="shared" si="2"/>
        <v>981.212</v>
      </c>
      <c r="J851" s="16">
        <f t="shared" si="3"/>
        <v>17.27703302</v>
      </c>
      <c r="K851" s="16">
        <f t="shared" si="4"/>
        <v>998.489033</v>
      </c>
      <c r="L851" s="16">
        <f t="shared" si="5"/>
        <v>963.934967</v>
      </c>
      <c r="N851" s="17" t="str">
        <f t="shared" si="6"/>
        <v>F</v>
      </c>
      <c r="O851" s="17" t="str">
        <f t="shared" si="7"/>
        <v>F</v>
      </c>
      <c r="P851" s="8">
        <f t="shared" si="8"/>
        <v>0</v>
      </c>
      <c r="R851" s="17" t="str">
        <f t="shared" si="9"/>
        <v>F</v>
      </c>
      <c r="S851" s="3" t="str">
        <f t="shared" si="10"/>
        <v>T</v>
      </c>
      <c r="T851" s="8">
        <f t="shared" si="11"/>
        <v>0</v>
      </c>
      <c r="V851" s="4">
        <f t="shared" si="12"/>
        <v>0</v>
      </c>
      <c r="W851" s="8">
        <f t="shared" si="13"/>
        <v>-26.03</v>
      </c>
      <c r="X851" s="8">
        <f t="shared" si="14"/>
        <v>26.03</v>
      </c>
      <c r="Y851" s="8">
        <f t="shared" si="15"/>
        <v>463.84</v>
      </c>
    </row>
    <row r="852">
      <c r="A852" s="2">
        <v>845.0</v>
      </c>
      <c r="B852" s="15">
        <f>IFERROR(__xludf.DUMMYFUNCTION("""COMPUTED_VALUE"""),43623.64583333333)</f>
        <v>43623.64583</v>
      </c>
      <c r="C852" s="8">
        <f>IFERROR(__xludf.DUMMYFUNCTION("""COMPUTED_VALUE"""),2210.85)</f>
        <v>2210.85</v>
      </c>
      <c r="E852" s="15">
        <f>IFERROR(__xludf.DUMMYFUNCTION("""COMPUTED_VALUE"""),43623.64583333333)</f>
        <v>43623.64583</v>
      </c>
      <c r="F852" s="8">
        <f>IFERROR(__xludf.DUMMYFUNCTION("""COMPUTED_VALUE"""),1223.83)</f>
        <v>1223.83</v>
      </c>
      <c r="H852" s="4">
        <f t="shared" si="1"/>
        <v>987.02</v>
      </c>
      <c r="I852" s="16">
        <f t="shared" si="2"/>
        <v>985.692</v>
      </c>
      <c r="J852" s="16">
        <f t="shared" si="3"/>
        <v>14.59511802</v>
      </c>
      <c r="K852" s="16">
        <f t="shared" si="4"/>
        <v>1000.287118</v>
      </c>
      <c r="L852" s="16">
        <f t="shared" si="5"/>
        <v>971.096882</v>
      </c>
      <c r="N852" s="17" t="str">
        <f t="shared" si="6"/>
        <v>F</v>
      </c>
      <c r="O852" s="17" t="str">
        <f t="shared" si="7"/>
        <v>T</v>
      </c>
      <c r="P852" s="8">
        <f t="shared" si="8"/>
        <v>0</v>
      </c>
      <c r="R852" s="17" t="str">
        <f t="shared" si="9"/>
        <v>F</v>
      </c>
      <c r="S852" s="3" t="str">
        <f t="shared" si="10"/>
        <v>F</v>
      </c>
      <c r="T852" s="8">
        <f t="shared" si="11"/>
        <v>0</v>
      </c>
      <c r="V852" s="4">
        <f t="shared" si="12"/>
        <v>0</v>
      </c>
      <c r="W852" s="8">
        <f t="shared" si="13"/>
        <v>15.25</v>
      </c>
      <c r="X852" s="8">
        <f t="shared" si="14"/>
        <v>0</v>
      </c>
      <c r="Y852" s="8">
        <f t="shared" si="15"/>
        <v>463.84</v>
      </c>
    </row>
    <row r="853">
      <c r="A853" s="2">
        <v>846.0</v>
      </c>
      <c r="B853" s="15">
        <f>IFERROR(__xludf.DUMMYFUNCTION("""COMPUTED_VALUE"""),43626.64583333333)</f>
        <v>43626.64583</v>
      </c>
      <c r="C853" s="8">
        <f>IFERROR(__xludf.DUMMYFUNCTION("""COMPUTED_VALUE"""),2194.05)</f>
        <v>2194.05</v>
      </c>
      <c r="E853" s="15">
        <f>IFERROR(__xludf.DUMMYFUNCTION("""COMPUTED_VALUE"""),43626.64583333333)</f>
        <v>43626.64583</v>
      </c>
      <c r="F853" s="8">
        <f>IFERROR(__xludf.DUMMYFUNCTION("""COMPUTED_VALUE"""),1220.1)</f>
        <v>1220.1</v>
      </c>
      <c r="H853" s="4">
        <f t="shared" si="1"/>
        <v>973.95</v>
      </c>
      <c r="I853" s="16">
        <f t="shared" si="2"/>
        <v>986.488</v>
      </c>
      <c r="J853" s="16">
        <f t="shared" si="3"/>
        <v>13.59774871</v>
      </c>
      <c r="K853" s="16">
        <f t="shared" si="4"/>
        <v>1000.085749</v>
      </c>
      <c r="L853" s="16">
        <f t="shared" si="5"/>
        <v>972.8902513</v>
      </c>
      <c r="N853" s="17" t="str">
        <f t="shared" si="6"/>
        <v>F</v>
      </c>
      <c r="O853" s="17" t="str">
        <f t="shared" si="7"/>
        <v>F</v>
      </c>
      <c r="P853" s="8">
        <f t="shared" si="8"/>
        <v>0</v>
      </c>
      <c r="R853" s="17" t="str">
        <f t="shared" si="9"/>
        <v>F</v>
      </c>
      <c r="S853" s="3" t="str">
        <f t="shared" si="10"/>
        <v>T</v>
      </c>
      <c r="T853" s="8">
        <f t="shared" si="11"/>
        <v>0</v>
      </c>
      <c r="V853" s="4">
        <f t="shared" si="12"/>
        <v>0</v>
      </c>
      <c r="W853" s="8">
        <f t="shared" si="13"/>
        <v>-13.07</v>
      </c>
      <c r="X853" s="8">
        <f t="shared" si="14"/>
        <v>0</v>
      </c>
      <c r="Y853" s="8">
        <f t="shared" si="15"/>
        <v>463.84</v>
      </c>
    </row>
    <row r="854">
      <c r="A854" s="2">
        <v>847.0</v>
      </c>
      <c r="B854" s="15">
        <f>IFERROR(__xludf.DUMMYFUNCTION("""COMPUTED_VALUE"""),43627.64583333333)</f>
        <v>43627.64583</v>
      </c>
      <c r="C854" s="8">
        <f>IFERROR(__xludf.DUMMYFUNCTION("""COMPUTED_VALUE"""),2189.85)</f>
        <v>2189.85</v>
      </c>
      <c r="E854" s="15">
        <f>IFERROR(__xludf.DUMMYFUNCTION("""COMPUTED_VALUE"""),43627.64583333333)</f>
        <v>43627.64583</v>
      </c>
      <c r="F854" s="8">
        <f>IFERROR(__xludf.DUMMYFUNCTION("""COMPUTED_VALUE"""),1224.2)</f>
        <v>1224.2</v>
      </c>
      <c r="H854" s="4">
        <f t="shared" si="1"/>
        <v>965.65</v>
      </c>
      <c r="I854" s="16">
        <f t="shared" si="2"/>
        <v>979.238</v>
      </c>
      <c r="J854" s="16">
        <f t="shared" si="3"/>
        <v>12.97569921</v>
      </c>
      <c r="K854" s="16">
        <f t="shared" si="4"/>
        <v>992.2136992</v>
      </c>
      <c r="L854" s="16">
        <f t="shared" si="5"/>
        <v>966.2623008</v>
      </c>
      <c r="N854" s="17" t="str">
        <f t="shared" si="6"/>
        <v>T</v>
      </c>
      <c r="O854" s="17" t="str">
        <f t="shared" si="7"/>
        <v>F</v>
      </c>
      <c r="P854" s="8">
        <f t="shared" si="8"/>
        <v>1</v>
      </c>
      <c r="R854" s="17" t="str">
        <f t="shared" si="9"/>
        <v>F</v>
      </c>
      <c r="S854" s="3" t="str">
        <f t="shared" si="10"/>
        <v>T</v>
      </c>
      <c r="T854" s="8">
        <f t="shared" si="11"/>
        <v>0</v>
      </c>
      <c r="V854" s="4">
        <f t="shared" si="12"/>
        <v>1</v>
      </c>
      <c r="W854" s="8">
        <f t="shared" si="13"/>
        <v>-8.3</v>
      </c>
      <c r="X854" s="8">
        <f t="shared" si="14"/>
        <v>0</v>
      </c>
      <c r="Y854" s="8">
        <f t="shared" si="15"/>
        <v>463.84</v>
      </c>
    </row>
    <row r="855">
      <c r="A855" s="2">
        <v>848.0</v>
      </c>
      <c r="B855" s="15">
        <f>IFERROR(__xludf.DUMMYFUNCTION("""COMPUTED_VALUE"""),43628.64583333333)</f>
        <v>43628.64583</v>
      </c>
      <c r="C855" s="8">
        <f>IFERROR(__xludf.DUMMYFUNCTION("""COMPUTED_VALUE"""),2181.95)</f>
        <v>2181.95</v>
      </c>
      <c r="E855" s="15">
        <f>IFERROR(__xludf.DUMMYFUNCTION("""COMPUTED_VALUE"""),43628.64583333333)</f>
        <v>43628.64583</v>
      </c>
      <c r="F855" s="8">
        <f>IFERROR(__xludf.DUMMYFUNCTION("""COMPUTED_VALUE"""),1213.53)</f>
        <v>1213.53</v>
      </c>
      <c r="H855" s="4">
        <f t="shared" si="1"/>
        <v>968.42</v>
      </c>
      <c r="I855" s="16">
        <f t="shared" si="2"/>
        <v>973.362</v>
      </c>
      <c r="J855" s="16">
        <f t="shared" si="3"/>
        <v>8.26618836</v>
      </c>
      <c r="K855" s="16">
        <f t="shared" si="4"/>
        <v>981.6281884</v>
      </c>
      <c r="L855" s="16">
        <f t="shared" si="5"/>
        <v>965.0958116</v>
      </c>
      <c r="N855" s="17" t="str">
        <f t="shared" si="6"/>
        <v>F</v>
      </c>
      <c r="O855" s="17" t="str">
        <f t="shared" si="7"/>
        <v>F</v>
      </c>
      <c r="P855" s="8">
        <f t="shared" si="8"/>
        <v>1</v>
      </c>
      <c r="R855" s="17" t="str">
        <f t="shared" si="9"/>
        <v>F</v>
      </c>
      <c r="S855" s="3" t="str">
        <f t="shared" si="10"/>
        <v>T</v>
      </c>
      <c r="T855" s="8">
        <f t="shared" si="11"/>
        <v>0</v>
      </c>
      <c r="V855" s="4">
        <f t="shared" si="12"/>
        <v>1</v>
      </c>
      <c r="W855" s="8">
        <f t="shared" si="13"/>
        <v>2.77</v>
      </c>
      <c r="X855" s="8">
        <f t="shared" si="14"/>
        <v>2.77</v>
      </c>
      <c r="Y855" s="8">
        <f t="shared" si="15"/>
        <v>466.61</v>
      </c>
    </row>
    <row r="856">
      <c r="A856" s="2">
        <v>849.0</v>
      </c>
      <c r="B856" s="15">
        <f>IFERROR(__xludf.DUMMYFUNCTION("""COMPUTED_VALUE"""),43629.64583333333)</f>
        <v>43629.64583</v>
      </c>
      <c r="C856" s="8">
        <f>IFERROR(__xludf.DUMMYFUNCTION("""COMPUTED_VALUE"""),2197.5)</f>
        <v>2197.5</v>
      </c>
      <c r="E856" s="15">
        <f>IFERROR(__xludf.DUMMYFUNCTION("""COMPUTED_VALUE"""),43629.64583333333)</f>
        <v>43629.64583</v>
      </c>
      <c r="F856" s="8">
        <f>IFERROR(__xludf.DUMMYFUNCTION("""COMPUTED_VALUE"""),1222.35)</f>
        <v>1222.35</v>
      </c>
      <c r="H856" s="4">
        <f t="shared" si="1"/>
        <v>975.15</v>
      </c>
      <c r="I856" s="16">
        <f t="shared" si="2"/>
        <v>974.038</v>
      </c>
      <c r="J856" s="16">
        <f t="shared" si="3"/>
        <v>8.241618166</v>
      </c>
      <c r="K856" s="16">
        <f t="shared" si="4"/>
        <v>982.2796182</v>
      </c>
      <c r="L856" s="16">
        <f t="shared" si="5"/>
        <v>965.7963818</v>
      </c>
      <c r="N856" s="17" t="str">
        <f t="shared" si="6"/>
        <v>F</v>
      </c>
      <c r="O856" s="17" t="str">
        <f t="shared" si="7"/>
        <v>T</v>
      </c>
      <c r="P856" s="8">
        <f t="shared" si="8"/>
        <v>0</v>
      </c>
      <c r="R856" s="17" t="str">
        <f t="shared" si="9"/>
        <v>F</v>
      </c>
      <c r="S856" s="3" t="str">
        <f t="shared" si="10"/>
        <v>F</v>
      </c>
      <c r="T856" s="8">
        <f t="shared" si="11"/>
        <v>0</v>
      </c>
      <c r="V856" s="4">
        <f t="shared" si="12"/>
        <v>0</v>
      </c>
      <c r="W856" s="8">
        <f t="shared" si="13"/>
        <v>6.73</v>
      </c>
      <c r="X856" s="8">
        <f t="shared" si="14"/>
        <v>6.73</v>
      </c>
      <c r="Y856" s="8">
        <f t="shared" si="15"/>
        <v>473.34</v>
      </c>
    </row>
    <row r="857">
      <c r="A857" s="2">
        <v>850.0</v>
      </c>
      <c r="B857" s="15">
        <f>IFERROR(__xludf.DUMMYFUNCTION("""COMPUTED_VALUE"""),43630.64583333333)</f>
        <v>43630.64583</v>
      </c>
      <c r="C857" s="8">
        <f>IFERROR(__xludf.DUMMYFUNCTION("""COMPUTED_VALUE"""),2185.85)</f>
        <v>2185.85</v>
      </c>
      <c r="E857" s="15">
        <f>IFERROR(__xludf.DUMMYFUNCTION("""COMPUTED_VALUE"""),43630.64583333333)</f>
        <v>43630.64583</v>
      </c>
      <c r="F857" s="8">
        <f>IFERROR(__xludf.DUMMYFUNCTION("""COMPUTED_VALUE"""),1217.55)</f>
        <v>1217.55</v>
      </c>
      <c r="H857" s="4">
        <f t="shared" si="1"/>
        <v>968.3</v>
      </c>
      <c r="I857" s="16">
        <f t="shared" si="2"/>
        <v>970.294</v>
      </c>
      <c r="J857" s="16">
        <f t="shared" si="3"/>
        <v>4.062072131</v>
      </c>
      <c r="K857" s="16">
        <f t="shared" si="4"/>
        <v>974.3560721</v>
      </c>
      <c r="L857" s="16">
        <f t="shared" si="5"/>
        <v>966.2319279</v>
      </c>
      <c r="N857" s="17" t="str">
        <f t="shared" si="6"/>
        <v>F</v>
      </c>
      <c r="O857" s="17" t="str">
        <f t="shared" si="7"/>
        <v>F</v>
      </c>
      <c r="P857" s="8">
        <f t="shared" si="8"/>
        <v>0</v>
      </c>
      <c r="R857" s="17" t="str">
        <f t="shared" si="9"/>
        <v>F</v>
      </c>
      <c r="S857" s="3" t="str">
        <f t="shared" si="10"/>
        <v>T</v>
      </c>
      <c r="T857" s="8">
        <f t="shared" si="11"/>
        <v>0</v>
      </c>
      <c r="V857" s="4">
        <f t="shared" si="12"/>
        <v>0</v>
      </c>
      <c r="W857" s="8">
        <f t="shared" si="13"/>
        <v>-6.85</v>
      </c>
      <c r="X857" s="8">
        <f t="shared" si="14"/>
        <v>0</v>
      </c>
      <c r="Y857" s="8">
        <f t="shared" si="15"/>
        <v>473.34</v>
      </c>
    </row>
    <row r="858">
      <c r="A858" s="2">
        <v>851.0</v>
      </c>
      <c r="B858" s="15">
        <f>IFERROR(__xludf.DUMMYFUNCTION("""COMPUTED_VALUE"""),43633.64583333333)</f>
        <v>43633.64583</v>
      </c>
      <c r="C858" s="8">
        <f>IFERROR(__xludf.DUMMYFUNCTION("""COMPUTED_VALUE"""),2173.0)</f>
        <v>2173</v>
      </c>
      <c r="E858" s="15">
        <f>IFERROR(__xludf.DUMMYFUNCTION("""COMPUTED_VALUE"""),43633.64583333333)</f>
        <v>43633.64583</v>
      </c>
      <c r="F858" s="8">
        <f>IFERROR(__xludf.DUMMYFUNCTION("""COMPUTED_VALUE"""),1211.0)</f>
        <v>1211</v>
      </c>
      <c r="H858" s="4">
        <f t="shared" si="1"/>
        <v>962</v>
      </c>
      <c r="I858" s="16">
        <f t="shared" si="2"/>
        <v>967.904</v>
      </c>
      <c r="J858" s="16">
        <f t="shared" si="3"/>
        <v>4.818332699</v>
      </c>
      <c r="K858" s="16">
        <f t="shared" si="4"/>
        <v>972.7223327</v>
      </c>
      <c r="L858" s="16">
        <f t="shared" si="5"/>
        <v>963.0856673</v>
      </c>
      <c r="N858" s="17" t="str">
        <f t="shared" si="6"/>
        <v>T</v>
      </c>
      <c r="O858" s="17" t="str">
        <f t="shared" si="7"/>
        <v>F</v>
      </c>
      <c r="P858" s="8">
        <f t="shared" si="8"/>
        <v>1</v>
      </c>
      <c r="R858" s="17" t="str">
        <f t="shared" si="9"/>
        <v>F</v>
      </c>
      <c r="S858" s="3" t="str">
        <f t="shared" si="10"/>
        <v>T</v>
      </c>
      <c r="T858" s="8">
        <f t="shared" si="11"/>
        <v>0</v>
      </c>
      <c r="V858" s="4">
        <f t="shared" si="12"/>
        <v>1</v>
      </c>
      <c r="W858" s="8">
        <f t="shared" si="13"/>
        <v>-6.3</v>
      </c>
      <c r="X858" s="8">
        <f t="shared" si="14"/>
        <v>0</v>
      </c>
      <c r="Y858" s="8">
        <f t="shared" si="15"/>
        <v>473.34</v>
      </c>
    </row>
    <row r="859">
      <c r="A859" s="2">
        <v>852.0</v>
      </c>
      <c r="B859" s="15">
        <f>IFERROR(__xludf.DUMMYFUNCTION("""COMPUTED_VALUE"""),43634.64583333333)</f>
        <v>43634.64583</v>
      </c>
      <c r="C859" s="8">
        <f>IFERROR(__xludf.DUMMYFUNCTION("""COMPUTED_VALUE"""),2153.0)</f>
        <v>2153</v>
      </c>
      <c r="E859" s="15">
        <f>IFERROR(__xludf.DUMMYFUNCTION("""COMPUTED_VALUE"""),43634.64583333333)</f>
        <v>43634.64583</v>
      </c>
      <c r="F859" s="8">
        <f>IFERROR(__xludf.DUMMYFUNCTION("""COMPUTED_VALUE"""),1208.63)</f>
        <v>1208.63</v>
      </c>
      <c r="H859" s="4">
        <f t="shared" si="1"/>
        <v>944.37</v>
      </c>
      <c r="I859" s="16">
        <f t="shared" si="2"/>
        <v>963.648</v>
      </c>
      <c r="J859" s="16">
        <f t="shared" si="3"/>
        <v>11.73740048</v>
      </c>
      <c r="K859" s="16">
        <f t="shared" si="4"/>
        <v>975.3854005</v>
      </c>
      <c r="L859" s="16">
        <f t="shared" si="5"/>
        <v>951.9105995</v>
      </c>
      <c r="N859" s="17" t="str">
        <f t="shared" si="6"/>
        <v>T</v>
      </c>
      <c r="O859" s="17" t="str">
        <f t="shared" si="7"/>
        <v>F</v>
      </c>
      <c r="P859" s="8">
        <f t="shared" si="8"/>
        <v>1</v>
      </c>
      <c r="R859" s="17" t="str">
        <f t="shared" si="9"/>
        <v>F</v>
      </c>
      <c r="S859" s="3" t="str">
        <f t="shared" si="10"/>
        <v>T</v>
      </c>
      <c r="T859" s="8">
        <f t="shared" si="11"/>
        <v>0</v>
      </c>
      <c r="V859" s="4">
        <f t="shared" si="12"/>
        <v>1</v>
      </c>
      <c r="W859" s="8">
        <f t="shared" si="13"/>
        <v>-17.63</v>
      </c>
      <c r="X859" s="8">
        <f t="shared" si="14"/>
        <v>-17.63</v>
      </c>
      <c r="Y859" s="8">
        <f t="shared" si="15"/>
        <v>455.71</v>
      </c>
    </row>
    <row r="860">
      <c r="A860" s="2">
        <v>853.0</v>
      </c>
      <c r="B860" s="15">
        <f>IFERROR(__xludf.DUMMYFUNCTION("""COMPUTED_VALUE"""),43635.64583333333)</f>
        <v>43635.64583</v>
      </c>
      <c r="C860" s="8">
        <f>IFERROR(__xludf.DUMMYFUNCTION("""COMPUTED_VALUE"""),2175.4)</f>
        <v>2175.4</v>
      </c>
      <c r="E860" s="15">
        <f>IFERROR(__xludf.DUMMYFUNCTION("""COMPUTED_VALUE"""),43635.64583333333)</f>
        <v>43635.64583</v>
      </c>
      <c r="F860" s="8">
        <f>IFERROR(__xludf.DUMMYFUNCTION("""COMPUTED_VALUE"""),1214.18)</f>
        <v>1214.18</v>
      </c>
      <c r="H860" s="4">
        <f t="shared" si="1"/>
        <v>961.22</v>
      </c>
      <c r="I860" s="16">
        <f t="shared" si="2"/>
        <v>962.208</v>
      </c>
      <c r="J860" s="16">
        <f t="shared" si="3"/>
        <v>11.44357331</v>
      </c>
      <c r="K860" s="16">
        <f t="shared" si="4"/>
        <v>973.6515733</v>
      </c>
      <c r="L860" s="16">
        <f t="shared" si="5"/>
        <v>950.7644267</v>
      </c>
      <c r="N860" s="17" t="str">
        <f t="shared" si="6"/>
        <v>F</v>
      </c>
      <c r="O860" s="17" t="str">
        <f t="shared" si="7"/>
        <v>F</v>
      </c>
      <c r="P860" s="8">
        <f t="shared" si="8"/>
        <v>1</v>
      </c>
      <c r="R860" s="17" t="str">
        <f t="shared" si="9"/>
        <v>F</v>
      </c>
      <c r="S860" s="3" t="str">
        <f t="shared" si="10"/>
        <v>T</v>
      </c>
      <c r="T860" s="8">
        <f t="shared" si="11"/>
        <v>0</v>
      </c>
      <c r="V860" s="4">
        <f t="shared" si="12"/>
        <v>1</v>
      </c>
      <c r="W860" s="8">
        <f t="shared" si="13"/>
        <v>16.85</v>
      </c>
      <c r="X860" s="8">
        <f t="shared" si="14"/>
        <v>16.85</v>
      </c>
      <c r="Y860" s="8">
        <f t="shared" si="15"/>
        <v>472.56</v>
      </c>
    </row>
    <row r="861">
      <c r="A861" s="2">
        <v>854.0</v>
      </c>
      <c r="B861" s="15">
        <f>IFERROR(__xludf.DUMMYFUNCTION("""COMPUTED_VALUE"""),43636.64583333333)</f>
        <v>43636.64583</v>
      </c>
      <c r="C861" s="8">
        <f>IFERROR(__xludf.DUMMYFUNCTION("""COMPUTED_VALUE"""),2199.25)</f>
        <v>2199.25</v>
      </c>
      <c r="E861" s="15">
        <f>IFERROR(__xludf.DUMMYFUNCTION("""COMPUTED_VALUE"""),43636.64583333333)</f>
        <v>43636.64583</v>
      </c>
      <c r="F861" s="8">
        <f>IFERROR(__xludf.DUMMYFUNCTION("""COMPUTED_VALUE"""),1213.18)</f>
        <v>1213.18</v>
      </c>
      <c r="H861" s="4">
        <f t="shared" si="1"/>
        <v>986.07</v>
      </c>
      <c r="I861" s="16">
        <f t="shared" si="2"/>
        <v>964.392</v>
      </c>
      <c r="J861" s="16">
        <f t="shared" si="3"/>
        <v>15.0155909</v>
      </c>
      <c r="K861" s="16">
        <f t="shared" si="4"/>
        <v>979.4075909</v>
      </c>
      <c r="L861" s="16">
        <f t="shared" si="5"/>
        <v>949.3764091</v>
      </c>
      <c r="N861" s="17" t="str">
        <f t="shared" si="6"/>
        <v>F</v>
      </c>
      <c r="O861" s="17" t="str">
        <f t="shared" si="7"/>
        <v>T</v>
      </c>
      <c r="P861" s="8">
        <f t="shared" si="8"/>
        <v>0</v>
      </c>
      <c r="R861" s="17" t="str">
        <f t="shared" si="9"/>
        <v>T</v>
      </c>
      <c r="S861" s="3" t="str">
        <f t="shared" si="10"/>
        <v>F</v>
      </c>
      <c r="T861" s="8">
        <f t="shared" si="11"/>
        <v>-1</v>
      </c>
      <c r="V861" s="4">
        <f t="shared" si="12"/>
        <v>-1</v>
      </c>
      <c r="W861" s="8">
        <f t="shared" si="13"/>
        <v>24.85</v>
      </c>
      <c r="X861" s="8">
        <f t="shared" si="14"/>
        <v>24.85</v>
      </c>
      <c r="Y861" s="8">
        <f t="shared" si="15"/>
        <v>497.41</v>
      </c>
    </row>
    <row r="862">
      <c r="A862" s="2">
        <v>855.0</v>
      </c>
      <c r="B862" s="15">
        <f>IFERROR(__xludf.DUMMYFUNCTION("""COMPUTED_VALUE"""),43637.64583333333)</f>
        <v>43637.64583</v>
      </c>
      <c r="C862" s="8">
        <f>IFERROR(__xludf.DUMMYFUNCTION("""COMPUTED_VALUE"""),2140.8)</f>
        <v>2140.8</v>
      </c>
      <c r="E862" s="15">
        <f>IFERROR(__xludf.DUMMYFUNCTION("""COMPUTED_VALUE"""),43637.64583333333)</f>
        <v>43637.64583</v>
      </c>
      <c r="F862" s="8">
        <f>IFERROR(__xludf.DUMMYFUNCTION("""COMPUTED_VALUE"""),1207.1)</f>
        <v>1207.1</v>
      </c>
      <c r="H862" s="4">
        <f t="shared" si="1"/>
        <v>933.7</v>
      </c>
      <c r="I862" s="16">
        <f t="shared" si="2"/>
        <v>957.472</v>
      </c>
      <c r="J862" s="16">
        <f t="shared" si="3"/>
        <v>19.93217424</v>
      </c>
      <c r="K862" s="16">
        <f t="shared" si="4"/>
        <v>977.4041742</v>
      </c>
      <c r="L862" s="16">
        <f t="shared" si="5"/>
        <v>937.5398258</v>
      </c>
      <c r="N862" s="17" t="str">
        <f t="shared" si="6"/>
        <v>T</v>
      </c>
      <c r="O862" s="17" t="str">
        <f t="shared" si="7"/>
        <v>F</v>
      </c>
      <c r="P862" s="8">
        <f t="shared" si="8"/>
        <v>1</v>
      </c>
      <c r="R862" s="17" t="str">
        <f t="shared" si="9"/>
        <v>F</v>
      </c>
      <c r="S862" s="3" t="str">
        <f t="shared" si="10"/>
        <v>T</v>
      </c>
      <c r="T862" s="8">
        <f t="shared" si="11"/>
        <v>0</v>
      </c>
      <c r="V862" s="4">
        <f t="shared" si="12"/>
        <v>1</v>
      </c>
      <c r="W862" s="8">
        <f t="shared" si="13"/>
        <v>-52.37</v>
      </c>
      <c r="X862" s="8">
        <f t="shared" si="14"/>
        <v>52.37</v>
      </c>
      <c r="Y862" s="8">
        <f t="shared" si="15"/>
        <v>549.78</v>
      </c>
    </row>
    <row r="863">
      <c r="A863" s="2">
        <v>856.0</v>
      </c>
      <c r="B863" s="15">
        <f>IFERROR(__xludf.DUMMYFUNCTION("""COMPUTED_VALUE"""),43640.64583333333)</f>
        <v>43640.64583</v>
      </c>
      <c r="C863" s="8">
        <f>IFERROR(__xludf.DUMMYFUNCTION("""COMPUTED_VALUE"""),2148.9)</f>
        <v>2148.9</v>
      </c>
      <c r="E863" s="15">
        <f>IFERROR(__xludf.DUMMYFUNCTION("""COMPUTED_VALUE"""),43640.64583333333)</f>
        <v>43640.64583</v>
      </c>
      <c r="F863" s="8">
        <f>IFERROR(__xludf.DUMMYFUNCTION("""COMPUTED_VALUE"""),1208.97)</f>
        <v>1208.97</v>
      </c>
      <c r="H863" s="4">
        <f t="shared" si="1"/>
        <v>939.93</v>
      </c>
      <c r="I863" s="16">
        <f t="shared" si="2"/>
        <v>953.058</v>
      </c>
      <c r="J863" s="16">
        <f t="shared" si="3"/>
        <v>21.0889087</v>
      </c>
      <c r="K863" s="16">
        <f t="shared" si="4"/>
        <v>974.1469087</v>
      </c>
      <c r="L863" s="16">
        <f t="shared" si="5"/>
        <v>931.9690913</v>
      </c>
      <c r="N863" s="17" t="str">
        <f t="shared" si="6"/>
        <v>F</v>
      </c>
      <c r="O863" s="17" t="str">
        <f t="shared" si="7"/>
        <v>F</v>
      </c>
      <c r="P863" s="8">
        <f t="shared" si="8"/>
        <v>1</v>
      </c>
      <c r="R863" s="17" t="str">
        <f t="shared" si="9"/>
        <v>F</v>
      </c>
      <c r="S863" s="3" t="str">
        <f t="shared" si="10"/>
        <v>T</v>
      </c>
      <c r="T863" s="8">
        <f t="shared" si="11"/>
        <v>0</v>
      </c>
      <c r="V863" s="4">
        <f t="shared" si="12"/>
        <v>1</v>
      </c>
      <c r="W863" s="8">
        <f t="shared" si="13"/>
        <v>6.23</v>
      </c>
      <c r="X863" s="8">
        <f t="shared" si="14"/>
        <v>6.23</v>
      </c>
      <c r="Y863" s="8">
        <f t="shared" si="15"/>
        <v>556.01</v>
      </c>
    </row>
    <row r="864">
      <c r="A864" s="2">
        <v>857.0</v>
      </c>
      <c r="B864" s="15">
        <f>IFERROR(__xludf.DUMMYFUNCTION("""COMPUTED_VALUE"""),43641.64583333333)</f>
        <v>43641.64583</v>
      </c>
      <c r="C864" s="8">
        <f>IFERROR(__xludf.DUMMYFUNCTION("""COMPUTED_VALUE"""),2172.8)</f>
        <v>2172.8</v>
      </c>
      <c r="E864" s="15">
        <f>IFERROR(__xludf.DUMMYFUNCTION("""COMPUTED_VALUE"""),43641.64583333333)</f>
        <v>43641.64583</v>
      </c>
      <c r="F864" s="8">
        <f>IFERROR(__xludf.DUMMYFUNCTION("""COMPUTED_VALUE"""),1214.35)</f>
        <v>1214.35</v>
      </c>
      <c r="H864" s="4">
        <f t="shared" si="1"/>
        <v>958.45</v>
      </c>
      <c r="I864" s="16">
        <f t="shared" si="2"/>
        <v>955.874</v>
      </c>
      <c r="J864" s="16">
        <f t="shared" si="3"/>
        <v>20.57250179</v>
      </c>
      <c r="K864" s="16">
        <f t="shared" si="4"/>
        <v>976.4465018</v>
      </c>
      <c r="L864" s="16">
        <f t="shared" si="5"/>
        <v>935.3014982</v>
      </c>
      <c r="N864" s="17" t="str">
        <f t="shared" si="6"/>
        <v>F</v>
      </c>
      <c r="O864" s="17" t="str">
        <f t="shared" si="7"/>
        <v>T</v>
      </c>
      <c r="P864" s="8">
        <f t="shared" si="8"/>
        <v>0</v>
      </c>
      <c r="R864" s="17" t="str">
        <f t="shared" si="9"/>
        <v>F</v>
      </c>
      <c r="S864" s="3" t="str">
        <f t="shared" si="10"/>
        <v>F</v>
      </c>
      <c r="T864" s="8">
        <f t="shared" si="11"/>
        <v>0</v>
      </c>
      <c r="V864" s="4">
        <f t="shared" si="12"/>
        <v>0</v>
      </c>
      <c r="W864" s="8">
        <f t="shared" si="13"/>
        <v>18.52</v>
      </c>
      <c r="X864" s="8">
        <f t="shared" si="14"/>
        <v>18.52</v>
      </c>
      <c r="Y864" s="8">
        <f t="shared" si="15"/>
        <v>574.53</v>
      </c>
    </row>
    <row r="865">
      <c r="A865" s="2">
        <v>858.0</v>
      </c>
      <c r="B865" s="15">
        <f>IFERROR(__xludf.DUMMYFUNCTION("""COMPUTED_VALUE"""),43642.64583333333)</f>
        <v>43642.64583</v>
      </c>
      <c r="C865" s="8">
        <f>IFERROR(__xludf.DUMMYFUNCTION("""COMPUTED_VALUE"""),2168.1)</f>
        <v>2168.1</v>
      </c>
      <c r="E865" s="15">
        <f>IFERROR(__xludf.DUMMYFUNCTION("""COMPUTED_VALUE"""),43642.64583333333)</f>
        <v>43642.64583</v>
      </c>
      <c r="F865" s="8">
        <f>IFERROR(__xludf.DUMMYFUNCTION("""COMPUTED_VALUE"""),1233.95)</f>
        <v>1233.95</v>
      </c>
      <c r="H865" s="4">
        <f t="shared" si="1"/>
        <v>934.15</v>
      </c>
      <c r="I865" s="16">
        <f t="shared" si="2"/>
        <v>950.46</v>
      </c>
      <c r="J865" s="16">
        <f t="shared" si="3"/>
        <v>22.30306481</v>
      </c>
      <c r="K865" s="16">
        <f t="shared" si="4"/>
        <v>972.7630648</v>
      </c>
      <c r="L865" s="16">
        <f t="shared" si="5"/>
        <v>928.1569352</v>
      </c>
      <c r="N865" s="17" t="str">
        <f t="shared" si="6"/>
        <v>F</v>
      </c>
      <c r="O865" s="17" t="str">
        <f t="shared" si="7"/>
        <v>F</v>
      </c>
      <c r="P865" s="8">
        <f t="shared" si="8"/>
        <v>0</v>
      </c>
      <c r="R865" s="17" t="str">
        <f t="shared" si="9"/>
        <v>F</v>
      </c>
      <c r="S865" s="3" t="str">
        <f t="shared" si="10"/>
        <v>T</v>
      </c>
      <c r="T865" s="8">
        <f t="shared" si="11"/>
        <v>0</v>
      </c>
      <c r="V865" s="4">
        <f t="shared" si="12"/>
        <v>0</v>
      </c>
      <c r="W865" s="8">
        <f t="shared" si="13"/>
        <v>-24.3</v>
      </c>
      <c r="X865" s="8">
        <f t="shared" si="14"/>
        <v>0</v>
      </c>
      <c r="Y865" s="8">
        <f t="shared" si="15"/>
        <v>574.53</v>
      </c>
    </row>
    <row r="866">
      <c r="A866" s="2">
        <v>859.0</v>
      </c>
      <c r="B866" s="15">
        <f>IFERROR(__xludf.DUMMYFUNCTION("""COMPUTED_VALUE"""),43643.64583333333)</f>
        <v>43643.64583</v>
      </c>
      <c r="C866" s="8">
        <f>IFERROR(__xludf.DUMMYFUNCTION("""COMPUTED_VALUE"""),2195.45)</f>
        <v>2195.45</v>
      </c>
      <c r="E866" s="15">
        <f>IFERROR(__xludf.DUMMYFUNCTION("""COMPUTED_VALUE"""),43643.64583333333)</f>
        <v>43643.64583</v>
      </c>
      <c r="F866" s="8">
        <f>IFERROR(__xludf.DUMMYFUNCTION("""COMPUTED_VALUE"""),1231.15)</f>
        <v>1231.15</v>
      </c>
      <c r="H866" s="4">
        <f t="shared" si="1"/>
        <v>964.3</v>
      </c>
      <c r="I866" s="16">
        <f t="shared" si="2"/>
        <v>946.106</v>
      </c>
      <c r="J866" s="16">
        <f t="shared" si="3"/>
        <v>14.30379076</v>
      </c>
      <c r="K866" s="16">
        <f t="shared" si="4"/>
        <v>960.4097908</v>
      </c>
      <c r="L866" s="16">
        <f t="shared" si="5"/>
        <v>931.8022092</v>
      </c>
      <c r="N866" s="17" t="str">
        <f t="shared" si="6"/>
        <v>F</v>
      </c>
      <c r="O866" s="17" t="str">
        <f t="shared" si="7"/>
        <v>T</v>
      </c>
      <c r="P866" s="8">
        <f t="shared" si="8"/>
        <v>0</v>
      </c>
      <c r="R866" s="17" t="str">
        <f t="shared" si="9"/>
        <v>T</v>
      </c>
      <c r="S866" s="3" t="str">
        <f t="shared" si="10"/>
        <v>F</v>
      </c>
      <c r="T866" s="8">
        <f t="shared" si="11"/>
        <v>-1</v>
      </c>
      <c r="V866" s="4">
        <f t="shared" si="12"/>
        <v>-1</v>
      </c>
      <c r="W866" s="8">
        <f t="shared" si="13"/>
        <v>30.15</v>
      </c>
      <c r="X866" s="8">
        <f t="shared" si="14"/>
        <v>0</v>
      </c>
      <c r="Y866" s="8">
        <f t="shared" si="15"/>
        <v>574.53</v>
      </c>
    </row>
    <row r="867">
      <c r="A867" s="2">
        <v>860.0</v>
      </c>
      <c r="B867" s="15">
        <f>IFERROR(__xludf.DUMMYFUNCTION("""COMPUTED_VALUE"""),43644.64583333333)</f>
        <v>43644.64583</v>
      </c>
      <c r="C867" s="8">
        <f>IFERROR(__xludf.DUMMYFUNCTION("""COMPUTED_VALUE"""),2192.1)</f>
        <v>2192.1</v>
      </c>
      <c r="E867" s="15">
        <f>IFERROR(__xludf.DUMMYFUNCTION("""COMPUTED_VALUE"""),43644.64583333333)</f>
        <v>43644.64583</v>
      </c>
      <c r="F867" s="8">
        <f>IFERROR(__xludf.DUMMYFUNCTION("""COMPUTED_VALUE"""),1221.88)</f>
        <v>1221.88</v>
      </c>
      <c r="H867" s="4">
        <f t="shared" si="1"/>
        <v>970.22</v>
      </c>
      <c r="I867" s="16">
        <f t="shared" si="2"/>
        <v>953.41</v>
      </c>
      <c r="J867" s="16">
        <f t="shared" si="3"/>
        <v>15.64630787</v>
      </c>
      <c r="K867" s="16">
        <f t="shared" si="4"/>
        <v>969.0563079</v>
      </c>
      <c r="L867" s="16">
        <f t="shared" si="5"/>
        <v>937.7636921</v>
      </c>
      <c r="N867" s="17" t="str">
        <f t="shared" si="6"/>
        <v>F</v>
      </c>
      <c r="O867" s="17" t="str">
        <f t="shared" si="7"/>
        <v>T</v>
      </c>
      <c r="P867" s="8">
        <f t="shared" si="8"/>
        <v>0</v>
      </c>
      <c r="R867" s="17" t="str">
        <f t="shared" si="9"/>
        <v>T</v>
      </c>
      <c r="S867" s="3" t="str">
        <f t="shared" si="10"/>
        <v>F</v>
      </c>
      <c r="T867" s="8">
        <f t="shared" si="11"/>
        <v>-1</v>
      </c>
      <c r="V867" s="4">
        <f t="shared" si="12"/>
        <v>-1</v>
      </c>
      <c r="W867" s="8">
        <f t="shared" si="13"/>
        <v>5.92</v>
      </c>
      <c r="X867" s="8">
        <f t="shared" si="14"/>
        <v>-5.92</v>
      </c>
      <c r="Y867" s="8">
        <f t="shared" si="15"/>
        <v>568.61</v>
      </c>
    </row>
    <row r="868">
      <c r="A868" s="2">
        <v>861.0</v>
      </c>
      <c r="B868" s="15">
        <f>IFERROR(__xludf.DUMMYFUNCTION("""COMPUTED_VALUE"""),43647.64583333333)</f>
        <v>43647.64583</v>
      </c>
      <c r="C868" s="8">
        <f>IFERROR(__xludf.DUMMYFUNCTION("""COMPUTED_VALUE"""),2245.9)</f>
        <v>2245.9</v>
      </c>
      <c r="E868" s="15">
        <f>IFERROR(__xludf.DUMMYFUNCTION("""COMPUTED_VALUE"""),43647.64583333333)</f>
        <v>43647.64583</v>
      </c>
      <c r="F868" s="8">
        <f>IFERROR(__xludf.DUMMYFUNCTION("""COMPUTED_VALUE"""),1242.78)</f>
        <v>1242.78</v>
      </c>
      <c r="H868" s="4">
        <f t="shared" si="1"/>
        <v>1003.12</v>
      </c>
      <c r="I868" s="16">
        <f t="shared" si="2"/>
        <v>966.048</v>
      </c>
      <c r="J868" s="16">
        <f t="shared" si="3"/>
        <v>24.84957887</v>
      </c>
      <c r="K868" s="16">
        <f t="shared" si="4"/>
        <v>990.8975789</v>
      </c>
      <c r="L868" s="16">
        <f t="shared" si="5"/>
        <v>941.1984211</v>
      </c>
      <c r="N868" s="17" t="str">
        <f t="shared" si="6"/>
        <v>F</v>
      </c>
      <c r="O868" s="17" t="str">
        <f t="shared" si="7"/>
        <v>T</v>
      </c>
      <c r="P868" s="8">
        <f t="shared" si="8"/>
        <v>0</v>
      </c>
      <c r="R868" s="17" t="str">
        <f t="shared" si="9"/>
        <v>T</v>
      </c>
      <c r="S868" s="3" t="str">
        <f t="shared" si="10"/>
        <v>F</v>
      </c>
      <c r="T868" s="8">
        <f t="shared" si="11"/>
        <v>-1</v>
      </c>
      <c r="V868" s="4">
        <f t="shared" si="12"/>
        <v>-1</v>
      </c>
      <c r="W868" s="8">
        <f t="shared" si="13"/>
        <v>32.9</v>
      </c>
      <c r="X868" s="8">
        <f t="shared" si="14"/>
        <v>-32.9</v>
      </c>
      <c r="Y868" s="8">
        <f t="shared" si="15"/>
        <v>535.71</v>
      </c>
    </row>
    <row r="869">
      <c r="A869" s="2">
        <v>862.0</v>
      </c>
      <c r="B869" s="15">
        <f>IFERROR(__xludf.DUMMYFUNCTION("""COMPUTED_VALUE"""),43648.64583333333)</f>
        <v>43648.64583</v>
      </c>
      <c r="C869" s="8">
        <f>IFERROR(__xludf.DUMMYFUNCTION("""COMPUTED_VALUE"""),2281.25)</f>
        <v>2281.25</v>
      </c>
      <c r="E869" s="15">
        <f>IFERROR(__xludf.DUMMYFUNCTION("""COMPUTED_VALUE"""),43648.64583333333)</f>
        <v>43648.64583</v>
      </c>
      <c r="F869" s="8">
        <f>IFERROR(__xludf.DUMMYFUNCTION("""COMPUTED_VALUE"""),1247.5)</f>
        <v>1247.5</v>
      </c>
      <c r="H869" s="4">
        <f t="shared" si="1"/>
        <v>1033.75</v>
      </c>
      <c r="I869" s="16">
        <f t="shared" si="2"/>
        <v>981.108</v>
      </c>
      <c r="J869" s="16">
        <f t="shared" si="3"/>
        <v>38.28126004</v>
      </c>
      <c r="K869" s="16">
        <f t="shared" si="4"/>
        <v>1019.38926</v>
      </c>
      <c r="L869" s="16">
        <f t="shared" si="5"/>
        <v>942.82674</v>
      </c>
      <c r="N869" s="17" t="str">
        <f t="shared" si="6"/>
        <v>F</v>
      </c>
      <c r="O869" s="17" t="str">
        <f t="shared" si="7"/>
        <v>T</v>
      </c>
      <c r="P869" s="8">
        <f t="shared" si="8"/>
        <v>0</v>
      </c>
      <c r="R869" s="17" t="str">
        <f t="shared" si="9"/>
        <v>T</v>
      </c>
      <c r="S869" s="3" t="str">
        <f t="shared" si="10"/>
        <v>F</v>
      </c>
      <c r="T869" s="8">
        <f t="shared" si="11"/>
        <v>-1</v>
      </c>
      <c r="V869" s="4">
        <f t="shared" si="12"/>
        <v>-1</v>
      </c>
      <c r="W869" s="8">
        <f t="shared" si="13"/>
        <v>30.63</v>
      </c>
      <c r="X869" s="8">
        <f t="shared" si="14"/>
        <v>-30.63</v>
      </c>
      <c r="Y869" s="8">
        <f t="shared" si="15"/>
        <v>505.08</v>
      </c>
    </row>
    <row r="870">
      <c r="A870" s="2">
        <v>863.0</v>
      </c>
      <c r="B870" s="15">
        <f>IFERROR(__xludf.DUMMYFUNCTION("""COMPUTED_VALUE"""),43649.64583333333)</f>
        <v>43649.64583</v>
      </c>
      <c r="C870" s="8">
        <f>IFERROR(__xludf.DUMMYFUNCTION("""COMPUTED_VALUE"""),2277.2)</f>
        <v>2277.2</v>
      </c>
      <c r="E870" s="15">
        <f>IFERROR(__xludf.DUMMYFUNCTION("""COMPUTED_VALUE"""),43649.64583333333)</f>
        <v>43649.64583</v>
      </c>
      <c r="F870" s="8">
        <f>IFERROR(__xludf.DUMMYFUNCTION("""COMPUTED_VALUE"""),1244.83)</f>
        <v>1244.83</v>
      </c>
      <c r="H870" s="4">
        <f t="shared" si="1"/>
        <v>1032.37</v>
      </c>
      <c r="I870" s="16">
        <f t="shared" si="2"/>
        <v>1000.752</v>
      </c>
      <c r="J870" s="16">
        <f t="shared" si="3"/>
        <v>32.99668423</v>
      </c>
      <c r="K870" s="16">
        <f t="shared" si="4"/>
        <v>1033.748684</v>
      </c>
      <c r="L870" s="16">
        <f t="shared" si="5"/>
        <v>967.7553158</v>
      </c>
      <c r="N870" s="17" t="str">
        <f t="shared" si="6"/>
        <v>F</v>
      </c>
      <c r="O870" s="17" t="str">
        <f t="shared" si="7"/>
        <v>T</v>
      </c>
      <c r="P870" s="8">
        <f t="shared" si="8"/>
        <v>0</v>
      </c>
      <c r="R870" s="17" t="str">
        <f t="shared" si="9"/>
        <v>F</v>
      </c>
      <c r="S870" s="3" t="str">
        <f t="shared" si="10"/>
        <v>F</v>
      </c>
      <c r="T870" s="8">
        <f t="shared" si="11"/>
        <v>-1</v>
      </c>
      <c r="V870" s="4">
        <f t="shared" si="12"/>
        <v>-1</v>
      </c>
      <c r="W870" s="8">
        <f t="shared" si="13"/>
        <v>-1.38</v>
      </c>
      <c r="X870" s="8">
        <f t="shared" si="14"/>
        <v>1.38</v>
      </c>
      <c r="Y870" s="8">
        <f t="shared" si="15"/>
        <v>506.46</v>
      </c>
    </row>
    <row r="871">
      <c r="A871" s="2">
        <v>864.0</v>
      </c>
      <c r="B871" s="15">
        <f>IFERROR(__xludf.DUMMYFUNCTION("""COMPUTED_VALUE"""),43650.64583333333)</f>
        <v>43650.64583</v>
      </c>
      <c r="C871" s="8">
        <f>IFERROR(__xludf.DUMMYFUNCTION("""COMPUTED_VALUE"""),2280.25)</f>
        <v>2280.25</v>
      </c>
      <c r="E871" s="15">
        <f>IFERROR(__xludf.DUMMYFUNCTION("""COMPUTED_VALUE"""),43650.64583333333)</f>
        <v>43650.64583</v>
      </c>
      <c r="F871" s="8">
        <f>IFERROR(__xludf.DUMMYFUNCTION("""COMPUTED_VALUE"""),1241.9)</f>
        <v>1241.9</v>
      </c>
      <c r="H871" s="4">
        <f t="shared" si="1"/>
        <v>1038.35</v>
      </c>
      <c r="I871" s="16">
        <f t="shared" si="2"/>
        <v>1015.562</v>
      </c>
      <c r="J871" s="16">
        <f t="shared" si="3"/>
        <v>28.91066187</v>
      </c>
      <c r="K871" s="16">
        <f t="shared" si="4"/>
        <v>1044.472662</v>
      </c>
      <c r="L871" s="16">
        <f t="shared" si="5"/>
        <v>986.6513381</v>
      </c>
      <c r="N871" s="17" t="str">
        <f t="shared" si="6"/>
        <v>F</v>
      </c>
      <c r="O871" s="17" t="str">
        <f t="shared" si="7"/>
        <v>T</v>
      </c>
      <c r="P871" s="8">
        <f t="shared" si="8"/>
        <v>0</v>
      </c>
      <c r="R871" s="17" t="str">
        <f t="shared" si="9"/>
        <v>F</v>
      </c>
      <c r="S871" s="3" t="str">
        <f t="shared" si="10"/>
        <v>F</v>
      </c>
      <c r="T871" s="8">
        <f t="shared" si="11"/>
        <v>-1</v>
      </c>
      <c r="V871" s="4">
        <f t="shared" si="12"/>
        <v>-1</v>
      </c>
      <c r="W871" s="8">
        <f t="shared" si="13"/>
        <v>5.98</v>
      </c>
      <c r="X871" s="8">
        <f t="shared" si="14"/>
        <v>-5.98</v>
      </c>
      <c r="Y871" s="8">
        <f t="shared" si="15"/>
        <v>500.48</v>
      </c>
    </row>
    <row r="872">
      <c r="A872" s="2">
        <v>865.0</v>
      </c>
      <c r="B872" s="15">
        <f>IFERROR(__xludf.DUMMYFUNCTION("""COMPUTED_VALUE"""),43651.64583333333)</f>
        <v>43651.64583</v>
      </c>
      <c r="C872" s="8">
        <f>IFERROR(__xludf.DUMMYFUNCTION("""COMPUTED_VALUE"""),2278.9)</f>
        <v>2278.9</v>
      </c>
      <c r="E872" s="15">
        <f>IFERROR(__xludf.DUMMYFUNCTION("""COMPUTED_VALUE"""),43651.64583333333)</f>
        <v>43651.64583</v>
      </c>
      <c r="F872" s="8">
        <f>IFERROR(__xludf.DUMMYFUNCTION("""COMPUTED_VALUE"""),1236.2)</f>
        <v>1236.2</v>
      </c>
      <c r="H872" s="4">
        <f t="shared" si="1"/>
        <v>1042.7</v>
      </c>
      <c r="I872" s="16">
        <f t="shared" si="2"/>
        <v>1030.058</v>
      </c>
      <c r="J872" s="16">
        <f t="shared" si="3"/>
        <v>15.59815278</v>
      </c>
      <c r="K872" s="16">
        <f t="shared" si="4"/>
        <v>1045.656153</v>
      </c>
      <c r="L872" s="16">
        <f t="shared" si="5"/>
        <v>1014.459847</v>
      </c>
      <c r="N872" s="17" t="str">
        <f t="shared" si="6"/>
        <v>F</v>
      </c>
      <c r="O872" s="17" t="str">
        <f t="shared" si="7"/>
        <v>T</v>
      </c>
      <c r="P872" s="8">
        <f t="shared" si="8"/>
        <v>0</v>
      </c>
      <c r="R872" s="17" t="str">
        <f t="shared" si="9"/>
        <v>F</v>
      </c>
      <c r="S872" s="3" t="str">
        <f t="shared" si="10"/>
        <v>F</v>
      </c>
      <c r="T872" s="8">
        <f t="shared" si="11"/>
        <v>-1</v>
      </c>
      <c r="V872" s="4">
        <f t="shared" si="12"/>
        <v>-1</v>
      </c>
      <c r="W872" s="8">
        <f t="shared" si="13"/>
        <v>4.35</v>
      </c>
      <c r="X872" s="8">
        <f t="shared" si="14"/>
        <v>-4.35</v>
      </c>
      <c r="Y872" s="8">
        <f t="shared" si="15"/>
        <v>496.13</v>
      </c>
    </row>
    <row r="873">
      <c r="A873" s="2">
        <v>866.0</v>
      </c>
      <c r="B873" s="15">
        <f>IFERROR(__xludf.DUMMYFUNCTION("""COMPUTED_VALUE"""),43654.64583333333)</f>
        <v>43654.64583</v>
      </c>
      <c r="C873" s="8">
        <f>IFERROR(__xludf.DUMMYFUNCTION("""COMPUTED_VALUE"""),2259.95)</f>
        <v>2259.95</v>
      </c>
      <c r="E873" s="15">
        <f>IFERROR(__xludf.DUMMYFUNCTION("""COMPUTED_VALUE"""),43654.64583333333)</f>
        <v>43654.64583</v>
      </c>
      <c r="F873" s="8">
        <f>IFERROR(__xludf.DUMMYFUNCTION("""COMPUTED_VALUE"""),1204.8)</f>
        <v>1204.8</v>
      </c>
      <c r="H873" s="4">
        <f t="shared" si="1"/>
        <v>1055.15</v>
      </c>
      <c r="I873" s="16">
        <f t="shared" si="2"/>
        <v>1040.464</v>
      </c>
      <c r="J873" s="16">
        <f t="shared" si="3"/>
        <v>9.161576284</v>
      </c>
      <c r="K873" s="16">
        <f t="shared" si="4"/>
        <v>1049.625576</v>
      </c>
      <c r="L873" s="16">
        <f t="shared" si="5"/>
        <v>1031.302424</v>
      </c>
      <c r="N873" s="17" t="str">
        <f t="shared" si="6"/>
        <v>F</v>
      </c>
      <c r="O873" s="17" t="str">
        <f t="shared" si="7"/>
        <v>T</v>
      </c>
      <c r="P873" s="8">
        <f t="shared" si="8"/>
        <v>0</v>
      </c>
      <c r="R873" s="17" t="str">
        <f t="shared" si="9"/>
        <v>T</v>
      </c>
      <c r="S873" s="3" t="str">
        <f t="shared" si="10"/>
        <v>F</v>
      </c>
      <c r="T873" s="8">
        <f t="shared" si="11"/>
        <v>-1</v>
      </c>
      <c r="V873" s="4">
        <f t="shared" si="12"/>
        <v>-1</v>
      </c>
      <c r="W873" s="8">
        <f t="shared" si="13"/>
        <v>12.45</v>
      </c>
      <c r="X873" s="8">
        <f t="shared" si="14"/>
        <v>-12.45</v>
      </c>
      <c r="Y873" s="8">
        <f t="shared" si="15"/>
        <v>483.68</v>
      </c>
    </row>
    <row r="874">
      <c r="A874" s="2">
        <v>867.0</v>
      </c>
      <c r="B874" s="15">
        <f>IFERROR(__xludf.DUMMYFUNCTION("""COMPUTED_VALUE"""),43655.64583333333)</f>
        <v>43655.64583</v>
      </c>
      <c r="C874" s="8">
        <f>IFERROR(__xludf.DUMMYFUNCTION("""COMPUTED_VALUE"""),2232.8)</f>
        <v>2232.8</v>
      </c>
      <c r="E874" s="15">
        <f>IFERROR(__xludf.DUMMYFUNCTION("""COMPUTED_VALUE"""),43655.64583333333)</f>
        <v>43655.64583</v>
      </c>
      <c r="F874" s="8">
        <f>IFERROR(__xludf.DUMMYFUNCTION("""COMPUTED_VALUE"""),1189.58)</f>
        <v>1189.58</v>
      </c>
      <c r="H874" s="4">
        <f t="shared" si="1"/>
        <v>1043.22</v>
      </c>
      <c r="I874" s="16">
        <f t="shared" si="2"/>
        <v>1042.358</v>
      </c>
      <c r="J874" s="16">
        <f t="shared" si="3"/>
        <v>8.37137205</v>
      </c>
      <c r="K874" s="16">
        <f t="shared" si="4"/>
        <v>1050.729372</v>
      </c>
      <c r="L874" s="16">
        <f t="shared" si="5"/>
        <v>1033.986628</v>
      </c>
      <c r="N874" s="17" t="str">
        <f t="shared" si="6"/>
        <v>F</v>
      </c>
      <c r="O874" s="17" t="str">
        <f t="shared" si="7"/>
        <v>T</v>
      </c>
      <c r="P874" s="8">
        <f t="shared" si="8"/>
        <v>0</v>
      </c>
      <c r="R874" s="17" t="str">
        <f t="shared" si="9"/>
        <v>F</v>
      </c>
      <c r="S874" s="3" t="str">
        <f t="shared" si="10"/>
        <v>F</v>
      </c>
      <c r="T874" s="8">
        <f t="shared" si="11"/>
        <v>-1</v>
      </c>
      <c r="V874" s="4">
        <f t="shared" si="12"/>
        <v>-1</v>
      </c>
      <c r="W874" s="8">
        <f t="shared" si="13"/>
        <v>-11.93</v>
      </c>
      <c r="X874" s="8">
        <f t="shared" si="14"/>
        <v>11.93</v>
      </c>
      <c r="Y874" s="8">
        <f t="shared" si="15"/>
        <v>495.61</v>
      </c>
    </row>
    <row r="875">
      <c r="A875" s="2">
        <v>868.0</v>
      </c>
      <c r="B875" s="15">
        <f>IFERROR(__xludf.DUMMYFUNCTION("""COMPUTED_VALUE"""),43656.64583333333)</f>
        <v>43656.64583</v>
      </c>
      <c r="C875" s="8">
        <f>IFERROR(__xludf.DUMMYFUNCTION("""COMPUTED_VALUE"""),2227.75)</f>
        <v>2227.75</v>
      </c>
      <c r="E875" s="15">
        <f>IFERROR(__xludf.DUMMYFUNCTION("""COMPUTED_VALUE"""),43656.64583333333)</f>
        <v>43656.64583</v>
      </c>
      <c r="F875" s="8">
        <f>IFERROR(__xludf.DUMMYFUNCTION("""COMPUTED_VALUE"""),1194.38)</f>
        <v>1194.38</v>
      </c>
      <c r="H875" s="4">
        <f t="shared" si="1"/>
        <v>1033.37</v>
      </c>
      <c r="I875" s="16">
        <f t="shared" si="2"/>
        <v>1042.558</v>
      </c>
      <c r="J875" s="16">
        <f t="shared" si="3"/>
        <v>8.079967203</v>
      </c>
      <c r="K875" s="16">
        <f t="shared" si="4"/>
        <v>1050.637967</v>
      </c>
      <c r="L875" s="16">
        <f t="shared" si="5"/>
        <v>1034.478033</v>
      </c>
      <c r="N875" s="17" t="str">
        <f t="shared" si="6"/>
        <v>T</v>
      </c>
      <c r="O875" s="17" t="str">
        <f t="shared" si="7"/>
        <v>F</v>
      </c>
      <c r="P875" s="8">
        <f t="shared" si="8"/>
        <v>1</v>
      </c>
      <c r="R875" s="17" t="str">
        <f t="shared" si="9"/>
        <v>F</v>
      </c>
      <c r="S875" s="3" t="str">
        <f t="shared" si="10"/>
        <v>T</v>
      </c>
      <c r="T875" s="8">
        <f t="shared" si="11"/>
        <v>0</v>
      </c>
      <c r="V875" s="4">
        <f t="shared" si="12"/>
        <v>1</v>
      </c>
      <c r="W875" s="8">
        <f t="shared" si="13"/>
        <v>-9.85</v>
      </c>
      <c r="X875" s="8">
        <f t="shared" si="14"/>
        <v>9.85</v>
      </c>
      <c r="Y875" s="8">
        <f t="shared" si="15"/>
        <v>505.46</v>
      </c>
    </row>
    <row r="876">
      <c r="A876" s="2">
        <v>869.0</v>
      </c>
      <c r="B876" s="15">
        <f>IFERROR(__xludf.DUMMYFUNCTION("""COMPUTED_VALUE"""),43657.64583333333)</f>
        <v>43657.64583</v>
      </c>
      <c r="C876" s="8">
        <f>IFERROR(__xludf.DUMMYFUNCTION("""COMPUTED_VALUE"""),2261.9)</f>
        <v>2261.9</v>
      </c>
      <c r="E876" s="15">
        <f>IFERROR(__xludf.DUMMYFUNCTION("""COMPUTED_VALUE"""),43657.64583333333)</f>
        <v>43657.64583</v>
      </c>
      <c r="F876" s="8">
        <f>IFERROR(__xludf.DUMMYFUNCTION("""COMPUTED_VALUE"""),1203.58)</f>
        <v>1203.58</v>
      </c>
      <c r="H876" s="4">
        <f t="shared" si="1"/>
        <v>1058.32</v>
      </c>
      <c r="I876" s="16">
        <f t="shared" si="2"/>
        <v>1046.552</v>
      </c>
      <c r="J876" s="16">
        <f t="shared" si="3"/>
        <v>10.15032857</v>
      </c>
      <c r="K876" s="16">
        <f t="shared" si="4"/>
        <v>1056.702329</v>
      </c>
      <c r="L876" s="16">
        <f t="shared" si="5"/>
        <v>1036.401671</v>
      </c>
      <c r="N876" s="17" t="str">
        <f t="shared" si="6"/>
        <v>F</v>
      </c>
      <c r="O876" s="17" t="str">
        <f t="shared" si="7"/>
        <v>T</v>
      </c>
      <c r="P876" s="8">
        <f t="shared" si="8"/>
        <v>0</v>
      </c>
      <c r="R876" s="17" t="str">
        <f t="shared" si="9"/>
        <v>T</v>
      </c>
      <c r="S876" s="3" t="str">
        <f t="shared" si="10"/>
        <v>F</v>
      </c>
      <c r="T876" s="8">
        <f t="shared" si="11"/>
        <v>-1</v>
      </c>
      <c r="V876" s="4">
        <f t="shared" si="12"/>
        <v>-1</v>
      </c>
      <c r="W876" s="8">
        <f t="shared" si="13"/>
        <v>24.95</v>
      </c>
      <c r="X876" s="8">
        <f t="shared" si="14"/>
        <v>24.95</v>
      </c>
      <c r="Y876" s="8">
        <f t="shared" si="15"/>
        <v>530.41</v>
      </c>
    </row>
    <row r="877">
      <c r="A877" s="2">
        <v>870.0</v>
      </c>
      <c r="B877" s="15">
        <f>IFERROR(__xludf.DUMMYFUNCTION("""COMPUTED_VALUE"""),43658.64583333333)</f>
        <v>43658.64583</v>
      </c>
      <c r="C877" s="8">
        <f>IFERROR(__xludf.DUMMYFUNCTION("""COMPUTED_VALUE"""),2257.8)</f>
        <v>2257.8</v>
      </c>
      <c r="E877" s="15">
        <f>IFERROR(__xludf.DUMMYFUNCTION("""COMPUTED_VALUE"""),43658.64583333333)</f>
        <v>43658.64583</v>
      </c>
      <c r="F877" s="8">
        <f>IFERROR(__xludf.DUMMYFUNCTION("""COMPUTED_VALUE"""),1196.95)</f>
        <v>1196.95</v>
      </c>
      <c r="H877" s="4">
        <f t="shared" si="1"/>
        <v>1060.85</v>
      </c>
      <c r="I877" s="16">
        <f t="shared" si="2"/>
        <v>1050.182</v>
      </c>
      <c r="J877" s="16">
        <f t="shared" si="3"/>
        <v>11.5739695</v>
      </c>
      <c r="K877" s="16">
        <f t="shared" si="4"/>
        <v>1061.75597</v>
      </c>
      <c r="L877" s="16">
        <f t="shared" si="5"/>
        <v>1038.60803</v>
      </c>
      <c r="N877" s="17" t="str">
        <f t="shared" si="6"/>
        <v>F</v>
      </c>
      <c r="O877" s="17" t="str">
        <f t="shared" si="7"/>
        <v>T</v>
      </c>
      <c r="P877" s="8">
        <f t="shared" si="8"/>
        <v>0</v>
      </c>
      <c r="R877" s="17" t="str">
        <f t="shared" si="9"/>
        <v>F</v>
      </c>
      <c r="S877" s="3" t="str">
        <f t="shared" si="10"/>
        <v>F</v>
      </c>
      <c r="T877" s="8">
        <f t="shared" si="11"/>
        <v>-1</v>
      </c>
      <c r="V877" s="4">
        <f t="shared" si="12"/>
        <v>-1</v>
      </c>
      <c r="W877" s="8">
        <f t="shared" si="13"/>
        <v>2.53</v>
      </c>
      <c r="X877" s="8">
        <f t="shared" si="14"/>
        <v>-2.53</v>
      </c>
      <c r="Y877" s="8">
        <f t="shared" si="15"/>
        <v>527.88</v>
      </c>
    </row>
    <row r="878">
      <c r="A878" s="2">
        <v>871.0</v>
      </c>
      <c r="B878" s="15">
        <f>IFERROR(__xludf.DUMMYFUNCTION("""COMPUTED_VALUE"""),43661.64583333333)</f>
        <v>43661.64583</v>
      </c>
      <c r="C878" s="8">
        <f>IFERROR(__xludf.DUMMYFUNCTION("""COMPUTED_VALUE"""),2265.35)</f>
        <v>2265.35</v>
      </c>
      <c r="E878" s="15">
        <f>IFERROR(__xludf.DUMMYFUNCTION("""COMPUTED_VALUE"""),43661.64583333333)</f>
        <v>43661.64583</v>
      </c>
      <c r="F878" s="8">
        <f>IFERROR(__xludf.DUMMYFUNCTION("""COMPUTED_VALUE"""),1197.38)</f>
        <v>1197.38</v>
      </c>
      <c r="H878" s="4">
        <f t="shared" si="1"/>
        <v>1067.97</v>
      </c>
      <c r="I878" s="16">
        <f t="shared" si="2"/>
        <v>1052.746</v>
      </c>
      <c r="J878" s="16">
        <f t="shared" si="3"/>
        <v>14.09511015</v>
      </c>
      <c r="K878" s="16">
        <f t="shared" si="4"/>
        <v>1066.84111</v>
      </c>
      <c r="L878" s="16">
        <f t="shared" si="5"/>
        <v>1038.65089</v>
      </c>
      <c r="N878" s="17" t="str">
        <f t="shared" si="6"/>
        <v>F</v>
      </c>
      <c r="O878" s="17" t="str">
        <f t="shared" si="7"/>
        <v>T</v>
      </c>
      <c r="P878" s="8">
        <f t="shared" si="8"/>
        <v>0</v>
      </c>
      <c r="R878" s="17" t="str">
        <f t="shared" si="9"/>
        <v>T</v>
      </c>
      <c r="S878" s="3" t="str">
        <f t="shared" si="10"/>
        <v>F</v>
      </c>
      <c r="T878" s="8">
        <f t="shared" si="11"/>
        <v>-1</v>
      </c>
      <c r="V878" s="4">
        <f t="shared" si="12"/>
        <v>-1</v>
      </c>
      <c r="W878" s="8">
        <f t="shared" si="13"/>
        <v>7.12</v>
      </c>
      <c r="X878" s="8">
        <f t="shared" si="14"/>
        <v>-7.12</v>
      </c>
      <c r="Y878" s="8">
        <f t="shared" si="15"/>
        <v>520.76</v>
      </c>
    </row>
    <row r="879">
      <c r="A879" s="2">
        <v>872.0</v>
      </c>
      <c r="B879" s="15">
        <f>IFERROR(__xludf.DUMMYFUNCTION("""COMPUTED_VALUE"""),43662.64583333333)</f>
        <v>43662.64583</v>
      </c>
      <c r="C879" s="8">
        <f>IFERROR(__xludf.DUMMYFUNCTION("""COMPUTED_VALUE"""),2277.55)</f>
        <v>2277.55</v>
      </c>
      <c r="E879" s="15">
        <f>IFERROR(__xludf.DUMMYFUNCTION("""COMPUTED_VALUE"""),43662.64583333333)</f>
        <v>43662.64583</v>
      </c>
      <c r="F879" s="8">
        <f>IFERROR(__xludf.DUMMYFUNCTION("""COMPUTED_VALUE"""),1195.6)</f>
        <v>1195.6</v>
      </c>
      <c r="H879" s="4">
        <f t="shared" si="1"/>
        <v>1081.95</v>
      </c>
      <c r="I879" s="16">
        <f t="shared" si="2"/>
        <v>1060.492</v>
      </c>
      <c r="J879" s="16">
        <f t="shared" si="3"/>
        <v>17.72579251</v>
      </c>
      <c r="K879" s="16">
        <f t="shared" si="4"/>
        <v>1078.217793</v>
      </c>
      <c r="L879" s="16">
        <f t="shared" si="5"/>
        <v>1042.766207</v>
      </c>
      <c r="N879" s="17" t="str">
        <f t="shared" si="6"/>
        <v>F</v>
      </c>
      <c r="O879" s="17" t="str">
        <f t="shared" si="7"/>
        <v>T</v>
      </c>
      <c r="P879" s="8">
        <f t="shared" si="8"/>
        <v>0</v>
      </c>
      <c r="R879" s="17" t="str">
        <f t="shared" si="9"/>
        <v>T</v>
      </c>
      <c r="S879" s="3" t="str">
        <f t="shared" si="10"/>
        <v>F</v>
      </c>
      <c r="T879" s="8">
        <f t="shared" si="11"/>
        <v>-1</v>
      </c>
      <c r="V879" s="4">
        <f t="shared" si="12"/>
        <v>-1</v>
      </c>
      <c r="W879" s="8">
        <f t="shared" si="13"/>
        <v>13.98</v>
      </c>
      <c r="X879" s="8">
        <f t="shared" si="14"/>
        <v>-13.98</v>
      </c>
      <c r="Y879" s="8">
        <f t="shared" si="15"/>
        <v>506.78</v>
      </c>
    </row>
    <row r="880">
      <c r="A880" s="2">
        <v>873.0</v>
      </c>
      <c r="B880" s="15">
        <f>IFERROR(__xludf.DUMMYFUNCTION("""COMPUTED_VALUE"""),43663.64583333333)</f>
        <v>43663.64583</v>
      </c>
      <c r="C880" s="8">
        <f>IFERROR(__xludf.DUMMYFUNCTION("""COMPUTED_VALUE"""),2286.7)</f>
        <v>2286.7</v>
      </c>
      <c r="E880" s="15">
        <f>IFERROR(__xludf.DUMMYFUNCTION("""COMPUTED_VALUE"""),43663.64583333333)</f>
        <v>43663.64583</v>
      </c>
      <c r="F880" s="8">
        <f>IFERROR(__xludf.DUMMYFUNCTION("""COMPUTED_VALUE"""),1198.72)</f>
        <v>1198.72</v>
      </c>
      <c r="H880" s="4">
        <f t="shared" si="1"/>
        <v>1087.98</v>
      </c>
      <c r="I880" s="16">
        <f t="shared" si="2"/>
        <v>1071.414</v>
      </c>
      <c r="J880" s="16">
        <f t="shared" si="3"/>
        <v>13.04177634</v>
      </c>
      <c r="K880" s="16">
        <f t="shared" si="4"/>
        <v>1084.455776</v>
      </c>
      <c r="L880" s="16">
        <f t="shared" si="5"/>
        <v>1058.372224</v>
      </c>
      <c r="N880" s="17" t="str">
        <f t="shared" si="6"/>
        <v>F</v>
      </c>
      <c r="O880" s="17" t="str">
        <f t="shared" si="7"/>
        <v>T</v>
      </c>
      <c r="P880" s="8">
        <f t="shared" si="8"/>
        <v>0</v>
      </c>
      <c r="R880" s="17" t="str">
        <f t="shared" si="9"/>
        <v>T</v>
      </c>
      <c r="S880" s="3" t="str">
        <f t="shared" si="10"/>
        <v>F</v>
      </c>
      <c r="T880" s="8">
        <f t="shared" si="11"/>
        <v>-1</v>
      </c>
      <c r="V880" s="4">
        <f t="shared" si="12"/>
        <v>-1</v>
      </c>
      <c r="W880" s="8">
        <f t="shared" si="13"/>
        <v>6.03</v>
      </c>
      <c r="X880" s="8">
        <f t="shared" si="14"/>
        <v>-6.03</v>
      </c>
      <c r="Y880" s="8">
        <f t="shared" si="15"/>
        <v>500.75</v>
      </c>
    </row>
    <row r="881">
      <c r="A881" s="2">
        <v>874.0</v>
      </c>
      <c r="B881" s="15">
        <f>IFERROR(__xludf.DUMMYFUNCTION("""COMPUTED_VALUE"""),43664.64583333333)</f>
        <v>43664.64583</v>
      </c>
      <c r="C881" s="8">
        <f>IFERROR(__xludf.DUMMYFUNCTION("""COMPUTED_VALUE"""),2345.15)</f>
        <v>2345.15</v>
      </c>
      <c r="E881" s="15">
        <f>IFERROR(__xludf.DUMMYFUNCTION("""COMPUTED_VALUE"""),43664.64583333333)</f>
        <v>43664.64583</v>
      </c>
      <c r="F881" s="8">
        <f>IFERROR(__xludf.DUMMYFUNCTION("""COMPUTED_VALUE"""),1205.95)</f>
        <v>1205.95</v>
      </c>
      <c r="H881" s="4">
        <f t="shared" si="1"/>
        <v>1139.2</v>
      </c>
      <c r="I881" s="16">
        <f t="shared" si="2"/>
        <v>1087.59</v>
      </c>
      <c r="J881" s="16">
        <f t="shared" si="3"/>
        <v>30.80391939</v>
      </c>
      <c r="K881" s="16">
        <f t="shared" si="4"/>
        <v>1118.393919</v>
      </c>
      <c r="L881" s="16">
        <f t="shared" si="5"/>
        <v>1056.786081</v>
      </c>
      <c r="N881" s="17" t="str">
        <f t="shared" si="6"/>
        <v>F</v>
      </c>
      <c r="O881" s="17" t="str">
        <f t="shared" si="7"/>
        <v>T</v>
      </c>
      <c r="P881" s="8">
        <f t="shared" si="8"/>
        <v>0</v>
      </c>
      <c r="R881" s="17" t="str">
        <f t="shared" si="9"/>
        <v>T</v>
      </c>
      <c r="S881" s="3" t="str">
        <f t="shared" si="10"/>
        <v>F</v>
      </c>
      <c r="T881" s="8">
        <f t="shared" si="11"/>
        <v>-1</v>
      </c>
      <c r="V881" s="4">
        <f t="shared" si="12"/>
        <v>-1</v>
      </c>
      <c r="W881" s="8">
        <f t="shared" si="13"/>
        <v>51.22</v>
      </c>
      <c r="X881" s="8">
        <f t="shared" si="14"/>
        <v>-51.22</v>
      </c>
      <c r="Y881" s="8">
        <f t="shared" si="15"/>
        <v>449.53</v>
      </c>
    </row>
    <row r="882">
      <c r="A882" s="2">
        <v>875.0</v>
      </c>
      <c r="B882" s="15">
        <f>IFERROR(__xludf.DUMMYFUNCTION("""COMPUTED_VALUE"""),43665.64583333333)</f>
        <v>43665.64583</v>
      </c>
      <c r="C882" s="8">
        <f>IFERROR(__xludf.DUMMYFUNCTION("""COMPUTED_VALUE"""),2303.55)</f>
        <v>2303.55</v>
      </c>
      <c r="E882" s="15">
        <f>IFERROR(__xludf.DUMMYFUNCTION("""COMPUTED_VALUE"""),43665.64583333333)</f>
        <v>43665.64583</v>
      </c>
      <c r="F882" s="8">
        <f>IFERROR(__xludf.DUMMYFUNCTION("""COMPUTED_VALUE"""),1187.83)</f>
        <v>1187.83</v>
      </c>
      <c r="H882" s="4">
        <f t="shared" si="1"/>
        <v>1115.72</v>
      </c>
      <c r="I882" s="16">
        <f t="shared" si="2"/>
        <v>1098.564</v>
      </c>
      <c r="J882" s="16">
        <f t="shared" si="3"/>
        <v>28.59043424</v>
      </c>
      <c r="K882" s="16">
        <f t="shared" si="4"/>
        <v>1127.154434</v>
      </c>
      <c r="L882" s="16">
        <f t="shared" si="5"/>
        <v>1069.973566</v>
      </c>
      <c r="N882" s="17" t="str">
        <f t="shared" si="6"/>
        <v>F</v>
      </c>
      <c r="O882" s="17" t="str">
        <f t="shared" si="7"/>
        <v>T</v>
      </c>
      <c r="P882" s="8">
        <f t="shared" si="8"/>
        <v>0</v>
      </c>
      <c r="R882" s="17" t="str">
        <f t="shared" si="9"/>
        <v>F</v>
      </c>
      <c r="S882" s="3" t="str">
        <f t="shared" si="10"/>
        <v>F</v>
      </c>
      <c r="T882" s="8">
        <f t="shared" si="11"/>
        <v>-1</v>
      </c>
      <c r="V882" s="4">
        <f t="shared" si="12"/>
        <v>-1</v>
      </c>
      <c r="W882" s="8">
        <f t="shared" si="13"/>
        <v>-23.48</v>
      </c>
      <c r="X882" s="8">
        <f t="shared" si="14"/>
        <v>23.48</v>
      </c>
      <c r="Y882" s="8">
        <f t="shared" si="15"/>
        <v>473.01</v>
      </c>
    </row>
    <row r="883">
      <c r="A883" s="2">
        <v>876.0</v>
      </c>
      <c r="B883" s="15">
        <f>IFERROR(__xludf.DUMMYFUNCTION("""COMPUTED_VALUE"""),43668.64583333333)</f>
        <v>43668.64583</v>
      </c>
      <c r="C883" s="8">
        <f>IFERROR(__xludf.DUMMYFUNCTION("""COMPUTED_VALUE"""),2186.9)</f>
        <v>2186.9</v>
      </c>
      <c r="E883" s="15">
        <f>IFERROR(__xludf.DUMMYFUNCTION("""COMPUTED_VALUE"""),43668.64583333333)</f>
        <v>43668.64583</v>
      </c>
      <c r="F883" s="8">
        <f>IFERROR(__xludf.DUMMYFUNCTION("""COMPUTED_VALUE"""),1148.63)</f>
        <v>1148.63</v>
      </c>
      <c r="H883" s="4">
        <f t="shared" si="1"/>
        <v>1038.27</v>
      </c>
      <c r="I883" s="16">
        <f t="shared" si="2"/>
        <v>1092.624</v>
      </c>
      <c r="J883" s="16">
        <f t="shared" si="3"/>
        <v>38.05459013</v>
      </c>
      <c r="K883" s="16">
        <f t="shared" si="4"/>
        <v>1130.67859</v>
      </c>
      <c r="L883" s="16">
        <f t="shared" si="5"/>
        <v>1054.56941</v>
      </c>
      <c r="N883" s="17" t="str">
        <f t="shared" si="6"/>
        <v>T</v>
      </c>
      <c r="O883" s="17" t="str">
        <f t="shared" si="7"/>
        <v>F</v>
      </c>
      <c r="P883" s="8">
        <f t="shared" si="8"/>
        <v>1</v>
      </c>
      <c r="R883" s="17" t="str">
        <f t="shared" si="9"/>
        <v>F</v>
      </c>
      <c r="S883" s="3" t="str">
        <f t="shared" si="10"/>
        <v>T</v>
      </c>
      <c r="T883" s="8">
        <f t="shared" si="11"/>
        <v>0</v>
      </c>
      <c r="V883" s="4">
        <f t="shared" si="12"/>
        <v>1</v>
      </c>
      <c r="W883" s="8">
        <f t="shared" si="13"/>
        <v>-77.45</v>
      </c>
      <c r="X883" s="8">
        <f t="shared" si="14"/>
        <v>77.45</v>
      </c>
      <c r="Y883" s="8">
        <f t="shared" si="15"/>
        <v>550.46</v>
      </c>
    </row>
    <row r="884">
      <c r="A884" s="2">
        <v>877.0</v>
      </c>
      <c r="B884" s="15">
        <f>IFERROR(__xludf.DUMMYFUNCTION("""COMPUTED_VALUE"""),43669.64583333333)</f>
        <v>43669.64583</v>
      </c>
      <c r="C884" s="8">
        <f>IFERROR(__xludf.DUMMYFUNCTION("""COMPUTED_VALUE"""),2138.5)</f>
        <v>2138.5</v>
      </c>
      <c r="E884" s="15">
        <f>IFERROR(__xludf.DUMMYFUNCTION("""COMPUTED_VALUE"""),43669.64583333333)</f>
        <v>43669.64583</v>
      </c>
      <c r="F884" s="8">
        <f>IFERROR(__xludf.DUMMYFUNCTION("""COMPUTED_VALUE"""),1131.75)</f>
        <v>1131.75</v>
      </c>
      <c r="H884" s="4">
        <f t="shared" si="1"/>
        <v>1006.75</v>
      </c>
      <c r="I884" s="16">
        <f t="shared" si="2"/>
        <v>1077.584</v>
      </c>
      <c r="J884" s="16">
        <f t="shared" si="3"/>
        <v>54.59397613</v>
      </c>
      <c r="K884" s="16">
        <f t="shared" si="4"/>
        <v>1132.177976</v>
      </c>
      <c r="L884" s="16">
        <f t="shared" si="5"/>
        <v>1022.990024</v>
      </c>
      <c r="N884" s="17" t="str">
        <f t="shared" si="6"/>
        <v>T</v>
      </c>
      <c r="O884" s="17" t="str">
        <f t="shared" si="7"/>
        <v>F</v>
      </c>
      <c r="P884" s="8">
        <f t="shared" si="8"/>
        <v>1</v>
      </c>
      <c r="R884" s="17" t="str">
        <f t="shared" si="9"/>
        <v>F</v>
      </c>
      <c r="S884" s="3" t="str">
        <f t="shared" si="10"/>
        <v>T</v>
      </c>
      <c r="T884" s="8">
        <f t="shared" si="11"/>
        <v>0</v>
      </c>
      <c r="V884" s="4">
        <f t="shared" si="12"/>
        <v>1</v>
      </c>
      <c r="W884" s="8">
        <f t="shared" si="13"/>
        <v>-31.52</v>
      </c>
      <c r="X884" s="8">
        <f t="shared" si="14"/>
        <v>-31.52</v>
      </c>
      <c r="Y884" s="8">
        <f t="shared" si="15"/>
        <v>518.94</v>
      </c>
    </row>
    <row r="885">
      <c r="A885" s="2">
        <v>878.0</v>
      </c>
      <c r="B885" s="15">
        <f>IFERROR(__xludf.DUMMYFUNCTION("""COMPUTED_VALUE"""),43670.64583333333)</f>
        <v>43670.64583</v>
      </c>
      <c r="C885" s="8">
        <f>IFERROR(__xludf.DUMMYFUNCTION("""COMPUTED_VALUE"""),2184.25)</f>
        <v>2184.25</v>
      </c>
      <c r="E885" s="15">
        <f>IFERROR(__xludf.DUMMYFUNCTION("""COMPUTED_VALUE"""),43670.64583333333)</f>
        <v>43670.64583</v>
      </c>
      <c r="F885" s="8">
        <f>IFERROR(__xludf.DUMMYFUNCTION("""COMPUTED_VALUE"""),1140.45)</f>
        <v>1140.45</v>
      </c>
      <c r="H885" s="4">
        <f t="shared" si="1"/>
        <v>1043.8</v>
      </c>
      <c r="I885" s="16">
        <f t="shared" si="2"/>
        <v>1068.748</v>
      </c>
      <c r="J885" s="16">
        <f t="shared" si="3"/>
        <v>56.04666868</v>
      </c>
      <c r="K885" s="16">
        <f t="shared" si="4"/>
        <v>1124.794669</v>
      </c>
      <c r="L885" s="16">
        <f t="shared" si="5"/>
        <v>1012.701331</v>
      </c>
      <c r="N885" s="17" t="str">
        <f t="shared" si="6"/>
        <v>F</v>
      </c>
      <c r="O885" s="17" t="str">
        <f t="shared" si="7"/>
        <v>F</v>
      </c>
      <c r="P885" s="8">
        <f t="shared" si="8"/>
        <v>1</v>
      </c>
      <c r="R885" s="17" t="str">
        <f t="shared" si="9"/>
        <v>F</v>
      </c>
      <c r="S885" s="3" t="str">
        <f t="shared" si="10"/>
        <v>T</v>
      </c>
      <c r="T885" s="8">
        <f t="shared" si="11"/>
        <v>0</v>
      </c>
      <c r="V885" s="4">
        <f t="shared" si="12"/>
        <v>1</v>
      </c>
      <c r="W885" s="8">
        <f t="shared" si="13"/>
        <v>37.05</v>
      </c>
      <c r="X885" s="8">
        <f t="shared" si="14"/>
        <v>37.05</v>
      </c>
      <c r="Y885" s="8">
        <f t="shared" si="15"/>
        <v>555.99</v>
      </c>
    </row>
    <row r="886">
      <c r="A886" s="2">
        <v>879.0</v>
      </c>
      <c r="B886" s="15">
        <f>IFERROR(__xludf.DUMMYFUNCTION("""COMPUTED_VALUE"""),43671.64583333333)</f>
        <v>43671.64583</v>
      </c>
      <c r="C886" s="8">
        <f>IFERROR(__xludf.DUMMYFUNCTION("""COMPUTED_VALUE"""),2195.35)</f>
        <v>2195.35</v>
      </c>
      <c r="E886" s="15">
        <f>IFERROR(__xludf.DUMMYFUNCTION("""COMPUTED_VALUE"""),43671.64583333333)</f>
        <v>43671.64583</v>
      </c>
      <c r="F886" s="8">
        <f>IFERROR(__xludf.DUMMYFUNCTION("""COMPUTED_VALUE"""),1143.03)</f>
        <v>1143.03</v>
      </c>
      <c r="H886" s="4">
        <f t="shared" si="1"/>
        <v>1052.32</v>
      </c>
      <c r="I886" s="16">
        <f t="shared" si="2"/>
        <v>1051.372</v>
      </c>
      <c r="J886" s="16">
        <f t="shared" si="3"/>
        <v>39.88008363</v>
      </c>
      <c r="K886" s="16">
        <f t="shared" si="4"/>
        <v>1091.252084</v>
      </c>
      <c r="L886" s="16">
        <f t="shared" si="5"/>
        <v>1011.491916</v>
      </c>
      <c r="N886" s="17" t="str">
        <f t="shared" si="6"/>
        <v>F</v>
      </c>
      <c r="O886" s="17" t="str">
        <f t="shared" si="7"/>
        <v>T</v>
      </c>
      <c r="P886" s="8">
        <f t="shared" si="8"/>
        <v>0</v>
      </c>
      <c r="R886" s="17" t="str">
        <f t="shared" si="9"/>
        <v>F</v>
      </c>
      <c r="S886" s="3" t="str">
        <f t="shared" si="10"/>
        <v>F</v>
      </c>
      <c r="T886" s="8">
        <f t="shared" si="11"/>
        <v>0</v>
      </c>
      <c r="V886" s="4">
        <f t="shared" si="12"/>
        <v>0</v>
      </c>
      <c r="W886" s="8">
        <f t="shared" si="13"/>
        <v>8.52</v>
      </c>
      <c r="X886" s="8">
        <f t="shared" si="14"/>
        <v>8.52</v>
      </c>
      <c r="Y886" s="8">
        <f t="shared" si="15"/>
        <v>564.51</v>
      </c>
    </row>
    <row r="887">
      <c r="A887" s="2">
        <v>880.0</v>
      </c>
      <c r="B887" s="15">
        <f>IFERROR(__xludf.DUMMYFUNCTION("""COMPUTED_VALUE"""),43672.64583333333)</f>
        <v>43672.64583</v>
      </c>
      <c r="C887" s="8">
        <f>IFERROR(__xludf.DUMMYFUNCTION("""COMPUTED_VALUE"""),2165.75)</f>
        <v>2165.75</v>
      </c>
      <c r="E887" s="15">
        <f>IFERROR(__xludf.DUMMYFUNCTION("""COMPUTED_VALUE"""),43672.64583333333)</f>
        <v>43672.64583</v>
      </c>
      <c r="F887" s="8">
        <f>IFERROR(__xludf.DUMMYFUNCTION("""COMPUTED_VALUE"""),1138.65)</f>
        <v>1138.65</v>
      </c>
      <c r="H887" s="4">
        <f t="shared" si="1"/>
        <v>1027.1</v>
      </c>
      <c r="I887" s="16">
        <f t="shared" si="2"/>
        <v>1033.648</v>
      </c>
      <c r="J887" s="16">
        <f t="shared" si="3"/>
        <v>17.60289948</v>
      </c>
      <c r="K887" s="16">
        <f t="shared" si="4"/>
        <v>1051.250899</v>
      </c>
      <c r="L887" s="16">
        <f t="shared" si="5"/>
        <v>1016.045101</v>
      </c>
      <c r="N887" s="17" t="str">
        <f t="shared" si="6"/>
        <v>F</v>
      </c>
      <c r="O887" s="17" t="str">
        <f t="shared" si="7"/>
        <v>F</v>
      </c>
      <c r="P887" s="8">
        <f t="shared" si="8"/>
        <v>0</v>
      </c>
      <c r="R887" s="17" t="str">
        <f t="shared" si="9"/>
        <v>F</v>
      </c>
      <c r="S887" s="3" t="str">
        <f t="shared" si="10"/>
        <v>T</v>
      </c>
      <c r="T887" s="8">
        <f t="shared" si="11"/>
        <v>0</v>
      </c>
      <c r="V887" s="4">
        <f t="shared" si="12"/>
        <v>0</v>
      </c>
      <c r="W887" s="8">
        <f t="shared" si="13"/>
        <v>-25.22</v>
      </c>
      <c r="X887" s="8">
        <f t="shared" si="14"/>
        <v>0</v>
      </c>
      <c r="Y887" s="8">
        <f t="shared" si="15"/>
        <v>564.51</v>
      </c>
    </row>
    <row r="888">
      <c r="A888" s="2">
        <v>881.0</v>
      </c>
      <c r="B888" s="15">
        <f>IFERROR(__xludf.DUMMYFUNCTION("""COMPUTED_VALUE"""),43675.64583333333)</f>
        <v>43675.64583</v>
      </c>
      <c r="C888" s="8">
        <f>IFERROR(__xludf.DUMMYFUNCTION("""COMPUTED_VALUE"""),2149.0)</f>
        <v>2149</v>
      </c>
      <c r="E888" s="15">
        <f>IFERROR(__xludf.DUMMYFUNCTION("""COMPUTED_VALUE"""),43675.64583333333)</f>
        <v>43675.64583</v>
      </c>
      <c r="F888" s="8">
        <f>IFERROR(__xludf.DUMMYFUNCTION("""COMPUTED_VALUE"""),1122.15)</f>
        <v>1122.15</v>
      </c>
      <c r="H888" s="4">
        <f t="shared" si="1"/>
        <v>1026.85</v>
      </c>
      <c r="I888" s="16">
        <f t="shared" si="2"/>
        <v>1031.364</v>
      </c>
      <c r="J888" s="16">
        <f t="shared" si="3"/>
        <v>17.59413908</v>
      </c>
      <c r="K888" s="16">
        <f t="shared" si="4"/>
        <v>1048.958139</v>
      </c>
      <c r="L888" s="16">
        <f t="shared" si="5"/>
        <v>1013.769861</v>
      </c>
      <c r="N888" s="17" t="str">
        <f t="shared" si="6"/>
        <v>F</v>
      </c>
      <c r="O888" s="17" t="str">
        <f t="shared" si="7"/>
        <v>F</v>
      </c>
      <c r="P888" s="8">
        <f t="shared" si="8"/>
        <v>0</v>
      </c>
      <c r="R888" s="17" t="str">
        <f t="shared" si="9"/>
        <v>F</v>
      </c>
      <c r="S888" s="3" t="str">
        <f t="shared" si="10"/>
        <v>T</v>
      </c>
      <c r="T888" s="8">
        <f t="shared" si="11"/>
        <v>0</v>
      </c>
      <c r="V888" s="4">
        <f t="shared" si="12"/>
        <v>0</v>
      </c>
      <c r="W888" s="8">
        <f t="shared" si="13"/>
        <v>-0.25</v>
      </c>
      <c r="X888" s="8">
        <f t="shared" si="14"/>
        <v>0</v>
      </c>
      <c r="Y888" s="8">
        <f t="shared" si="15"/>
        <v>564.51</v>
      </c>
    </row>
    <row r="889">
      <c r="A889" s="2">
        <v>882.0</v>
      </c>
      <c r="B889" s="15">
        <f>IFERROR(__xludf.DUMMYFUNCTION("""COMPUTED_VALUE"""),43676.64583333333)</f>
        <v>43676.64583</v>
      </c>
      <c r="C889" s="8">
        <f>IFERROR(__xludf.DUMMYFUNCTION("""COMPUTED_VALUE"""),2127.25)</f>
        <v>2127.25</v>
      </c>
      <c r="E889" s="15">
        <f>IFERROR(__xludf.DUMMYFUNCTION("""COMPUTED_VALUE"""),43676.64583333333)</f>
        <v>43676.64583</v>
      </c>
      <c r="F889" s="8">
        <f>IFERROR(__xludf.DUMMYFUNCTION("""COMPUTED_VALUE"""),1126.13)</f>
        <v>1126.13</v>
      </c>
      <c r="H889" s="4">
        <f t="shared" si="1"/>
        <v>1001.12</v>
      </c>
      <c r="I889" s="16">
        <f t="shared" si="2"/>
        <v>1030.238</v>
      </c>
      <c r="J889" s="16">
        <f t="shared" si="3"/>
        <v>19.62604188</v>
      </c>
      <c r="K889" s="16">
        <f t="shared" si="4"/>
        <v>1049.864042</v>
      </c>
      <c r="L889" s="16">
        <f t="shared" si="5"/>
        <v>1010.611958</v>
      </c>
      <c r="N889" s="17" t="str">
        <f t="shared" si="6"/>
        <v>T</v>
      </c>
      <c r="O889" s="17" t="str">
        <f t="shared" si="7"/>
        <v>F</v>
      </c>
      <c r="P889" s="8">
        <f t="shared" si="8"/>
        <v>1</v>
      </c>
      <c r="R889" s="17" t="str">
        <f t="shared" si="9"/>
        <v>F</v>
      </c>
      <c r="S889" s="3" t="str">
        <f t="shared" si="10"/>
        <v>T</v>
      </c>
      <c r="T889" s="8">
        <f t="shared" si="11"/>
        <v>0</v>
      </c>
      <c r="V889" s="4">
        <f t="shared" si="12"/>
        <v>1</v>
      </c>
      <c r="W889" s="8">
        <f t="shared" si="13"/>
        <v>-25.73</v>
      </c>
      <c r="X889" s="8">
        <f t="shared" si="14"/>
        <v>0</v>
      </c>
      <c r="Y889" s="8">
        <f t="shared" si="15"/>
        <v>564.51</v>
      </c>
    </row>
    <row r="890">
      <c r="A890" s="2">
        <v>883.0</v>
      </c>
      <c r="B890" s="15">
        <f>IFERROR(__xludf.DUMMYFUNCTION("""COMPUTED_VALUE"""),43677.64583333333)</f>
        <v>43677.64583</v>
      </c>
      <c r="C890" s="8">
        <f>IFERROR(__xludf.DUMMYFUNCTION("""COMPUTED_VALUE"""),2121.8)</f>
        <v>2121.8</v>
      </c>
      <c r="E890" s="15">
        <f>IFERROR(__xludf.DUMMYFUNCTION("""COMPUTED_VALUE"""),43677.64583333333)</f>
        <v>43677.64583</v>
      </c>
      <c r="F890" s="8">
        <f>IFERROR(__xludf.DUMMYFUNCTION("""COMPUTED_VALUE"""),1125.83)</f>
        <v>1125.83</v>
      </c>
      <c r="H890" s="4">
        <f t="shared" si="1"/>
        <v>995.97</v>
      </c>
      <c r="I890" s="16">
        <f t="shared" si="2"/>
        <v>1020.672</v>
      </c>
      <c r="J890" s="16">
        <f t="shared" si="3"/>
        <v>22.76813717</v>
      </c>
      <c r="K890" s="16">
        <f t="shared" si="4"/>
        <v>1043.440137</v>
      </c>
      <c r="L890" s="16">
        <f t="shared" si="5"/>
        <v>997.9038628</v>
      </c>
      <c r="N890" s="17" t="str">
        <f t="shared" si="6"/>
        <v>T</v>
      </c>
      <c r="O890" s="17" t="str">
        <f t="shared" si="7"/>
        <v>F</v>
      </c>
      <c r="P890" s="8">
        <f t="shared" si="8"/>
        <v>1</v>
      </c>
      <c r="R890" s="17" t="str">
        <f t="shared" si="9"/>
        <v>F</v>
      </c>
      <c r="S890" s="3" t="str">
        <f t="shared" si="10"/>
        <v>T</v>
      </c>
      <c r="T890" s="8">
        <f t="shared" si="11"/>
        <v>0</v>
      </c>
      <c r="V890" s="4">
        <f t="shared" si="12"/>
        <v>1</v>
      </c>
      <c r="W890" s="8">
        <f t="shared" si="13"/>
        <v>-5.15</v>
      </c>
      <c r="X890" s="8">
        <f t="shared" si="14"/>
        <v>-5.15</v>
      </c>
      <c r="Y890" s="8">
        <f t="shared" si="15"/>
        <v>559.36</v>
      </c>
    </row>
    <row r="891">
      <c r="A891" s="2">
        <v>884.0</v>
      </c>
      <c r="B891" s="15">
        <f>IFERROR(__xludf.DUMMYFUNCTION("""COMPUTED_VALUE"""),43678.64583333333)</f>
        <v>43678.64583</v>
      </c>
      <c r="C891" s="8">
        <f>IFERROR(__xludf.DUMMYFUNCTION("""COMPUTED_VALUE"""),2086.8)</f>
        <v>2086.8</v>
      </c>
      <c r="E891" s="15">
        <f>IFERROR(__xludf.DUMMYFUNCTION("""COMPUTED_VALUE"""),43678.64583333333)</f>
        <v>43678.64583</v>
      </c>
      <c r="F891" s="8">
        <f>IFERROR(__xludf.DUMMYFUNCTION("""COMPUTED_VALUE"""),1110.9)</f>
        <v>1110.9</v>
      </c>
      <c r="H891" s="4">
        <f t="shared" si="1"/>
        <v>975.9</v>
      </c>
      <c r="I891" s="16">
        <f t="shared" si="2"/>
        <v>1005.388</v>
      </c>
      <c r="J891" s="16">
        <f t="shared" si="3"/>
        <v>21.84310578</v>
      </c>
      <c r="K891" s="16">
        <f t="shared" si="4"/>
        <v>1027.231106</v>
      </c>
      <c r="L891" s="16">
        <f t="shared" si="5"/>
        <v>983.5448942</v>
      </c>
      <c r="N891" s="17" t="str">
        <f t="shared" si="6"/>
        <v>T</v>
      </c>
      <c r="O891" s="17" t="str">
        <f t="shared" si="7"/>
        <v>F</v>
      </c>
      <c r="P891" s="8">
        <f t="shared" si="8"/>
        <v>1</v>
      </c>
      <c r="R891" s="17" t="str">
        <f t="shared" si="9"/>
        <v>F</v>
      </c>
      <c r="S891" s="3" t="str">
        <f t="shared" si="10"/>
        <v>T</v>
      </c>
      <c r="T891" s="8">
        <f t="shared" si="11"/>
        <v>0</v>
      </c>
      <c r="V891" s="4">
        <f t="shared" si="12"/>
        <v>1</v>
      </c>
      <c r="W891" s="8">
        <f t="shared" si="13"/>
        <v>-20.07</v>
      </c>
      <c r="X891" s="8">
        <f t="shared" si="14"/>
        <v>-20.07</v>
      </c>
      <c r="Y891" s="8">
        <f t="shared" si="15"/>
        <v>539.29</v>
      </c>
    </row>
    <row r="892">
      <c r="A892" s="2">
        <v>885.0</v>
      </c>
      <c r="B892" s="15">
        <f>IFERROR(__xludf.DUMMYFUNCTION("""COMPUTED_VALUE"""),43679.64583333333)</f>
        <v>43679.64583</v>
      </c>
      <c r="C892" s="8">
        <f>IFERROR(__xludf.DUMMYFUNCTION("""COMPUTED_VALUE"""),2124.8)</f>
        <v>2124.8</v>
      </c>
      <c r="E892" s="15">
        <f>IFERROR(__xludf.DUMMYFUNCTION("""COMPUTED_VALUE"""),43679.64583333333)</f>
        <v>43679.64583</v>
      </c>
      <c r="F892" s="8">
        <f>IFERROR(__xludf.DUMMYFUNCTION("""COMPUTED_VALUE"""),1107.18)</f>
        <v>1107.18</v>
      </c>
      <c r="H892" s="4">
        <f t="shared" si="1"/>
        <v>1017.62</v>
      </c>
      <c r="I892" s="16">
        <f t="shared" si="2"/>
        <v>1003.492</v>
      </c>
      <c r="J892" s="16">
        <f t="shared" si="3"/>
        <v>19.8035469</v>
      </c>
      <c r="K892" s="16">
        <f t="shared" si="4"/>
        <v>1023.295547</v>
      </c>
      <c r="L892" s="16">
        <f t="shared" si="5"/>
        <v>983.6884531</v>
      </c>
      <c r="N892" s="17" t="str">
        <f t="shared" si="6"/>
        <v>F</v>
      </c>
      <c r="O892" s="17" t="str">
        <f t="shared" si="7"/>
        <v>T</v>
      </c>
      <c r="P892" s="8">
        <f t="shared" si="8"/>
        <v>0</v>
      </c>
      <c r="R892" s="17" t="str">
        <f t="shared" si="9"/>
        <v>F</v>
      </c>
      <c r="S892" s="3" t="str">
        <f t="shared" si="10"/>
        <v>F</v>
      </c>
      <c r="T892" s="8">
        <f t="shared" si="11"/>
        <v>0</v>
      </c>
      <c r="V892" s="4">
        <f t="shared" si="12"/>
        <v>0</v>
      </c>
      <c r="W892" s="8">
        <f t="shared" si="13"/>
        <v>41.72</v>
      </c>
      <c r="X892" s="8">
        <f t="shared" si="14"/>
        <v>41.72</v>
      </c>
      <c r="Y892" s="8">
        <f t="shared" si="15"/>
        <v>581.01</v>
      </c>
    </row>
    <row r="893">
      <c r="A893" s="2">
        <v>886.0</v>
      </c>
      <c r="B893" s="15">
        <f>IFERROR(__xludf.DUMMYFUNCTION("""COMPUTED_VALUE"""),43682.64583333333)</f>
        <v>43682.64583</v>
      </c>
      <c r="C893" s="8">
        <f>IFERROR(__xludf.DUMMYFUNCTION("""COMPUTED_VALUE"""),2152.35)</f>
        <v>2152.35</v>
      </c>
      <c r="E893" s="15">
        <f>IFERROR(__xludf.DUMMYFUNCTION("""COMPUTED_VALUE"""),43682.64583333333)</f>
        <v>43682.64583</v>
      </c>
      <c r="F893" s="8">
        <f>IFERROR(__xludf.DUMMYFUNCTION("""COMPUTED_VALUE"""),1089.63)</f>
        <v>1089.63</v>
      </c>
      <c r="H893" s="4">
        <f t="shared" si="1"/>
        <v>1062.72</v>
      </c>
      <c r="I893" s="16">
        <f t="shared" si="2"/>
        <v>1010.666</v>
      </c>
      <c r="J893" s="16">
        <f t="shared" si="3"/>
        <v>32.68696346</v>
      </c>
      <c r="K893" s="16">
        <f t="shared" si="4"/>
        <v>1043.352963</v>
      </c>
      <c r="L893" s="16">
        <f t="shared" si="5"/>
        <v>977.9790365</v>
      </c>
      <c r="N893" s="17" t="str">
        <f t="shared" si="6"/>
        <v>F</v>
      </c>
      <c r="O893" s="17" t="str">
        <f t="shared" si="7"/>
        <v>T</v>
      </c>
      <c r="P893" s="8">
        <f t="shared" si="8"/>
        <v>0</v>
      </c>
      <c r="R893" s="17" t="str">
        <f t="shared" si="9"/>
        <v>T</v>
      </c>
      <c r="S893" s="3" t="str">
        <f t="shared" si="10"/>
        <v>F</v>
      </c>
      <c r="T893" s="8">
        <f t="shared" si="11"/>
        <v>-1</v>
      </c>
      <c r="V893" s="4">
        <f t="shared" si="12"/>
        <v>-1</v>
      </c>
      <c r="W893" s="8">
        <f t="shared" si="13"/>
        <v>45.1</v>
      </c>
      <c r="X893" s="8">
        <f t="shared" si="14"/>
        <v>0</v>
      </c>
      <c r="Y893" s="8">
        <f t="shared" si="15"/>
        <v>581.01</v>
      </c>
    </row>
    <row r="894">
      <c r="A894" s="2">
        <v>887.0</v>
      </c>
      <c r="B894" s="15">
        <f>IFERROR(__xludf.DUMMYFUNCTION("""COMPUTED_VALUE"""),43683.64583333333)</f>
        <v>43683.64583</v>
      </c>
      <c r="C894" s="8">
        <f>IFERROR(__xludf.DUMMYFUNCTION("""COMPUTED_VALUE"""),2189.9)</f>
        <v>2189.9</v>
      </c>
      <c r="E894" s="15">
        <f>IFERROR(__xludf.DUMMYFUNCTION("""COMPUTED_VALUE"""),43683.64583333333)</f>
        <v>43683.64583</v>
      </c>
      <c r="F894" s="8">
        <f>IFERROR(__xludf.DUMMYFUNCTION("""COMPUTED_VALUE"""),1094.55)</f>
        <v>1094.55</v>
      </c>
      <c r="H894" s="4">
        <f t="shared" si="1"/>
        <v>1095.35</v>
      </c>
      <c r="I894" s="16">
        <f t="shared" si="2"/>
        <v>1029.512</v>
      </c>
      <c r="J894" s="16">
        <f t="shared" si="3"/>
        <v>48.93400014</v>
      </c>
      <c r="K894" s="16">
        <f t="shared" si="4"/>
        <v>1078.446</v>
      </c>
      <c r="L894" s="16">
        <f t="shared" si="5"/>
        <v>980.5779999</v>
      </c>
      <c r="N894" s="17" t="str">
        <f t="shared" si="6"/>
        <v>F</v>
      </c>
      <c r="O894" s="17" t="str">
        <f t="shared" si="7"/>
        <v>T</v>
      </c>
      <c r="P894" s="8">
        <f t="shared" si="8"/>
        <v>0</v>
      </c>
      <c r="R894" s="17" t="str">
        <f t="shared" si="9"/>
        <v>T</v>
      </c>
      <c r="S894" s="3" t="str">
        <f t="shared" si="10"/>
        <v>F</v>
      </c>
      <c r="T894" s="8">
        <f t="shared" si="11"/>
        <v>-1</v>
      </c>
      <c r="V894" s="4">
        <f t="shared" si="12"/>
        <v>-1</v>
      </c>
      <c r="W894" s="8">
        <f t="shared" si="13"/>
        <v>32.63</v>
      </c>
      <c r="X894" s="8">
        <f t="shared" si="14"/>
        <v>-32.63</v>
      </c>
      <c r="Y894" s="8">
        <f t="shared" si="15"/>
        <v>548.38</v>
      </c>
    </row>
    <row r="895">
      <c r="A895" s="2">
        <v>888.0</v>
      </c>
      <c r="B895" s="15">
        <f>IFERROR(__xludf.DUMMYFUNCTION("""COMPUTED_VALUE"""),43684.64583333333)</f>
        <v>43684.64583</v>
      </c>
      <c r="C895" s="8">
        <f>IFERROR(__xludf.DUMMYFUNCTION("""COMPUTED_VALUE"""),2175.2)</f>
        <v>2175.2</v>
      </c>
      <c r="E895" s="15">
        <f>IFERROR(__xludf.DUMMYFUNCTION("""COMPUTED_VALUE"""),43684.64583333333)</f>
        <v>43684.64583</v>
      </c>
      <c r="F895" s="8">
        <f>IFERROR(__xludf.DUMMYFUNCTION("""COMPUTED_VALUE"""),1092.0)</f>
        <v>1092</v>
      </c>
      <c r="H895" s="4">
        <f t="shared" si="1"/>
        <v>1083.2</v>
      </c>
      <c r="I895" s="16">
        <f t="shared" si="2"/>
        <v>1046.958</v>
      </c>
      <c r="J895" s="16">
        <f t="shared" si="3"/>
        <v>49.53197573</v>
      </c>
      <c r="K895" s="16">
        <f t="shared" si="4"/>
        <v>1096.489976</v>
      </c>
      <c r="L895" s="16">
        <f t="shared" si="5"/>
        <v>997.4260243</v>
      </c>
      <c r="N895" s="17" t="str">
        <f t="shared" si="6"/>
        <v>F</v>
      </c>
      <c r="O895" s="17" t="str">
        <f t="shared" si="7"/>
        <v>T</v>
      </c>
      <c r="P895" s="8">
        <f t="shared" si="8"/>
        <v>0</v>
      </c>
      <c r="R895" s="17" t="str">
        <f t="shared" si="9"/>
        <v>F</v>
      </c>
      <c r="S895" s="3" t="str">
        <f t="shared" si="10"/>
        <v>F</v>
      </c>
      <c r="T895" s="8">
        <f t="shared" si="11"/>
        <v>-1</v>
      </c>
      <c r="V895" s="4">
        <f t="shared" si="12"/>
        <v>-1</v>
      </c>
      <c r="W895" s="8">
        <f t="shared" si="13"/>
        <v>-12.15</v>
      </c>
      <c r="X895" s="8">
        <f t="shared" si="14"/>
        <v>12.15</v>
      </c>
      <c r="Y895" s="8">
        <f t="shared" si="15"/>
        <v>560.53</v>
      </c>
    </row>
    <row r="896">
      <c r="A896" s="2">
        <v>889.0</v>
      </c>
      <c r="B896" s="15">
        <f>IFERROR(__xludf.DUMMYFUNCTION("""COMPUTED_VALUE"""),43685.64583333333)</f>
        <v>43685.64583</v>
      </c>
      <c r="C896" s="8">
        <f>IFERROR(__xludf.DUMMYFUNCTION("""COMPUTED_VALUE"""),2182.3)</f>
        <v>2182.3</v>
      </c>
      <c r="E896" s="15">
        <f>IFERROR(__xludf.DUMMYFUNCTION("""COMPUTED_VALUE"""),43685.64583333333)</f>
        <v>43685.64583</v>
      </c>
      <c r="F896" s="8">
        <f>IFERROR(__xludf.DUMMYFUNCTION("""COMPUTED_VALUE"""),1116.58)</f>
        <v>1116.58</v>
      </c>
      <c r="H896" s="4">
        <f t="shared" si="1"/>
        <v>1065.72</v>
      </c>
      <c r="I896" s="16">
        <f t="shared" si="2"/>
        <v>1064.922</v>
      </c>
      <c r="J896" s="16">
        <f t="shared" si="3"/>
        <v>29.59270721</v>
      </c>
      <c r="K896" s="16">
        <f t="shared" si="4"/>
        <v>1094.514707</v>
      </c>
      <c r="L896" s="16">
        <f t="shared" si="5"/>
        <v>1035.329293</v>
      </c>
      <c r="N896" s="17" t="str">
        <f t="shared" si="6"/>
        <v>F</v>
      </c>
      <c r="O896" s="17" t="str">
        <f t="shared" si="7"/>
        <v>T</v>
      </c>
      <c r="P896" s="8">
        <f t="shared" si="8"/>
        <v>0</v>
      </c>
      <c r="R896" s="17" t="str">
        <f t="shared" si="9"/>
        <v>F</v>
      </c>
      <c r="S896" s="3" t="str">
        <f t="shared" si="10"/>
        <v>F</v>
      </c>
      <c r="T896" s="8">
        <f t="shared" si="11"/>
        <v>-1</v>
      </c>
      <c r="V896" s="4">
        <f t="shared" si="12"/>
        <v>-1</v>
      </c>
      <c r="W896" s="8">
        <f t="shared" si="13"/>
        <v>-17.48</v>
      </c>
      <c r="X896" s="8">
        <f t="shared" si="14"/>
        <v>17.48</v>
      </c>
      <c r="Y896" s="8">
        <f t="shared" si="15"/>
        <v>578.01</v>
      </c>
    </row>
    <row r="897">
      <c r="A897" s="2">
        <v>890.0</v>
      </c>
      <c r="B897" s="15">
        <f>IFERROR(__xludf.DUMMYFUNCTION("""COMPUTED_VALUE"""),43686.64583333333)</f>
        <v>43686.64583</v>
      </c>
      <c r="C897" s="8">
        <f>IFERROR(__xludf.DUMMYFUNCTION("""COMPUTED_VALUE"""),2211.65)</f>
        <v>2211.65</v>
      </c>
      <c r="E897" s="15">
        <f>IFERROR(__xludf.DUMMYFUNCTION("""COMPUTED_VALUE"""),43686.64583333333)</f>
        <v>43686.64583</v>
      </c>
      <c r="F897" s="8">
        <f>IFERROR(__xludf.DUMMYFUNCTION("""COMPUTED_VALUE"""),1141.0)</f>
        <v>1141</v>
      </c>
      <c r="H897" s="4">
        <f t="shared" si="1"/>
        <v>1070.65</v>
      </c>
      <c r="I897" s="16">
        <f t="shared" si="2"/>
        <v>1075.528</v>
      </c>
      <c r="J897" s="16">
        <f t="shared" si="3"/>
        <v>13.56288944</v>
      </c>
      <c r="K897" s="16">
        <f t="shared" si="4"/>
        <v>1089.090889</v>
      </c>
      <c r="L897" s="16">
        <f t="shared" si="5"/>
        <v>1061.965111</v>
      </c>
      <c r="N897" s="17" t="str">
        <f t="shared" si="6"/>
        <v>F</v>
      </c>
      <c r="O897" s="17" t="str">
        <f t="shared" si="7"/>
        <v>F</v>
      </c>
      <c r="P897" s="8">
        <f t="shared" si="8"/>
        <v>0</v>
      </c>
      <c r="R897" s="17" t="str">
        <f t="shared" si="9"/>
        <v>F</v>
      </c>
      <c r="S897" s="3" t="str">
        <f t="shared" si="10"/>
        <v>T</v>
      </c>
      <c r="T897" s="8">
        <f t="shared" si="11"/>
        <v>0</v>
      </c>
      <c r="V897" s="4">
        <f t="shared" si="12"/>
        <v>0</v>
      </c>
      <c r="W897" s="8">
        <f t="shared" si="13"/>
        <v>4.93</v>
      </c>
      <c r="X897" s="8">
        <f t="shared" si="14"/>
        <v>-4.93</v>
      </c>
      <c r="Y897" s="8">
        <f t="shared" si="15"/>
        <v>573.08</v>
      </c>
    </row>
    <row r="898">
      <c r="A898" s="2">
        <v>891.0</v>
      </c>
      <c r="B898" s="15">
        <f>IFERROR(__xludf.DUMMYFUNCTION("""COMPUTED_VALUE"""),43690.64583333333)</f>
        <v>43690.64583</v>
      </c>
      <c r="C898" s="8">
        <f>IFERROR(__xludf.DUMMYFUNCTION("""COMPUTED_VALUE"""),2100.1)</f>
        <v>2100.1</v>
      </c>
      <c r="E898" s="15">
        <f>IFERROR(__xludf.DUMMYFUNCTION("""COMPUTED_VALUE"""),43690.64583333333)</f>
        <v>43690.64583</v>
      </c>
      <c r="F898" s="8">
        <f>IFERROR(__xludf.DUMMYFUNCTION("""COMPUTED_VALUE"""),1110.18)</f>
        <v>1110.18</v>
      </c>
      <c r="H898" s="4">
        <f t="shared" si="1"/>
        <v>989.92</v>
      </c>
      <c r="I898" s="16">
        <f t="shared" si="2"/>
        <v>1060.968</v>
      </c>
      <c r="J898" s="16">
        <f t="shared" si="3"/>
        <v>41.35373224</v>
      </c>
      <c r="K898" s="16">
        <f t="shared" si="4"/>
        <v>1102.321732</v>
      </c>
      <c r="L898" s="16">
        <f t="shared" si="5"/>
        <v>1019.614268</v>
      </c>
      <c r="N898" s="17" t="str">
        <f t="shared" si="6"/>
        <v>T</v>
      </c>
      <c r="O898" s="17" t="str">
        <f t="shared" si="7"/>
        <v>F</v>
      </c>
      <c r="P898" s="8">
        <f t="shared" si="8"/>
        <v>1</v>
      </c>
      <c r="R898" s="17" t="str">
        <f t="shared" si="9"/>
        <v>F</v>
      </c>
      <c r="S898" s="3" t="str">
        <f t="shared" si="10"/>
        <v>T</v>
      </c>
      <c r="T898" s="8">
        <f t="shared" si="11"/>
        <v>0</v>
      </c>
      <c r="V898" s="4">
        <f t="shared" si="12"/>
        <v>1</v>
      </c>
      <c r="W898" s="8">
        <f t="shared" si="13"/>
        <v>-80.73</v>
      </c>
      <c r="X898" s="8">
        <f t="shared" si="14"/>
        <v>0</v>
      </c>
      <c r="Y898" s="8">
        <f t="shared" si="15"/>
        <v>573.08</v>
      </c>
    </row>
    <row r="899">
      <c r="A899" s="2">
        <v>892.0</v>
      </c>
      <c r="B899" s="15">
        <f>IFERROR(__xludf.DUMMYFUNCTION("""COMPUTED_VALUE"""),43691.64583333333)</f>
        <v>43691.64583</v>
      </c>
      <c r="C899" s="8">
        <f>IFERROR(__xludf.DUMMYFUNCTION("""COMPUTED_VALUE"""),2117.7)</f>
        <v>2117.7</v>
      </c>
      <c r="E899" s="15">
        <f>IFERROR(__xludf.DUMMYFUNCTION("""COMPUTED_VALUE"""),43691.64583333333)</f>
        <v>43691.64583</v>
      </c>
      <c r="F899" s="8">
        <f>IFERROR(__xludf.DUMMYFUNCTION("""COMPUTED_VALUE"""),1114.72)</f>
        <v>1114.72</v>
      </c>
      <c r="H899" s="4">
        <f t="shared" si="1"/>
        <v>1002.98</v>
      </c>
      <c r="I899" s="16">
        <f t="shared" si="2"/>
        <v>1042.494</v>
      </c>
      <c r="J899" s="16">
        <f t="shared" si="3"/>
        <v>42.76262246</v>
      </c>
      <c r="K899" s="16">
        <f t="shared" si="4"/>
        <v>1085.256622</v>
      </c>
      <c r="L899" s="16">
        <f t="shared" si="5"/>
        <v>999.7313775</v>
      </c>
      <c r="N899" s="17" t="str">
        <f t="shared" si="6"/>
        <v>F</v>
      </c>
      <c r="O899" s="17" t="str">
        <f t="shared" si="7"/>
        <v>F</v>
      </c>
      <c r="P899" s="8">
        <f t="shared" si="8"/>
        <v>1</v>
      </c>
      <c r="R899" s="17" t="str">
        <f t="shared" si="9"/>
        <v>F</v>
      </c>
      <c r="S899" s="3" t="str">
        <f t="shared" si="10"/>
        <v>T</v>
      </c>
      <c r="T899" s="8">
        <f t="shared" si="11"/>
        <v>0</v>
      </c>
      <c r="V899" s="4">
        <f t="shared" si="12"/>
        <v>1</v>
      </c>
      <c r="W899" s="8">
        <f t="shared" si="13"/>
        <v>13.06</v>
      </c>
      <c r="X899" s="8">
        <f t="shared" si="14"/>
        <v>13.06</v>
      </c>
      <c r="Y899" s="8">
        <f t="shared" si="15"/>
        <v>586.14</v>
      </c>
    </row>
    <row r="900">
      <c r="A900" s="2">
        <v>893.0</v>
      </c>
      <c r="B900" s="15">
        <f>IFERROR(__xludf.DUMMYFUNCTION("""COMPUTED_VALUE"""),43693.64583333333)</f>
        <v>43693.64583</v>
      </c>
      <c r="C900" s="8">
        <f>IFERROR(__xludf.DUMMYFUNCTION("""COMPUTED_VALUE"""),2100.0)</f>
        <v>2100</v>
      </c>
      <c r="E900" s="15">
        <f>IFERROR(__xludf.DUMMYFUNCTION("""COMPUTED_VALUE"""),43693.64583333333)</f>
        <v>43693.64583</v>
      </c>
      <c r="F900" s="8">
        <f>IFERROR(__xludf.DUMMYFUNCTION("""COMPUTED_VALUE"""),1113.85)</f>
        <v>1113.85</v>
      </c>
      <c r="H900" s="4">
        <f t="shared" si="1"/>
        <v>986.15</v>
      </c>
      <c r="I900" s="16">
        <f t="shared" si="2"/>
        <v>1023.084</v>
      </c>
      <c r="J900" s="16">
        <f t="shared" si="3"/>
        <v>41.67881632</v>
      </c>
      <c r="K900" s="16">
        <f t="shared" si="4"/>
        <v>1064.762816</v>
      </c>
      <c r="L900" s="16">
        <f t="shared" si="5"/>
        <v>981.4051837</v>
      </c>
      <c r="N900" s="17" t="str">
        <f t="shared" si="6"/>
        <v>F</v>
      </c>
      <c r="O900" s="17" t="str">
        <f t="shared" si="7"/>
        <v>F</v>
      </c>
      <c r="P900" s="8">
        <f t="shared" si="8"/>
        <v>1</v>
      </c>
      <c r="R900" s="17" t="str">
        <f t="shared" si="9"/>
        <v>F</v>
      </c>
      <c r="S900" s="3" t="str">
        <f t="shared" si="10"/>
        <v>T</v>
      </c>
      <c r="T900" s="8">
        <f t="shared" si="11"/>
        <v>0</v>
      </c>
      <c r="V900" s="4">
        <f t="shared" si="12"/>
        <v>1</v>
      </c>
      <c r="W900" s="8">
        <f t="shared" si="13"/>
        <v>-16.83</v>
      </c>
      <c r="X900" s="8">
        <f t="shared" si="14"/>
        <v>-16.83</v>
      </c>
      <c r="Y900" s="8">
        <f t="shared" si="15"/>
        <v>569.31</v>
      </c>
    </row>
    <row r="901">
      <c r="A901" s="2">
        <v>894.0</v>
      </c>
      <c r="B901" s="15">
        <f>IFERROR(__xludf.DUMMYFUNCTION("""COMPUTED_VALUE"""),43696.64583333333)</f>
        <v>43696.64583</v>
      </c>
      <c r="C901" s="8">
        <f>IFERROR(__xludf.DUMMYFUNCTION("""COMPUTED_VALUE"""),2114.05)</f>
        <v>2114.05</v>
      </c>
      <c r="E901" s="15">
        <f>IFERROR(__xludf.DUMMYFUNCTION("""COMPUTED_VALUE"""),43696.64583333333)</f>
        <v>43696.64583</v>
      </c>
      <c r="F901" s="8">
        <f>IFERROR(__xludf.DUMMYFUNCTION("""COMPUTED_VALUE"""),1103.43)</f>
        <v>1103.43</v>
      </c>
      <c r="H901" s="4">
        <f t="shared" si="1"/>
        <v>1010.62</v>
      </c>
      <c r="I901" s="16">
        <f t="shared" si="2"/>
        <v>1012.064</v>
      </c>
      <c r="J901" s="16">
        <f t="shared" si="3"/>
        <v>34.20093464</v>
      </c>
      <c r="K901" s="16">
        <f t="shared" si="4"/>
        <v>1046.264935</v>
      </c>
      <c r="L901" s="16">
        <f t="shared" si="5"/>
        <v>977.8630654</v>
      </c>
      <c r="N901" s="17" t="str">
        <f t="shared" si="6"/>
        <v>F</v>
      </c>
      <c r="O901" s="17" t="str">
        <f t="shared" si="7"/>
        <v>F</v>
      </c>
      <c r="P901" s="8">
        <f t="shared" si="8"/>
        <v>1</v>
      </c>
      <c r="R901" s="17" t="str">
        <f t="shared" si="9"/>
        <v>F</v>
      </c>
      <c r="S901" s="3" t="str">
        <f t="shared" si="10"/>
        <v>T</v>
      </c>
      <c r="T901" s="8">
        <f t="shared" si="11"/>
        <v>0</v>
      </c>
      <c r="V901" s="4">
        <f t="shared" si="12"/>
        <v>1</v>
      </c>
      <c r="W901" s="8">
        <f t="shared" si="13"/>
        <v>24.47</v>
      </c>
      <c r="X901" s="8">
        <f t="shared" si="14"/>
        <v>24.47</v>
      </c>
      <c r="Y901" s="8">
        <f t="shared" si="15"/>
        <v>593.78</v>
      </c>
    </row>
    <row r="902">
      <c r="A902" s="2">
        <v>895.0</v>
      </c>
      <c r="B902" s="15">
        <f>IFERROR(__xludf.DUMMYFUNCTION("""COMPUTED_VALUE"""),43697.64583333333)</f>
        <v>43697.64583</v>
      </c>
      <c r="C902" s="8">
        <f>IFERROR(__xludf.DUMMYFUNCTION("""COMPUTED_VALUE"""),2090.1)</f>
        <v>2090.1</v>
      </c>
      <c r="E902" s="15">
        <f>IFERROR(__xludf.DUMMYFUNCTION("""COMPUTED_VALUE"""),43697.64583333333)</f>
        <v>43697.64583</v>
      </c>
      <c r="F902" s="8">
        <f>IFERROR(__xludf.DUMMYFUNCTION("""COMPUTED_VALUE"""),1110.3)</f>
        <v>1110.3</v>
      </c>
      <c r="H902" s="4">
        <f t="shared" si="1"/>
        <v>979.8</v>
      </c>
      <c r="I902" s="16">
        <f t="shared" si="2"/>
        <v>993.894</v>
      </c>
      <c r="J902" s="16">
        <f t="shared" si="3"/>
        <v>12.61663109</v>
      </c>
      <c r="K902" s="16">
        <f t="shared" si="4"/>
        <v>1006.510631</v>
      </c>
      <c r="L902" s="16">
        <f t="shared" si="5"/>
        <v>981.2773689</v>
      </c>
      <c r="N902" s="17" t="str">
        <f t="shared" si="6"/>
        <v>T</v>
      </c>
      <c r="O902" s="17" t="str">
        <f t="shared" si="7"/>
        <v>F</v>
      </c>
      <c r="P902" s="8">
        <f t="shared" si="8"/>
        <v>1</v>
      </c>
      <c r="R902" s="17" t="str">
        <f t="shared" si="9"/>
        <v>F</v>
      </c>
      <c r="S902" s="3" t="str">
        <f t="shared" si="10"/>
        <v>T</v>
      </c>
      <c r="T902" s="8">
        <f t="shared" si="11"/>
        <v>0</v>
      </c>
      <c r="V902" s="4">
        <f t="shared" si="12"/>
        <v>1</v>
      </c>
      <c r="W902" s="8">
        <f t="shared" si="13"/>
        <v>-30.82</v>
      </c>
      <c r="X902" s="8">
        <f t="shared" si="14"/>
        <v>-30.82</v>
      </c>
      <c r="Y902" s="8">
        <f t="shared" si="15"/>
        <v>562.96</v>
      </c>
    </row>
    <row r="903">
      <c r="A903" s="2">
        <v>896.0</v>
      </c>
      <c r="B903" s="15">
        <f>IFERROR(__xludf.DUMMYFUNCTION("""COMPUTED_VALUE"""),43698.64583333333)</f>
        <v>43698.64583</v>
      </c>
      <c r="C903" s="8">
        <f>IFERROR(__xludf.DUMMYFUNCTION("""COMPUTED_VALUE"""),2066.9)</f>
        <v>2066.9</v>
      </c>
      <c r="E903" s="15">
        <f>IFERROR(__xludf.DUMMYFUNCTION("""COMPUTED_VALUE"""),43698.64583333333)</f>
        <v>43698.64583</v>
      </c>
      <c r="F903" s="8">
        <f>IFERROR(__xludf.DUMMYFUNCTION("""COMPUTED_VALUE"""),1112.93)</f>
        <v>1112.93</v>
      </c>
      <c r="H903" s="4">
        <f t="shared" si="1"/>
        <v>953.97</v>
      </c>
      <c r="I903" s="16">
        <f t="shared" si="2"/>
        <v>986.704</v>
      </c>
      <c r="J903" s="16">
        <f t="shared" si="3"/>
        <v>22.11543646</v>
      </c>
      <c r="K903" s="16">
        <f t="shared" si="4"/>
        <v>1008.819436</v>
      </c>
      <c r="L903" s="16">
        <f t="shared" si="5"/>
        <v>964.5885635</v>
      </c>
      <c r="N903" s="17" t="str">
        <f t="shared" si="6"/>
        <v>T</v>
      </c>
      <c r="O903" s="17" t="str">
        <f t="shared" si="7"/>
        <v>F</v>
      </c>
      <c r="P903" s="8">
        <f t="shared" si="8"/>
        <v>1</v>
      </c>
      <c r="R903" s="17" t="str">
        <f t="shared" si="9"/>
        <v>F</v>
      </c>
      <c r="S903" s="3" t="str">
        <f t="shared" si="10"/>
        <v>T</v>
      </c>
      <c r="T903" s="8">
        <f t="shared" si="11"/>
        <v>0</v>
      </c>
      <c r="V903" s="4">
        <f t="shared" si="12"/>
        <v>1</v>
      </c>
      <c r="W903" s="8">
        <f t="shared" si="13"/>
        <v>-25.83</v>
      </c>
      <c r="X903" s="8">
        <f t="shared" si="14"/>
        <v>-25.83</v>
      </c>
      <c r="Y903" s="8">
        <f t="shared" si="15"/>
        <v>537.13</v>
      </c>
    </row>
    <row r="904">
      <c r="A904" s="2">
        <v>897.0</v>
      </c>
      <c r="B904" s="15">
        <f>IFERROR(__xludf.DUMMYFUNCTION("""COMPUTED_VALUE"""),43699.64583333333)</f>
        <v>43699.64583</v>
      </c>
      <c r="C904" s="8">
        <f>IFERROR(__xludf.DUMMYFUNCTION("""COMPUTED_VALUE"""),2014.1)</f>
        <v>2014.1</v>
      </c>
      <c r="E904" s="15">
        <f>IFERROR(__xludf.DUMMYFUNCTION("""COMPUTED_VALUE"""),43699.64583333333)</f>
        <v>43699.64583</v>
      </c>
      <c r="F904" s="8">
        <f>IFERROR(__xludf.DUMMYFUNCTION("""COMPUTED_VALUE"""),1087.05)</f>
        <v>1087.05</v>
      </c>
      <c r="H904" s="4">
        <f t="shared" si="1"/>
        <v>927.05</v>
      </c>
      <c r="I904" s="16">
        <f t="shared" si="2"/>
        <v>971.518</v>
      </c>
      <c r="J904" s="16">
        <f t="shared" si="3"/>
        <v>32.0038618</v>
      </c>
      <c r="K904" s="16">
        <f t="shared" si="4"/>
        <v>1003.521862</v>
      </c>
      <c r="L904" s="16">
        <f t="shared" si="5"/>
        <v>939.5141382</v>
      </c>
      <c r="N904" s="17" t="str">
        <f t="shared" si="6"/>
        <v>T</v>
      </c>
      <c r="O904" s="17" t="str">
        <f t="shared" si="7"/>
        <v>F</v>
      </c>
      <c r="P904" s="8">
        <f t="shared" si="8"/>
        <v>1</v>
      </c>
      <c r="R904" s="17" t="str">
        <f t="shared" si="9"/>
        <v>F</v>
      </c>
      <c r="S904" s="3" t="str">
        <f t="shared" si="10"/>
        <v>T</v>
      </c>
      <c r="T904" s="8">
        <f t="shared" si="11"/>
        <v>0</v>
      </c>
      <c r="V904" s="4">
        <f t="shared" si="12"/>
        <v>1</v>
      </c>
      <c r="W904" s="8">
        <f t="shared" si="13"/>
        <v>-26.92</v>
      </c>
      <c r="X904" s="8">
        <f t="shared" si="14"/>
        <v>-26.92</v>
      </c>
      <c r="Y904" s="8">
        <f t="shared" si="15"/>
        <v>510.21</v>
      </c>
    </row>
    <row r="905">
      <c r="A905" s="2">
        <v>898.0</v>
      </c>
      <c r="B905" s="15">
        <f>IFERROR(__xludf.DUMMYFUNCTION("""COMPUTED_VALUE"""),43700.64583333333)</f>
        <v>43700.64583</v>
      </c>
      <c r="C905" s="8">
        <f>IFERROR(__xludf.DUMMYFUNCTION("""COMPUTED_VALUE"""),2043.75)</f>
        <v>2043.75</v>
      </c>
      <c r="E905" s="15">
        <f>IFERROR(__xludf.DUMMYFUNCTION("""COMPUTED_VALUE"""),43700.64583333333)</f>
        <v>43700.64583</v>
      </c>
      <c r="F905" s="8">
        <f>IFERROR(__xludf.DUMMYFUNCTION("""COMPUTED_VALUE"""),1081.35)</f>
        <v>1081.35</v>
      </c>
      <c r="H905" s="4">
        <f t="shared" si="1"/>
        <v>962.4</v>
      </c>
      <c r="I905" s="16">
        <f t="shared" si="2"/>
        <v>966.768</v>
      </c>
      <c r="J905" s="16">
        <f t="shared" si="3"/>
        <v>31.03714984</v>
      </c>
      <c r="K905" s="16">
        <f t="shared" si="4"/>
        <v>997.8051498</v>
      </c>
      <c r="L905" s="16">
        <f t="shared" si="5"/>
        <v>935.7308502</v>
      </c>
      <c r="N905" s="17" t="str">
        <f t="shared" si="6"/>
        <v>F</v>
      </c>
      <c r="O905" s="17" t="str">
        <f t="shared" si="7"/>
        <v>F</v>
      </c>
      <c r="P905" s="8">
        <f t="shared" si="8"/>
        <v>1</v>
      </c>
      <c r="R905" s="17" t="str">
        <f t="shared" si="9"/>
        <v>F</v>
      </c>
      <c r="S905" s="3" t="str">
        <f t="shared" si="10"/>
        <v>T</v>
      </c>
      <c r="T905" s="8">
        <f t="shared" si="11"/>
        <v>0</v>
      </c>
      <c r="V905" s="4">
        <f t="shared" si="12"/>
        <v>1</v>
      </c>
      <c r="W905" s="8">
        <f t="shared" si="13"/>
        <v>35.35</v>
      </c>
      <c r="X905" s="8">
        <f t="shared" si="14"/>
        <v>35.35</v>
      </c>
      <c r="Y905" s="8">
        <f t="shared" si="15"/>
        <v>545.56</v>
      </c>
    </row>
    <row r="906">
      <c r="A906" s="2">
        <v>899.0</v>
      </c>
      <c r="B906" s="15">
        <f>IFERROR(__xludf.DUMMYFUNCTION("""COMPUTED_VALUE"""),43703.64583333333)</f>
        <v>43703.64583</v>
      </c>
      <c r="C906" s="8">
        <f>IFERROR(__xludf.DUMMYFUNCTION("""COMPUTED_VALUE"""),2148.35)</f>
        <v>2148.35</v>
      </c>
      <c r="E906" s="15">
        <f>IFERROR(__xludf.DUMMYFUNCTION("""COMPUTED_VALUE"""),43703.64583333333)</f>
        <v>43703.64583</v>
      </c>
      <c r="F906" s="8">
        <f>IFERROR(__xludf.DUMMYFUNCTION("""COMPUTED_VALUE"""),1128.08)</f>
        <v>1128.08</v>
      </c>
      <c r="H906" s="4">
        <f t="shared" si="1"/>
        <v>1020.27</v>
      </c>
      <c r="I906" s="16">
        <f t="shared" si="2"/>
        <v>968.698</v>
      </c>
      <c r="J906" s="16">
        <f t="shared" si="3"/>
        <v>34.54728745</v>
      </c>
      <c r="K906" s="16">
        <f t="shared" si="4"/>
        <v>1003.245287</v>
      </c>
      <c r="L906" s="16">
        <f t="shared" si="5"/>
        <v>934.1507126</v>
      </c>
      <c r="N906" s="17" t="str">
        <f t="shared" si="6"/>
        <v>F</v>
      </c>
      <c r="O906" s="17" t="str">
        <f t="shared" si="7"/>
        <v>T</v>
      </c>
      <c r="P906" s="8">
        <f t="shared" si="8"/>
        <v>0</v>
      </c>
      <c r="R906" s="17" t="str">
        <f t="shared" si="9"/>
        <v>T</v>
      </c>
      <c r="S906" s="3" t="str">
        <f t="shared" si="10"/>
        <v>F</v>
      </c>
      <c r="T906" s="8">
        <f t="shared" si="11"/>
        <v>-1</v>
      </c>
      <c r="V906" s="4">
        <f t="shared" si="12"/>
        <v>-1</v>
      </c>
      <c r="W906" s="8">
        <f t="shared" si="13"/>
        <v>57.87</v>
      </c>
      <c r="X906" s="8">
        <f t="shared" si="14"/>
        <v>57.87</v>
      </c>
      <c r="Y906" s="8">
        <f t="shared" si="15"/>
        <v>603.43</v>
      </c>
    </row>
    <row r="907">
      <c r="A907" s="2">
        <v>900.0</v>
      </c>
      <c r="B907" s="15">
        <f>IFERROR(__xludf.DUMMYFUNCTION("""COMPUTED_VALUE"""),43704.64583333333)</f>
        <v>43704.64583</v>
      </c>
      <c r="C907" s="8">
        <f>IFERROR(__xludf.DUMMYFUNCTION("""COMPUTED_VALUE"""),2174.3)</f>
        <v>2174.3</v>
      </c>
      <c r="E907" s="15">
        <f>IFERROR(__xludf.DUMMYFUNCTION("""COMPUTED_VALUE"""),43704.64583333333)</f>
        <v>43704.64583</v>
      </c>
      <c r="F907" s="8">
        <f>IFERROR(__xludf.DUMMYFUNCTION("""COMPUTED_VALUE"""),1129.97)</f>
        <v>1129.97</v>
      </c>
      <c r="H907" s="4">
        <f t="shared" si="1"/>
        <v>1044.33</v>
      </c>
      <c r="I907" s="16">
        <f t="shared" si="2"/>
        <v>981.604</v>
      </c>
      <c r="J907" s="16">
        <f t="shared" si="3"/>
        <v>48.83180603</v>
      </c>
      <c r="K907" s="16">
        <f t="shared" si="4"/>
        <v>1030.435806</v>
      </c>
      <c r="L907" s="16">
        <f t="shared" si="5"/>
        <v>932.772194</v>
      </c>
      <c r="N907" s="17" t="str">
        <f t="shared" si="6"/>
        <v>F</v>
      </c>
      <c r="O907" s="17" t="str">
        <f t="shared" si="7"/>
        <v>T</v>
      </c>
      <c r="P907" s="8">
        <f t="shared" si="8"/>
        <v>0</v>
      </c>
      <c r="R907" s="17" t="str">
        <f t="shared" si="9"/>
        <v>T</v>
      </c>
      <c r="S907" s="3" t="str">
        <f t="shared" si="10"/>
        <v>F</v>
      </c>
      <c r="T907" s="8">
        <f t="shared" si="11"/>
        <v>-1</v>
      </c>
      <c r="V907" s="4">
        <f t="shared" si="12"/>
        <v>-1</v>
      </c>
      <c r="W907" s="8">
        <f t="shared" si="13"/>
        <v>24.06</v>
      </c>
      <c r="X907" s="8">
        <f t="shared" si="14"/>
        <v>-24.06</v>
      </c>
      <c r="Y907" s="8">
        <f t="shared" si="15"/>
        <v>579.37</v>
      </c>
    </row>
    <row r="908">
      <c r="A908" s="2">
        <v>901.0</v>
      </c>
      <c r="B908" s="15">
        <f>IFERROR(__xludf.DUMMYFUNCTION("""COMPUTED_VALUE"""),43705.64583333333)</f>
        <v>43705.64583</v>
      </c>
      <c r="C908" s="8">
        <f>IFERROR(__xludf.DUMMYFUNCTION("""COMPUTED_VALUE"""),2187.15)</f>
        <v>2187.15</v>
      </c>
      <c r="E908" s="15">
        <f>IFERROR(__xludf.DUMMYFUNCTION("""COMPUTED_VALUE"""),43705.64583333333)</f>
        <v>43705.64583</v>
      </c>
      <c r="F908" s="8">
        <f>IFERROR(__xludf.DUMMYFUNCTION("""COMPUTED_VALUE"""),1123.75)</f>
        <v>1123.75</v>
      </c>
      <c r="H908" s="4">
        <f t="shared" si="1"/>
        <v>1063.4</v>
      </c>
      <c r="I908" s="16">
        <f t="shared" si="2"/>
        <v>1003.49</v>
      </c>
      <c r="J908" s="16">
        <f t="shared" si="3"/>
        <v>57.1623648</v>
      </c>
      <c r="K908" s="16">
        <f t="shared" si="4"/>
        <v>1060.652365</v>
      </c>
      <c r="L908" s="16">
        <f t="shared" si="5"/>
        <v>946.3276352</v>
      </c>
      <c r="N908" s="17" t="str">
        <f t="shared" si="6"/>
        <v>F</v>
      </c>
      <c r="O908" s="17" t="str">
        <f t="shared" si="7"/>
        <v>T</v>
      </c>
      <c r="P908" s="8">
        <f t="shared" si="8"/>
        <v>0</v>
      </c>
      <c r="R908" s="17" t="str">
        <f t="shared" si="9"/>
        <v>T</v>
      </c>
      <c r="S908" s="3" t="str">
        <f t="shared" si="10"/>
        <v>F</v>
      </c>
      <c r="T908" s="8">
        <f t="shared" si="11"/>
        <v>-1</v>
      </c>
      <c r="V908" s="4">
        <f t="shared" si="12"/>
        <v>-1</v>
      </c>
      <c r="W908" s="8">
        <f t="shared" si="13"/>
        <v>19.07</v>
      </c>
      <c r="X908" s="8">
        <f t="shared" si="14"/>
        <v>-19.07</v>
      </c>
      <c r="Y908" s="8">
        <f t="shared" si="15"/>
        <v>560.3</v>
      </c>
    </row>
    <row r="909">
      <c r="A909" s="2">
        <v>902.0</v>
      </c>
      <c r="B909" s="15">
        <f>IFERROR(__xludf.DUMMYFUNCTION("""COMPUTED_VALUE"""),43706.64583333333)</f>
        <v>43706.64583</v>
      </c>
      <c r="C909" s="8">
        <f>IFERROR(__xludf.DUMMYFUNCTION("""COMPUTED_VALUE"""),2128.45)</f>
        <v>2128.45</v>
      </c>
      <c r="E909" s="15">
        <f>IFERROR(__xludf.DUMMYFUNCTION("""COMPUTED_VALUE"""),43706.64583333333)</f>
        <v>43706.64583</v>
      </c>
      <c r="F909" s="8">
        <f>IFERROR(__xludf.DUMMYFUNCTION("""COMPUTED_VALUE"""),1113.47)</f>
        <v>1113.47</v>
      </c>
      <c r="H909" s="4">
        <f t="shared" si="1"/>
        <v>1014.98</v>
      </c>
      <c r="I909" s="16">
        <f t="shared" si="2"/>
        <v>1021.076</v>
      </c>
      <c r="J909" s="16">
        <f t="shared" si="3"/>
        <v>38.12070736</v>
      </c>
      <c r="K909" s="16">
        <f t="shared" si="4"/>
        <v>1059.196707</v>
      </c>
      <c r="L909" s="16">
        <f t="shared" si="5"/>
        <v>982.9552926</v>
      </c>
      <c r="N909" s="17" t="str">
        <f t="shared" si="6"/>
        <v>F</v>
      </c>
      <c r="O909" s="17" t="str">
        <f t="shared" si="7"/>
        <v>F</v>
      </c>
      <c r="P909" s="8">
        <f t="shared" si="8"/>
        <v>0</v>
      </c>
      <c r="R909" s="17" t="str">
        <f t="shared" si="9"/>
        <v>F</v>
      </c>
      <c r="S909" s="3" t="str">
        <f t="shared" si="10"/>
        <v>T</v>
      </c>
      <c r="T909" s="8">
        <f t="shared" si="11"/>
        <v>0</v>
      </c>
      <c r="V909" s="4">
        <f t="shared" si="12"/>
        <v>0</v>
      </c>
      <c r="W909" s="8">
        <f t="shared" si="13"/>
        <v>-48.42</v>
      </c>
      <c r="X909" s="8">
        <f t="shared" si="14"/>
        <v>48.42</v>
      </c>
      <c r="Y909" s="8">
        <f t="shared" si="15"/>
        <v>608.72</v>
      </c>
    </row>
    <row r="910">
      <c r="A910" s="2">
        <v>903.0</v>
      </c>
      <c r="B910" s="15">
        <f>IFERROR(__xludf.DUMMYFUNCTION("""COMPUTED_VALUE"""),43707.64583333333)</f>
        <v>43707.64583</v>
      </c>
      <c r="C910" s="8">
        <f>IFERROR(__xludf.DUMMYFUNCTION("""COMPUTED_VALUE"""),2166.45)</f>
        <v>2166.45</v>
      </c>
      <c r="E910" s="15">
        <f>IFERROR(__xludf.DUMMYFUNCTION("""COMPUTED_VALUE"""),43707.64583333333)</f>
        <v>43707.64583</v>
      </c>
      <c r="F910" s="8">
        <f>IFERROR(__xludf.DUMMYFUNCTION("""COMPUTED_VALUE"""),1113.97)</f>
        <v>1113.97</v>
      </c>
      <c r="H910" s="4">
        <f t="shared" si="1"/>
        <v>1052.48</v>
      </c>
      <c r="I910" s="16">
        <f t="shared" si="2"/>
        <v>1039.092</v>
      </c>
      <c r="J910" s="16">
        <f t="shared" si="3"/>
        <v>20.81592107</v>
      </c>
      <c r="K910" s="16">
        <f t="shared" si="4"/>
        <v>1059.907921</v>
      </c>
      <c r="L910" s="16">
        <f t="shared" si="5"/>
        <v>1018.276079</v>
      </c>
      <c r="N910" s="17" t="str">
        <f t="shared" si="6"/>
        <v>F</v>
      </c>
      <c r="O910" s="17" t="str">
        <f t="shared" si="7"/>
        <v>T</v>
      </c>
      <c r="P910" s="8">
        <f t="shared" si="8"/>
        <v>0</v>
      </c>
      <c r="R910" s="17" t="str">
        <f t="shared" si="9"/>
        <v>F</v>
      </c>
      <c r="S910" s="3" t="str">
        <f t="shared" si="10"/>
        <v>F</v>
      </c>
      <c r="T910" s="8">
        <f t="shared" si="11"/>
        <v>0</v>
      </c>
      <c r="V910" s="4">
        <f t="shared" si="12"/>
        <v>0</v>
      </c>
      <c r="W910" s="8">
        <f t="shared" si="13"/>
        <v>37.5</v>
      </c>
      <c r="X910" s="8">
        <f t="shared" si="14"/>
        <v>0</v>
      </c>
      <c r="Y910" s="8">
        <f t="shared" si="15"/>
        <v>608.72</v>
      </c>
    </row>
    <row r="911">
      <c r="A911" s="2">
        <v>904.0</v>
      </c>
      <c r="B911" s="15">
        <f>IFERROR(__xludf.DUMMYFUNCTION("""COMPUTED_VALUE"""),43711.64583333333)</f>
        <v>43711.64583</v>
      </c>
      <c r="C911" s="8">
        <f>IFERROR(__xludf.DUMMYFUNCTION("""COMPUTED_VALUE"""),2089.9)</f>
        <v>2089.9</v>
      </c>
      <c r="E911" s="15">
        <f>IFERROR(__xludf.DUMMYFUNCTION("""COMPUTED_VALUE"""),43711.64583333333)</f>
        <v>43711.64583</v>
      </c>
      <c r="F911" s="8">
        <f>IFERROR(__xludf.DUMMYFUNCTION("""COMPUTED_VALUE"""),1105.47)</f>
        <v>1105.47</v>
      </c>
      <c r="H911" s="4">
        <f t="shared" si="1"/>
        <v>984.43</v>
      </c>
      <c r="I911" s="16">
        <f t="shared" si="2"/>
        <v>1031.924</v>
      </c>
      <c r="J911" s="16">
        <f t="shared" si="3"/>
        <v>32.05454617</v>
      </c>
      <c r="K911" s="16">
        <f t="shared" si="4"/>
        <v>1063.978546</v>
      </c>
      <c r="L911" s="16">
        <f t="shared" si="5"/>
        <v>999.8694538</v>
      </c>
      <c r="N911" s="17" t="str">
        <f t="shared" si="6"/>
        <v>T</v>
      </c>
      <c r="O911" s="17" t="str">
        <f t="shared" si="7"/>
        <v>F</v>
      </c>
      <c r="P911" s="8">
        <f t="shared" si="8"/>
        <v>1</v>
      </c>
      <c r="R911" s="17" t="str">
        <f t="shared" si="9"/>
        <v>F</v>
      </c>
      <c r="S911" s="3" t="str">
        <f t="shared" si="10"/>
        <v>T</v>
      </c>
      <c r="T911" s="8">
        <f t="shared" si="11"/>
        <v>0</v>
      </c>
      <c r="V911" s="4">
        <f t="shared" si="12"/>
        <v>1</v>
      </c>
      <c r="W911" s="8">
        <f t="shared" si="13"/>
        <v>-68.05</v>
      </c>
      <c r="X911" s="8">
        <f t="shared" si="14"/>
        <v>0</v>
      </c>
      <c r="Y911" s="8">
        <f t="shared" si="15"/>
        <v>608.72</v>
      </c>
    </row>
    <row r="912">
      <c r="A912" s="2">
        <v>905.0</v>
      </c>
      <c r="B912" s="15">
        <f>IFERROR(__xludf.DUMMYFUNCTION("""COMPUTED_VALUE"""),43712.64583333333)</f>
        <v>43712.64583</v>
      </c>
      <c r="C912" s="8">
        <f>IFERROR(__xludf.DUMMYFUNCTION("""COMPUTED_VALUE"""),2100.1)</f>
        <v>2100.1</v>
      </c>
      <c r="E912" s="15">
        <f>IFERROR(__xludf.DUMMYFUNCTION("""COMPUTED_VALUE"""),43712.64583333333)</f>
        <v>43712.64583</v>
      </c>
      <c r="F912" s="8">
        <f>IFERROR(__xludf.DUMMYFUNCTION("""COMPUTED_VALUE"""),1123.88)</f>
        <v>1123.88</v>
      </c>
      <c r="H912" s="4">
        <f t="shared" si="1"/>
        <v>976.22</v>
      </c>
      <c r="I912" s="16">
        <f t="shared" si="2"/>
        <v>1018.302</v>
      </c>
      <c r="J912" s="16">
        <f t="shared" si="3"/>
        <v>39.15101557</v>
      </c>
      <c r="K912" s="16">
        <f t="shared" si="4"/>
        <v>1057.453016</v>
      </c>
      <c r="L912" s="16">
        <f t="shared" si="5"/>
        <v>979.1509844</v>
      </c>
      <c r="N912" s="17" t="str">
        <f t="shared" si="6"/>
        <v>T</v>
      </c>
      <c r="O912" s="17" t="str">
        <f t="shared" si="7"/>
        <v>F</v>
      </c>
      <c r="P912" s="8">
        <f t="shared" si="8"/>
        <v>1</v>
      </c>
      <c r="R912" s="17" t="str">
        <f t="shared" si="9"/>
        <v>F</v>
      </c>
      <c r="S912" s="3" t="str">
        <f t="shared" si="10"/>
        <v>T</v>
      </c>
      <c r="T912" s="8">
        <f t="shared" si="11"/>
        <v>0</v>
      </c>
      <c r="V912" s="4">
        <f t="shared" si="12"/>
        <v>1</v>
      </c>
      <c r="W912" s="8">
        <f t="shared" si="13"/>
        <v>-8.21</v>
      </c>
      <c r="X912" s="8">
        <f t="shared" si="14"/>
        <v>-8.21</v>
      </c>
      <c r="Y912" s="8">
        <f t="shared" si="15"/>
        <v>600.51</v>
      </c>
    </row>
    <row r="913">
      <c r="A913" s="2">
        <v>906.0</v>
      </c>
      <c r="B913" s="15">
        <f>IFERROR(__xludf.DUMMYFUNCTION("""COMPUTED_VALUE"""),43713.64583333333)</f>
        <v>43713.64583</v>
      </c>
      <c r="C913" s="8">
        <f>IFERROR(__xludf.DUMMYFUNCTION("""COMPUTED_VALUE"""),2044.15)</f>
        <v>2044.15</v>
      </c>
      <c r="E913" s="15">
        <f>IFERROR(__xludf.DUMMYFUNCTION("""COMPUTED_VALUE"""),43713.64583333333)</f>
        <v>43713.64583</v>
      </c>
      <c r="F913" s="8">
        <f>IFERROR(__xludf.DUMMYFUNCTION("""COMPUTED_VALUE"""),1117.58)</f>
        <v>1117.58</v>
      </c>
      <c r="H913" s="4">
        <f t="shared" si="1"/>
        <v>926.57</v>
      </c>
      <c r="I913" s="16">
        <f t="shared" si="2"/>
        <v>990.936</v>
      </c>
      <c r="J913" s="16">
        <f t="shared" si="3"/>
        <v>46.81786123</v>
      </c>
      <c r="K913" s="16">
        <f t="shared" si="4"/>
        <v>1037.753861</v>
      </c>
      <c r="L913" s="16">
        <f t="shared" si="5"/>
        <v>944.1181388</v>
      </c>
      <c r="N913" s="17" t="str">
        <f t="shared" si="6"/>
        <v>T</v>
      </c>
      <c r="O913" s="17" t="str">
        <f t="shared" si="7"/>
        <v>F</v>
      </c>
      <c r="P913" s="8">
        <f t="shared" si="8"/>
        <v>1</v>
      </c>
      <c r="R913" s="17" t="str">
        <f t="shared" si="9"/>
        <v>F</v>
      </c>
      <c r="S913" s="3" t="str">
        <f t="shared" si="10"/>
        <v>T</v>
      </c>
      <c r="T913" s="8">
        <f t="shared" si="11"/>
        <v>0</v>
      </c>
      <c r="V913" s="4">
        <f t="shared" si="12"/>
        <v>1</v>
      </c>
      <c r="W913" s="8">
        <f t="shared" si="13"/>
        <v>-49.65</v>
      </c>
      <c r="X913" s="8">
        <f t="shared" si="14"/>
        <v>-49.65</v>
      </c>
      <c r="Y913" s="8">
        <f t="shared" si="15"/>
        <v>550.86</v>
      </c>
    </row>
    <row r="914">
      <c r="A914" s="2">
        <v>907.0</v>
      </c>
      <c r="B914" s="15">
        <f>IFERROR(__xludf.DUMMYFUNCTION("""COMPUTED_VALUE"""),43714.64583333333)</f>
        <v>43714.64583</v>
      </c>
      <c r="C914" s="8">
        <f>IFERROR(__xludf.DUMMYFUNCTION("""COMPUTED_VALUE"""),2041.45)</f>
        <v>2041.45</v>
      </c>
      <c r="E914" s="15">
        <f>IFERROR(__xludf.DUMMYFUNCTION("""COMPUTED_VALUE"""),43714.64583333333)</f>
        <v>43714.64583</v>
      </c>
      <c r="F914" s="8">
        <f>IFERROR(__xludf.DUMMYFUNCTION("""COMPUTED_VALUE"""),1122.95)</f>
        <v>1122.95</v>
      </c>
      <c r="H914" s="4">
        <f t="shared" si="1"/>
        <v>918.5</v>
      </c>
      <c r="I914" s="16">
        <f t="shared" si="2"/>
        <v>971.64</v>
      </c>
      <c r="J914" s="16">
        <f t="shared" si="3"/>
        <v>53.79319334</v>
      </c>
      <c r="K914" s="16">
        <f t="shared" si="4"/>
        <v>1025.433193</v>
      </c>
      <c r="L914" s="16">
        <f t="shared" si="5"/>
        <v>917.8468067</v>
      </c>
      <c r="N914" s="17" t="str">
        <f t="shared" si="6"/>
        <v>F</v>
      </c>
      <c r="O914" s="17" t="str">
        <f t="shared" si="7"/>
        <v>F</v>
      </c>
      <c r="P914" s="8">
        <f t="shared" si="8"/>
        <v>1</v>
      </c>
      <c r="R914" s="17" t="str">
        <f t="shared" si="9"/>
        <v>F</v>
      </c>
      <c r="S914" s="3" t="str">
        <f t="shared" si="10"/>
        <v>T</v>
      </c>
      <c r="T914" s="8">
        <f t="shared" si="11"/>
        <v>0</v>
      </c>
      <c r="V914" s="4">
        <f t="shared" si="12"/>
        <v>1</v>
      </c>
      <c r="W914" s="8">
        <f t="shared" si="13"/>
        <v>-8.07</v>
      </c>
      <c r="X914" s="8">
        <f t="shared" si="14"/>
        <v>-8.07</v>
      </c>
      <c r="Y914" s="8">
        <f t="shared" si="15"/>
        <v>542.79</v>
      </c>
    </row>
    <row r="915">
      <c r="A915" s="2">
        <v>908.0</v>
      </c>
      <c r="B915" s="15">
        <f>IFERROR(__xludf.DUMMYFUNCTION("""COMPUTED_VALUE"""),43717.64583333333)</f>
        <v>43717.64583</v>
      </c>
      <c r="C915" s="8">
        <f>IFERROR(__xludf.DUMMYFUNCTION("""COMPUTED_VALUE"""),2064.25)</f>
        <v>2064.25</v>
      </c>
      <c r="E915" s="15">
        <f>IFERROR(__xludf.DUMMYFUNCTION("""COMPUTED_VALUE"""),43717.64583333333)</f>
        <v>43717.64583</v>
      </c>
      <c r="F915" s="8">
        <f>IFERROR(__xludf.DUMMYFUNCTION("""COMPUTED_VALUE"""),1124.8)</f>
        <v>1124.8</v>
      </c>
      <c r="H915" s="4">
        <f t="shared" si="1"/>
        <v>939.45</v>
      </c>
      <c r="I915" s="16">
        <f t="shared" si="2"/>
        <v>949.034</v>
      </c>
      <c r="J915" s="16">
        <f t="shared" si="3"/>
        <v>29.66801695</v>
      </c>
      <c r="K915" s="16">
        <f t="shared" si="4"/>
        <v>978.702017</v>
      </c>
      <c r="L915" s="16">
        <f t="shared" si="5"/>
        <v>919.365983</v>
      </c>
      <c r="N915" s="17" t="str">
        <f t="shared" si="6"/>
        <v>F</v>
      </c>
      <c r="O915" s="17" t="str">
        <f t="shared" si="7"/>
        <v>F</v>
      </c>
      <c r="P915" s="8">
        <f t="shared" si="8"/>
        <v>1</v>
      </c>
      <c r="R915" s="17" t="str">
        <f t="shared" si="9"/>
        <v>F</v>
      </c>
      <c r="S915" s="3" t="str">
        <f t="shared" si="10"/>
        <v>T</v>
      </c>
      <c r="T915" s="8">
        <f t="shared" si="11"/>
        <v>0</v>
      </c>
      <c r="V915" s="4">
        <f t="shared" si="12"/>
        <v>1</v>
      </c>
      <c r="W915" s="8">
        <f t="shared" si="13"/>
        <v>20.95</v>
      </c>
      <c r="X915" s="8">
        <f t="shared" si="14"/>
        <v>20.95</v>
      </c>
      <c r="Y915" s="8">
        <f t="shared" si="15"/>
        <v>563.74</v>
      </c>
    </row>
    <row r="916">
      <c r="A916" s="2">
        <v>909.0</v>
      </c>
      <c r="B916" s="15">
        <f>IFERROR(__xludf.DUMMYFUNCTION("""COMPUTED_VALUE"""),43719.64583333333)</f>
        <v>43719.64583</v>
      </c>
      <c r="C916" s="8">
        <f>IFERROR(__xludf.DUMMYFUNCTION("""COMPUTED_VALUE"""),2071.85)</f>
        <v>2071.85</v>
      </c>
      <c r="E916" s="15">
        <f>IFERROR(__xludf.DUMMYFUNCTION("""COMPUTED_VALUE"""),43719.64583333333)</f>
        <v>43719.64583</v>
      </c>
      <c r="F916" s="8">
        <f>IFERROR(__xludf.DUMMYFUNCTION("""COMPUTED_VALUE"""),1125.65)</f>
        <v>1125.65</v>
      </c>
      <c r="H916" s="4">
        <f t="shared" si="1"/>
        <v>946.2</v>
      </c>
      <c r="I916" s="16">
        <f t="shared" si="2"/>
        <v>941.388</v>
      </c>
      <c r="J916" s="16">
        <f t="shared" si="3"/>
        <v>22.26888569</v>
      </c>
      <c r="K916" s="16">
        <f t="shared" si="4"/>
        <v>963.6568857</v>
      </c>
      <c r="L916" s="16">
        <f t="shared" si="5"/>
        <v>919.1191143</v>
      </c>
      <c r="N916" s="17" t="str">
        <f t="shared" si="6"/>
        <v>F</v>
      </c>
      <c r="O916" s="17" t="str">
        <f t="shared" si="7"/>
        <v>T</v>
      </c>
      <c r="P916" s="8">
        <f t="shared" si="8"/>
        <v>0</v>
      </c>
      <c r="R916" s="17" t="str">
        <f t="shared" si="9"/>
        <v>F</v>
      </c>
      <c r="S916" s="3" t="str">
        <f t="shared" si="10"/>
        <v>F</v>
      </c>
      <c r="T916" s="8">
        <f t="shared" si="11"/>
        <v>0</v>
      </c>
      <c r="V916" s="4">
        <f t="shared" si="12"/>
        <v>0</v>
      </c>
      <c r="W916" s="8">
        <f t="shared" si="13"/>
        <v>6.75</v>
      </c>
      <c r="X916" s="8">
        <f t="shared" si="14"/>
        <v>6.75</v>
      </c>
      <c r="Y916" s="8">
        <f t="shared" si="15"/>
        <v>570.49</v>
      </c>
    </row>
    <row r="917">
      <c r="A917" s="2">
        <v>910.0</v>
      </c>
      <c r="B917" s="15">
        <f>IFERROR(__xludf.DUMMYFUNCTION("""COMPUTED_VALUE"""),43720.64583333333)</f>
        <v>43720.64583</v>
      </c>
      <c r="C917" s="8">
        <f>IFERROR(__xludf.DUMMYFUNCTION("""COMPUTED_VALUE"""),2082.75)</f>
        <v>2082.75</v>
      </c>
      <c r="E917" s="15">
        <f>IFERROR(__xludf.DUMMYFUNCTION("""COMPUTED_VALUE"""),43720.64583333333)</f>
        <v>43720.64583</v>
      </c>
      <c r="F917" s="8">
        <f>IFERROR(__xludf.DUMMYFUNCTION("""COMPUTED_VALUE"""),1135.43)</f>
        <v>1135.43</v>
      </c>
      <c r="H917" s="4">
        <f t="shared" si="1"/>
        <v>947.32</v>
      </c>
      <c r="I917" s="16">
        <f t="shared" si="2"/>
        <v>935.608</v>
      </c>
      <c r="J917" s="16">
        <f t="shared" si="3"/>
        <v>12.63419447</v>
      </c>
      <c r="K917" s="16">
        <f t="shared" si="4"/>
        <v>948.2421945</v>
      </c>
      <c r="L917" s="16">
        <f t="shared" si="5"/>
        <v>922.9738055</v>
      </c>
      <c r="N917" s="17" t="str">
        <f t="shared" si="6"/>
        <v>F</v>
      </c>
      <c r="O917" s="17" t="str">
        <f t="shared" si="7"/>
        <v>T</v>
      </c>
      <c r="P917" s="8">
        <f t="shared" si="8"/>
        <v>0</v>
      </c>
      <c r="R917" s="17" t="str">
        <f t="shared" si="9"/>
        <v>F</v>
      </c>
      <c r="S917" s="3" t="str">
        <f t="shared" si="10"/>
        <v>F</v>
      </c>
      <c r="T917" s="8">
        <f t="shared" si="11"/>
        <v>0</v>
      </c>
      <c r="V917" s="4">
        <f t="shared" si="12"/>
        <v>0</v>
      </c>
      <c r="W917" s="8">
        <f t="shared" si="13"/>
        <v>1.12</v>
      </c>
      <c r="X917" s="8">
        <f t="shared" si="14"/>
        <v>0</v>
      </c>
      <c r="Y917" s="8">
        <f t="shared" si="15"/>
        <v>570.49</v>
      </c>
    </row>
    <row r="918">
      <c r="A918" s="2">
        <v>911.0</v>
      </c>
      <c r="B918" s="15">
        <f>IFERROR(__xludf.DUMMYFUNCTION("""COMPUTED_VALUE"""),43721.64583333333)</f>
        <v>43721.64583</v>
      </c>
      <c r="C918" s="8">
        <f>IFERROR(__xludf.DUMMYFUNCTION("""COMPUTED_VALUE"""),2083.85)</f>
        <v>2083.85</v>
      </c>
      <c r="E918" s="15">
        <f>IFERROR(__xludf.DUMMYFUNCTION("""COMPUTED_VALUE"""),43721.64583333333)</f>
        <v>43721.64583</v>
      </c>
      <c r="F918" s="8">
        <f>IFERROR(__xludf.DUMMYFUNCTION("""COMPUTED_VALUE"""),1128.72)</f>
        <v>1128.72</v>
      </c>
      <c r="H918" s="4">
        <f t="shared" si="1"/>
        <v>955.13</v>
      </c>
      <c r="I918" s="16">
        <f t="shared" si="2"/>
        <v>941.32</v>
      </c>
      <c r="J918" s="16">
        <f t="shared" si="3"/>
        <v>13.91743331</v>
      </c>
      <c r="K918" s="16">
        <f t="shared" si="4"/>
        <v>955.2374333</v>
      </c>
      <c r="L918" s="16">
        <f t="shared" si="5"/>
        <v>927.4025667</v>
      </c>
      <c r="N918" s="17" t="str">
        <f t="shared" si="6"/>
        <v>F</v>
      </c>
      <c r="O918" s="17" t="str">
        <f t="shared" si="7"/>
        <v>T</v>
      </c>
      <c r="P918" s="8">
        <f t="shared" si="8"/>
        <v>0</v>
      </c>
      <c r="R918" s="17" t="str">
        <f t="shared" si="9"/>
        <v>F</v>
      </c>
      <c r="S918" s="3" t="str">
        <f t="shared" si="10"/>
        <v>F</v>
      </c>
      <c r="T918" s="8">
        <f t="shared" si="11"/>
        <v>0</v>
      </c>
      <c r="V918" s="4">
        <f t="shared" si="12"/>
        <v>0</v>
      </c>
      <c r="W918" s="8">
        <f t="shared" si="13"/>
        <v>7.81</v>
      </c>
      <c r="X918" s="8">
        <f t="shared" si="14"/>
        <v>0</v>
      </c>
      <c r="Y918" s="8">
        <f t="shared" si="15"/>
        <v>570.49</v>
      </c>
    </row>
    <row r="919">
      <c r="A919" s="2">
        <v>912.0</v>
      </c>
      <c r="B919" s="15">
        <f>IFERROR(__xludf.DUMMYFUNCTION("""COMPUTED_VALUE"""),43724.64583333333)</f>
        <v>43724.64583</v>
      </c>
      <c r="C919" s="8">
        <f>IFERROR(__xludf.DUMMYFUNCTION("""COMPUTED_VALUE"""),2046.75)</f>
        <v>2046.75</v>
      </c>
      <c r="E919" s="15">
        <f>IFERROR(__xludf.DUMMYFUNCTION("""COMPUTED_VALUE"""),43724.64583333333)</f>
        <v>43724.64583</v>
      </c>
      <c r="F919" s="8">
        <f>IFERROR(__xludf.DUMMYFUNCTION("""COMPUTED_VALUE"""),1122.08)</f>
        <v>1122.08</v>
      </c>
      <c r="H919" s="4">
        <f t="shared" si="1"/>
        <v>924.67</v>
      </c>
      <c r="I919" s="16">
        <f t="shared" si="2"/>
        <v>942.554</v>
      </c>
      <c r="J919" s="16">
        <f t="shared" si="3"/>
        <v>11.44154841</v>
      </c>
      <c r="K919" s="16">
        <f t="shared" si="4"/>
        <v>953.9955484</v>
      </c>
      <c r="L919" s="16">
        <f t="shared" si="5"/>
        <v>931.1124516</v>
      </c>
      <c r="N919" s="17" t="str">
        <f t="shared" si="6"/>
        <v>T</v>
      </c>
      <c r="O919" s="17" t="str">
        <f t="shared" si="7"/>
        <v>F</v>
      </c>
      <c r="P919" s="8">
        <f t="shared" si="8"/>
        <v>1</v>
      </c>
      <c r="R919" s="17" t="str">
        <f t="shared" si="9"/>
        <v>F</v>
      </c>
      <c r="S919" s="3" t="str">
        <f t="shared" si="10"/>
        <v>T</v>
      </c>
      <c r="T919" s="8">
        <f t="shared" si="11"/>
        <v>0</v>
      </c>
      <c r="V919" s="4">
        <f t="shared" si="12"/>
        <v>1</v>
      </c>
      <c r="W919" s="8">
        <f t="shared" si="13"/>
        <v>-30.46</v>
      </c>
      <c r="X919" s="8">
        <f t="shared" si="14"/>
        <v>0</v>
      </c>
      <c r="Y919" s="8">
        <f t="shared" si="15"/>
        <v>570.49</v>
      </c>
    </row>
    <row r="920">
      <c r="A920" s="2">
        <v>913.0</v>
      </c>
      <c r="B920" s="15">
        <f>IFERROR(__xludf.DUMMYFUNCTION("""COMPUTED_VALUE"""),43725.64583333333)</f>
        <v>43725.64583</v>
      </c>
      <c r="C920" s="8">
        <f>IFERROR(__xludf.DUMMYFUNCTION("""COMPUTED_VALUE"""),1996.25)</f>
        <v>1996.25</v>
      </c>
      <c r="E920" s="15">
        <f>IFERROR(__xludf.DUMMYFUNCTION("""COMPUTED_VALUE"""),43725.64583333333)</f>
        <v>43725.64583</v>
      </c>
      <c r="F920" s="8">
        <f>IFERROR(__xludf.DUMMYFUNCTION("""COMPUTED_VALUE"""),1105.68)</f>
        <v>1105.68</v>
      </c>
      <c r="H920" s="4">
        <f t="shared" si="1"/>
        <v>890.57</v>
      </c>
      <c r="I920" s="16">
        <f t="shared" si="2"/>
        <v>932.778</v>
      </c>
      <c r="J920" s="16">
        <f t="shared" si="3"/>
        <v>26.16527604</v>
      </c>
      <c r="K920" s="16">
        <f t="shared" si="4"/>
        <v>958.943276</v>
      </c>
      <c r="L920" s="16">
        <f t="shared" si="5"/>
        <v>906.612724</v>
      </c>
      <c r="N920" s="17" t="str">
        <f t="shared" si="6"/>
        <v>T</v>
      </c>
      <c r="O920" s="17" t="str">
        <f t="shared" si="7"/>
        <v>F</v>
      </c>
      <c r="P920" s="8">
        <f t="shared" si="8"/>
        <v>1</v>
      </c>
      <c r="R920" s="17" t="str">
        <f t="shared" si="9"/>
        <v>F</v>
      </c>
      <c r="S920" s="3" t="str">
        <f t="shared" si="10"/>
        <v>T</v>
      </c>
      <c r="T920" s="8">
        <f t="shared" si="11"/>
        <v>0</v>
      </c>
      <c r="V920" s="4">
        <f t="shared" si="12"/>
        <v>1</v>
      </c>
      <c r="W920" s="8">
        <f t="shared" si="13"/>
        <v>-34.1</v>
      </c>
      <c r="X920" s="8">
        <f t="shared" si="14"/>
        <v>-34.1</v>
      </c>
      <c r="Y920" s="8">
        <f t="shared" si="15"/>
        <v>536.39</v>
      </c>
    </row>
    <row r="921">
      <c r="A921" s="2">
        <v>914.0</v>
      </c>
      <c r="B921" s="15">
        <f>IFERROR(__xludf.DUMMYFUNCTION("""COMPUTED_VALUE"""),43726.64583333333)</f>
        <v>43726.64583</v>
      </c>
      <c r="C921" s="8">
        <f>IFERROR(__xludf.DUMMYFUNCTION("""COMPUTED_VALUE"""),1988.3)</f>
        <v>1988.3</v>
      </c>
      <c r="E921" s="15">
        <f>IFERROR(__xludf.DUMMYFUNCTION("""COMPUTED_VALUE"""),43726.64583333333)</f>
        <v>43726.64583</v>
      </c>
      <c r="F921" s="8">
        <f>IFERROR(__xludf.DUMMYFUNCTION("""COMPUTED_VALUE"""),1093.88)</f>
        <v>1093.88</v>
      </c>
      <c r="H921" s="4">
        <f t="shared" si="1"/>
        <v>894.42</v>
      </c>
      <c r="I921" s="16">
        <f t="shared" si="2"/>
        <v>922.422</v>
      </c>
      <c r="J921" s="16">
        <f t="shared" si="3"/>
        <v>29.55266096</v>
      </c>
      <c r="K921" s="16">
        <f t="shared" si="4"/>
        <v>951.974661</v>
      </c>
      <c r="L921" s="16">
        <f t="shared" si="5"/>
        <v>892.869339</v>
      </c>
      <c r="N921" s="17" t="str">
        <f t="shared" si="6"/>
        <v>F</v>
      </c>
      <c r="O921" s="17" t="str">
        <f t="shared" si="7"/>
        <v>F</v>
      </c>
      <c r="P921" s="8">
        <f t="shared" si="8"/>
        <v>1</v>
      </c>
      <c r="R921" s="17" t="str">
        <f t="shared" si="9"/>
        <v>F</v>
      </c>
      <c r="S921" s="3" t="str">
        <f t="shared" si="10"/>
        <v>T</v>
      </c>
      <c r="T921" s="8">
        <f t="shared" si="11"/>
        <v>0</v>
      </c>
      <c r="V921" s="4">
        <f t="shared" si="12"/>
        <v>1</v>
      </c>
      <c r="W921" s="8">
        <f t="shared" si="13"/>
        <v>3.85</v>
      </c>
      <c r="X921" s="8">
        <f t="shared" si="14"/>
        <v>3.85</v>
      </c>
      <c r="Y921" s="8">
        <f t="shared" si="15"/>
        <v>540.24</v>
      </c>
    </row>
    <row r="922">
      <c r="A922" s="2">
        <v>915.0</v>
      </c>
      <c r="B922" s="15">
        <f>IFERROR(__xludf.DUMMYFUNCTION("""COMPUTED_VALUE"""),43727.64583333333)</f>
        <v>43727.64583</v>
      </c>
      <c r="C922" s="8">
        <f>IFERROR(__xludf.DUMMYFUNCTION("""COMPUTED_VALUE"""),1974.6)</f>
        <v>1974.6</v>
      </c>
      <c r="E922" s="15">
        <f>IFERROR(__xludf.DUMMYFUNCTION("""COMPUTED_VALUE"""),43727.64583333333)</f>
        <v>43727.64583</v>
      </c>
      <c r="F922" s="8">
        <f>IFERROR(__xludf.DUMMYFUNCTION("""COMPUTED_VALUE"""),1101.05)</f>
        <v>1101.05</v>
      </c>
      <c r="H922" s="4">
        <f t="shared" si="1"/>
        <v>873.55</v>
      </c>
      <c r="I922" s="16">
        <f t="shared" si="2"/>
        <v>907.668</v>
      </c>
      <c r="J922" s="16">
        <f t="shared" si="3"/>
        <v>32.30169686</v>
      </c>
      <c r="K922" s="16">
        <f t="shared" si="4"/>
        <v>939.9696969</v>
      </c>
      <c r="L922" s="16">
        <f t="shared" si="5"/>
        <v>875.3663031</v>
      </c>
      <c r="N922" s="17" t="str">
        <f t="shared" si="6"/>
        <v>T</v>
      </c>
      <c r="O922" s="17" t="str">
        <f t="shared" si="7"/>
        <v>F</v>
      </c>
      <c r="P922" s="8">
        <f t="shared" si="8"/>
        <v>1</v>
      </c>
      <c r="R922" s="17" t="str">
        <f t="shared" si="9"/>
        <v>F</v>
      </c>
      <c r="S922" s="3" t="str">
        <f t="shared" si="10"/>
        <v>T</v>
      </c>
      <c r="T922" s="8">
        <f t="shared" si="11"/>
        <v>0</v>
      </c>
      <c r="V922" s="4">
        <f t="shared" si="12"/>
        <v>1</v>
      </c>
      <c r="W922" s="8">
        <f t="shared" si="13"/>
        <v>-20.87</v>
      </c>
      <c r="X922" s="8">
        <f t="shared" si="14"/>
        <v>-20.87</v>
      </c>
      <c r="Y922" s="8">
        <f t="shared" si="15"/>
        <v>519.37</v>
      </c>
    </row>
    <row r="923">
      <c r="A923" s="2">
        <v>916.0</v>
      </c>
      <c r="B923" s="15">
        <f>IFERROR(__xludf.DUMMYFUNCTION("""COMPUTED_VALUE"""),43728.64583333333)</f>
        <v>43728.64583</v>
      </c>
      <c r="C923" s="8">
        <f>IFERROR(__xludf.DUMMYFUNCTION("""COMPUTED_VALUE"""),2049.3)</f>
        <v>2049.3</v>
      </c>
      <c r="E923" s="15">
        <f>IFERROR(__xludf.DUMMYFUNCTION("""COMPUTED_VALUE"""),43728.64583333333)</f>
        <v>43728.64583</v>
      </c>
      <c r="F923" s="8">
        <f>IFERROR(__xludf.DUMMYFUNCTION("""COMPUTED_VALUE"""),1199.6)</f>
        <v>1199.6</v>
      </c>
      <c r="H923" s="4">
        <f t="shared" si="1"/>
        <v>849.7</v>
      </c>
      <c r="I923" s="16">
        <f t="shared" si="2"/>
        <v>886.582</v>
      </c>
      <c r="J923" s="16">
        <f t="shared" si="3"/>
        <v>27.65026709</v>
      </c>
      <c r="K923" s="16">
        <f t="shared" si="4"/>
        <v>914.2322671</v>
      </c>
      <c r="L923" s="16">
        <f t="shared" si="5"/>
        <v>858.9317329</v>
      </c>
      <c r="N923" s="17" t="str">
        <f t="shared" si="6"/>
        <v>T</v>
      </c>
      <c r="O923" s="17" t="str">
        <f t="shared" si="7"/>
        <v>F</v>
      </c>
      <c r="P923" s="8">
        <f t="shared" si="8"/>
        <v>1</v>
      </c>
      <c r="R923" s="17" t="str">
        <f t="shared" si="9"/>
        <v>F</v>
      </c>
      <c r="S923" s="3" t="str">
        <f t="shared" si="10"/>
        <v>T</v>
      </c>
      <c r="T923" s="8">
        <f t="shared" si="11"/>
        <v>0</v>
      </c>
      <c r="V923" s="4">
        <f t="shared" si="12"/>
        <v>1</v>
      </c>
      <c r="W923" s="8">
        <f t="shared" si="13"/>
        <v>-23.85</v>
      </c>
      <c r="X923" s="8">
        <f t="shared" si="14"/>
        <v>-23.85</v>
      </c>
      <c r="Y923" s="8">
        <f t="shared" si="15"/>
        <v>495.52</v>
      </c>
    </row>
    <row r="924">
      <c r="A924" s="2">
        <v>917.0</v>
      </c>
      <c r="B924" s="15">
        <f>IFERROR(__xludf.DUMMYFUNCTION("""COMPUTED_VALUE"""),43731.64583333333)</f>
        <v>43731.64583</v>
      </c>
      <c r="C924" s="8">
        <f>IFERROR(__xludf.DUMMYFUNCTION("""COMPUTED_VALUE"""),2162.0)</f>
        <v>2162</v>
      </c>
      <c r="E924" s="15">
        <f>IFERROR(__xludf.DUMMYFUNCTION("""COMPUTED_VALUE"""),43731.64583333333)</f>
        <v>43731.64583</v>
      </c>
      <c r="F924" s="8">
        <f>IFERROR(__xludf.DUMMYFUNCTION("""COMPUTED_VALUE"""),1257.25)</f>
        <v>1257.25</v>
      </c>
      <c r="H924" s="4">
        <f t="shared" si="1"/>
        <v>904.75</v>
      </c>
      <c r="I924" s="16">
        <f t="shared" si="2"/>
        <v>882.598</v>
      </c>
      <c r="J924" s="16">
        <f t="shared" si="3"/>
        <v>21.55323804</v>
      </c>
      <c r="K924" s="16">
        <f t="shared" si="4"/>
        <v>904.151238</v>
      </c>
      <c r="L924" s="16">
        <f t="shared" si="5"/>
        <v>861.044762</v>
      </c>
      <c r="N924" s="17" t="str">
        <f t="shared" si="6"/>
        <v>F</v>
      </c>
      <c r="O924" s="17" t="str">
        <f t="shared" si="7"/>
        <v>T</v>
      </c>
      <c r="P924" s="8">
        <f t="shared" si="8"/>
        <v>0</v>
      </c>
      <c r="R924" s="17" t="str">
        <f t="shared" si="9"/>
        <v>T</v>
      </c>
      <c r="S924" s="3" t="str">
        <f t="shared" si="10"/>
        <v>F</v>
      </c>
      <c r="T924" s="8">
        <f t="shared" si="11"/>
        <v>-1</v>
      </c>
      <c r="V924" s="4">
        <f t="shared" si="12"/>
        <v>-1</v>
      </c>
      <c r="W924" s="8">
        <f t="shared" si="13"/>
        <v>55.05</v>
      </c>
      <c r="X924" s="8">
        <f t="shared" si="14"/>
        <v>55.05</v>
      </c>
      <c r="Y924" s="8">
        <f t="shared" si="15"/>
        <v>550.57</v>
      </c>
    </row>
    <row r="925">
      <c r="A925" s="2">
        <v>918.0</v>
      </c>
      <c r="B925" s="15">
        <f>IFERROR(__xludf.DUMMYFUNCTION("""COMPUTED_VALUE"""),43732.64583333333)</f>
        <v>43732.64583</v>
      </c>
      <c r="C925" s="8">
        <f>IFERROR(__xludf.DUMMYFUNCTION("""COMPUTED_VALUE"""),2130.0)</f>
        <v>2130</v>
      </c>
      <c r="E925" s="15">
        <f>IFERROR(__xludf.DUMMYFUNCTION("""COMPUTED_VALUE"""),43732.64583333333)</f>
        <v>43732.64583</v>
      </c>
      <c r="F925" s="8">
        <f>IFERROR(__xludf.DUMMYFUNCTION("""COMPUTED_VALUE"""),1253.8)</f>
        <v>1253.8</v>
      </c>
      <c r="H925" s="4">
        <f t="shared" si="1"/>
        <v>876.2</v>
      </c>
      <c r="I925" s="16">
        <f t="shared" si="2"/>
        <v>879.724</v>
      </c>
      <c r="J925" s="16">
        <f t="shared" si="3"/>
        <v>21.1792972</v>
      </c>
      <c r="K925" s="16">
        <f t="shared" si="4"/>
        <v>900.9032972</v>
      </c>
      <c r="L925" s="16">
        <f t="shared" si="5"/>
        <v>858.5447028</v>
      </c>
      <c r="N925" s="17" t="str">
        <f t="shared" si="6"/>
        <v>F</v>
      </c>
      <c r="O925" s="17" t="str">
        <f t="shared" si="7"/>
        <v>F</v>
      </c>
      <c r="P925" s="8">
        <f t="shared" si="8"/>
        <v>0</v>
      </c>
      <c r="R925" s="17" t="str">
        <f t="shared" si="9"/>
        <v>F</v>
      </c>
      <c r="S925" s="3" t="str">
        <f t="shared" si="10"/>
        <v>T</v>
      </c>
      <c r="T925" s="8">
        <f t="shared" si="11"/>
        <v>0</v>
      </c>
      <c r="V925" s="4">
        <f t="shared" si="12"/>
        <v>0</v>
      </c>
      <c r="W925" s="8">
        <f t="shared" si="13"/>
        <v>-28.55</v>
      </c>
      <c r="X925" s="8">
        <f t="shared" si="14"/>
        <v>28.55</v>
      </c>
      <c r="Y925" s="8">
        <f t="shared" si="15"/>
        <v>579.12</v>
      </c>
    </row>
    <row r="926">
      <c r="A926" s="2">
        <v>919.0</v>
      </c>
      <c r="B926" s="15">
        <f>IFERROR(__xludf.DUMMYFUNCTION("""COMPUTED_VALUE"""),43733.64583333333)</f>
        <v>43733.64583</v>
      </c>
      <c r="C926" s="8">
        <f>IFERROR(__xludf.DUMMYFUNCTION("""COMPUTED_VALUE"""),2069.95)</f>
        <v>2069.95</v>
      </c>
      <c r="E926" s="15">
        <f>IFERROR(__xludf.DUMMYFUNCTION("""COMPUTED_VALUE"""),43733.64583333333)</f>
        <v>43733.64583</v>
      </c>
      <c r="F926" s="8">
        <f>IFERROR(__xludf.DUMMYFUNCTION("""COMPUTED_VALUE"""),1239.7)</f>
        <v>1239.7</v>
      </c>
      <c r="H926" s="4">
        <f t="shared" si="1"/>
        <v>830.25</v>
      </c>
      <c r="I926" s="16">
        <f t="shared" si="2"/>
        <v>866.89</v>
      </c>
      <c r="J926" s="16">
        <f t="shared" si="3"/>
        <v>28.29486261</v>
      </c>
      <c r="K926" s="16">
        <f t="shared" si="4"/>
        <v>895.1848626</v>
      </c>
      <c r="L926" s="16">
        <f t="shared" si="5"/>
        <v>838.5951374</v>
      </c>
      <c r="N926" s="17" t="str">
        <f t="shared" si="6"/>
        <v>T</v>
      </c>
      <c r="O926" s="17" t="str">
        <f t="shared" si="7"/>
        <v>F</v>
      </c>
      <c r="P926" s="8">
        <f t="shared" si="8"/>
        <v>1</v>
      </c>
      <c r="R926" s="17" t="str">
        <f t="shared" si="9"/>
        <v>F</v>
      </c>
      <c r="S926" s="3" t="str">
        <f t="shared" si="10"/>
        <v>T</v>
      </c>
      <c r="T926" s="8">
        <f t="shared" si="11"/>
        <v>0</v>
      </c>
      <c r="V926" s="4">
        <f t="shared" si="12"/>
        <v>1</v>
      </c>
      <c r="W926" s="8">
        <f t="shared" si="13"/>
        <v>-45.95</v>
      </c>
      <c r="X926" s="8">
        <f t="shared" si="14"/>
        <v>0</v>
      </c>
      <c r="Y926" s="8">
        <f t="shared" si="15"/>
        <v>579.12</v>
      </c>
    </row>
    <row r="927">
      <c r="A927" s="2">
        <v>920.0</v>
      </c>
      <c r="B927" s="15">
        <f>IFERROR(__xludf.DUMMYFUNCTION("""COMPUTED_VALUE"""),43734.64583333333)</f>
        <v>43734.64583</v>
      </c>
      <c r="C927" s="8">
        <f>IFERROR(__xludf.DUMMYFUNCTION("""COMPUTED_VALUE"""),2063.2)</f>
        <v>2063.2</v>
      </c>
      <c r="E927" s="15">
        <f>IFERROR(__xludf.DUMMYFUNCTION("""COMPUTED_VALUE"""),43734.64583333333)</f>
        <v>43734.64583</v>
      </c>
      <c r="F927" s="8">
        <f>IFERROR(__xludf.DUMMYFUNCTION("""COMPUTED_VALUE"""),1242.5)</f>
        <v>1242.5</v>
      </c>
      <c r="H927" s="4">
        <f t="shared" si="1"/>
        <v>820.7</v>
      </c>
      <c r="I927" s="16">
        <f t="shared" si="2"/>
        <v>856.32</v>
      </c>
      <c r="J927" s="16">
        <f t="shared" si="3"/>
        <v>34.39815765</v>
      </c>
      <c r="K927" s="16">
        <f t="shared" si="4"/>
        <v>890.7181577</v>
      </c>
      <c r="L927" s="16">
        <f t="shared" si="5"/>
        <v>821.9218423</v>
      </c>
      <c r="N927" s="17" t="str">
        <f t="shared" si="6"/>
        <v>T</v>
      </c>
      <c r="O927" s="17" t="str">
        <f t="shared" si="7"/>
        <v>F</v>
      </c>
      <c r="P927" s="8">
        <f t="shared" si="8"/>
        <v>1</v>
      </c>
      <c r="R927" s="17" t="str">
        <f t="shared" si="9"/>
        <v>F</v>
      </c>
      <c r="S927" s="3" t="str">
        <f t="shared" si="10"/>
        <v>T</v>
      </c>
      <c r="T927" s="8">
        <f t="shared" si="11"/>
        <v>0</v>
      </c>
      <c r="V927" s="4">
        <f t="shared" si="12"/>
        <v>1</v>
      </c>
      <c r="W927" s="8">
        <f t="shared" si="13"/>
        <v>-9.55</v>
      </c>
      <c r="X927" s="8">
        <f t="shared" si="14"/>
        <v>-9.55</v>
      </c>
      <c r="Y927" s="8">
        <f t="shared" si="15"/>
        <v>569.57</v>
      </c>
    </row>
    <row r="928">
      <c r="A928" s="2">
        <v>921.0</v>
      </c>
      <c r="B928" s="15">
        <f>IFERROR(__xludf.DUMMYFUNCTION("""COMPUTED_VALUE"""),43735.64583333333)</f>
        <v>43735.64583</v>
      </c>
      <c r="C928" s="8">
        <f>IFERROR(__xludf.DUMMYFUNCTION("""COMPUTED_VALUE"""),2035.9)</f>
        <v>2035.9</v>
      </c>
      <c r="E928" s="15">
        <f>IFERROR(__xludf.DUMMYFUNCTION("""COMPUTED_VALUE"""),43735.64583333333)</f>
        <v>43735.64583</v>
      </c>
      <c r="F928" s="8">
        <f>IFERROR(__xludf.DUMMYFUNCTION("""COMPUTED_VALUE"""),1244.2)</f>
        <v>1244.2</v>
      </c>
      <c r="H928" s="4">
        <f t="shared" si="1"/>
        <v>791.7</v>
      </c>
      <c r="I928" s="16">
        <f t="shared" si="2"/>
        <v>844.72</v>
      </c>
      <c r="J928" s="16">
        <f t="shared" si="3"/>
        <v>45.25498039</v>
      </c>
      <c r="K928" s="16">
        <f t="shared" si="4"/>
        <v>889.9749804</v>
      </c>
      <c r="L928" s="16">
        <f t="shared" si="5"/>
        <v>799.4650196</v>
      </c>
      <c r="N928" s="17" t="str">
        <f t="shared" si="6"/>
        <v>T</v>
      </c>
      <c r="O928" s="17" t="str">
        <f t="shared" si="7"/>
        <v>F</v>
      </c>
      <c r="P928" s="8">
        <f t="shared" si="8"/>
        <v>1</v>
      </c>
      <c r="R928" s="17" t="str">
        <f t="shared" si="9"/>
        <v>F</v>
      </c>
      <c r="S928" s="3" t="str">
        <f t="shared" si="10"/>
        <v>T</v>
      </c>
      <c r="T928" s="8">
        <f t="shared" si="11"/>
        <v>0</v>
      </c>
      <c r="V928" s="4">
        <f t="shared" si="12"/>
        <v>1</v>
      </c>
      <c r="W928" s="8">
        <f t="shared" si="13"/>
        <v>-29</v>
      </c>
      <c r="X928" s="8">
        <f t="shared" si="14"/>
        <v>-29</v>
      </c>
      <c r="Y928" s="8">
        <f t="shared" si="15"/>
        <v>540.57</v>
      </c>
    </row>
    <row r="929">
      <c r="A929" s="2">
        <v>922.0</v>
      </c>
      <c r="B929" s="15">
        <f>IFERROR(__xludf.DUMMYFUNCTION("""COMPUTED_VALUE"""),43738.64583333333)</f>
        <v>43738.64583</v>
      </c>
      <c r="C929" s="8">
        <f>IFERROR(__xludf.DUMMYFUNCTION("""COMPUTED_VALUE"""),1977.05)</f>
        <v>1977.05</v>
      </c>
      <c r="E929" s="15">
        <f>IFERROR(__xludf.DUMMYFUNCTION("""COMPUTED_VALUE"""),43738.64583333333)</f>
        <v>43738.64583</v>
      </c>
      <c r="F929" s="8">
        <f>IFERROR(__xludf.DUMMYFUNCTION("""COMPUTED_VALUE"""),1227.45)</f>
        <v>1227.45</v>
      </c>
      <c r="H929" s="4">
        <f t="shared" si="1"/>
        <v>749.6</v>
      </c>
      <c r="I929" s="16">
        <f t="shared" si="2"/>
        <v>813.69</v>
      </c>
      <c r="J929" s="16">
        <f t="shared" si="3"/>
        <v>46.96265005</v>
      </c>
      <c r="K929" s="16">
        <f t="shared" si="4"/>
        <v>860.6526501</v>
      </c>
      <c r="L929" s="16">
        <f t="shared" si="5"/>
        <v>766.7273499</v>
      </c>
      <c r="N929" s="17" t="str">
        <f t="shared" si="6"/>
        <v>T</v>
      </c>
      <c r="O929" s="17" t="str">
        <f t="shared" si="7"/>
        <v>F</v>
      </c>
      <c r="P929" s="8">
        <f t="shared" si="8"/>
        <v>1</v>
      </c>
      <c r="R929" s="17" t="str">
        <f t="shared" si="9"/>
        <v>F</v>
      </c>
      <c r="S929" s="3" t="str">
        <f t="shared" si="10"/>
        <v>T</v>
      </c>
      <c r="T929" s="8">
        <f t="shared" si="11"/>
        <v>0</v>
      </c>
      <c r="V929" s="4">
        <f t="shared" si="12"/>
        <v>1</v>
      </c>
      <c r="W929" s="8">
        <f t="shared" si="13"/>
        <v>-42.1</v>
      </c>
      <c r="X929" s="8">
        <f t="shared" si="14"/>
        <v>-42.1</v>
      </c>
      <c r="Y929" s="8">
        <f t="shared" si="15"/>
        <v>498.47</v>
      </c>
    </row>
    <row r="930">
      <c r="A930" s="2">
        <v>923.0</v>
      </c>
      <c r="B930" s="15">
        <f>IFERROR(__xludf.DUMMYFUNCTION("""COMPUTED_VALUE"""),43739.64583333333)</f>
        <v>43739.64583</v>
      </c>
      <c r="C930" s="8">
        <f>IFERROR(__xludf.DUMMYFUNCTION("""COMPUTED_VALUE"""),1995.65)</f>
        <v>1995.65</v>
      </c>
      <c r="E930" s="15">
        <f>IFERROR(__xludf.DUMMYFUNCTION("""COMPUTED_VALUE"""),43739.64583333333)</f>
        <v>43739.64583</v>
      </c>
      <c r="F930" s="8">
        <f>IFERROR(__xludf.DUMMYFUNCTION("""COMPUTED_VALUE"""),1248.8)</f>
        <v>1248.8</v>
      </c>
      <c r="H930" s="4">
        <f t="shared" si="1"/>
        <v>746.85</v>
      </c>
      <c r="I930" s="16">
        <f t="shared" si="2"/>
        <v>787.82</v>
      </c>
      <c r="J930" s="16">
        <f t="shared" si="3"/>
        <v>38.84508656</v>
      </c>
      <c r="K930" s="16">
        <f t="shared" si="4"/>
        <v>826.6650866</v>
      </c>
      <c r="L930" s="16">
        <f t="shared" si="5"/>
        <v>748.9749134</v>
      </c>
      <c r="N930" s="17" t="str">
        <f t="shared" si="6"/>
        <v>T</v>
      </c>
      <c r="O930" s="17" t="str">
        <f t="shared" si="7"/>
        <v>F</v>
      </c>
      <c r="P930" s="8">
        <f t="shared" si="8"/>
        <v>1</v>
      </c>
      <c r="R930" s="17" t="str">
        <f t="shared" si="9"/>
        <v>F</v>
      </c>
      <c r="S930" s="3" t="str">
        <f t="shared" si="10"/>
        <v>T</v>
      </c>
      <c r="T930" s="8">
        <f t="shared" si="11"/>
        <v>0</v>
      </c>
      <c r="V930" s="4">
        <f t="shared" si="12"/>
        <v>1</v>
      </c>
      <c r="W930" s="8">
        <f t="shared" si="13"/>
        <v>-2.75</v>
      </c>
      <c r="X930" s="8">
        <f t="shared" si="14"/>
        <v>-2.75</v>
      </c>
      <c r="Y930" s="8">
        <f t="shared" si="15"/>
        <v>495.72</v>
      </c>
    </row>
    <row r="931">
      <c r="A931" s="2">
        <v>924.0</v>
      </c>
      <c r="B931" s="15">
        <f>IFERROR(__xludf.DUMMYFUNCTION("""COMPUTED_VALUE"""),43741.64583333333)</f>
        <v>43741.64583</v>
      </c>
      <c r="C931" s="8">
        <f>IFERROR(__xludf.DUMMYFUNCTION("""COMPUTED_VALUE"""),1974.55)</f>
        <v>1974.55</v>
      </c>
      <c r="E931" s="15">
        <f>IFERROR(__xludf.DUMMYFUNCTION("""COMPUTED_VALUE"""),43741.64583333333)</f>
        <v>43741.64583</v>
      </c>
      <c r="F931" s="8">
        <f>IFERROR(__xludf.DUMMYFUNCTION("""COMPUTED_VALUE"""),1223.55)</f>
        <v>1223.55</v>
      </c>
      <c r="H931" s="4">
        <f t="shared" si="1"/>
        <v>751</v>
      </c>
      <c r="I931" s="16">
        <f t="shared" si="2"/>
        <v>771.97</v>
      </c>
      <c r="J931" s="16">
        <f t="shared" si="3"/>
        <v>32.92057867</v>
      </c>
      <c r="K931" s="16">
        <f t="shared" si="4"/>
        <v>804.8905787</v>
      </c>
      <c r="L931" s="16">
        <f t="shared" si="5"/>
        <v>739.0494213</v>
      </c>
      <c r="N931" s="17" t="str">
        <f t="shared" si="6"/>
        <v>F</v>
      </c>
      <c r="O931" s="17" t="str">
        <f t="shared" si="7"/>
        <v>F</v>
      </c>
      <c r="P931" s="8">
        <f t="shared" si="8"/>
        <v>1</v>
      </c>
      <c r="R931" s="17" t="str">
        <f t="shared" si="9"/>
        <v>F</v>
      </c>
      <c r="S931" s="3" t="str">
        <f t="shared" si="10"/>
        <v>T</v>
      </c>
      <c r="T931" s="8">
        <f t="shared" si="11"/>
        <v>0</v>
      </c>
      <c r="V931" s="4">
        <f t="shared" si="12"/>
        <v>1</v>
      </c>
      <c r="W931" s="8">
        <f t="shared" si="13"/>
        <v>4.15</v>
      </c>
      <c r="X931" s="8">
        <f t="shared" si="14"/>
        <v>4.15</v>
      </c>
      <c r="Y931" s="8">
        <f t="shared" si="15"/>
        <v>499.87</v>
      </c>
    </row>
    <row r="932">
      <c r="A932" s="2">
        <v>925.0</v>
      </c>
      <c r="B932" s="15">
        <f>IFERROR(__xludf.DUMMYFUNCTION("""COMPUTED_VALUE"""),43742.64583333333)</f>
        <v>43742.64583</v>
      </c>
      <c r="C932" s="8">
        <f>IFERROR(__xludf.DUMMYFUNCTION("""COMPUTED_VALUE"""),1978.3)</f>
        <v>1978.3</v>
      </c>
      <c r="E932" s="15">
        <f>IFERROR(__xludf.DUMMYFUNCTION("""COMPUTED_VALUE"""),43742.64583333333)</f>
        <v>43742.64583</v>
      </c>
      <c r="F932" s="8">
        <f>IFERROR(__xludf.DUMMYFUNCTION("""COMPUTED_VALUE"""),1189.7)</f>
        <v>1189.7</v>
      </c>
      <c r="H932" s="4">
        <f t="shared" si="1"/>
        <v>788.6</v>
      </c>
      <c r="I932" s="16">
        <f t="shared" si="2"/>
        <v>765.55</v>
      </c>
      <c r="J932" s="16">
        <f t="shared" si="3"/>
        <v>22.53286489</v>
      </c>
      <c r="K932" s="16">
        <f t="shared" si="4"/>
        <v>788.0828649</v>
      </c>
      <c r="L932" s="16">
        <f t="shared" si="5"/>
        <v>743.0171351</v>
      </c>
      <c r="N932" s="17" t="str">
        <f t="shared" si="6"/>
        <v>F</v>
      </c>
      <c r="O932" s="17" t="str">
        <f t="shared" si="7"/>
        <v>T</v>
      </c>
      <c r="P932" s="8">
        <f t="shared" si="8"/>
        <v>0</v>
      </c>
      <c r="R932" s="17" t="str">
        <f t="shared" si="9"/>
        <v>T</v>
      </c>
      <c r="S932" s="3" t="str">
        <f t="shared" si="10"/>
        <v>F</v>
      </c>
      <c r="T932" s="8">
        <f t="shared" si="11"/>
        <v>-1</v>
      </c>
      <c r="V932" s="4">
        <f t="shared" si="12"/>
        <v>-1</v>
      </c>
      <c r="W932" s="8">
        <f t="shared" si="13"/>
        <v>37.6</v>
      </c>
      <c r="X932" s="8">
        <f t="shared" si="14"/>
        <v>37.6</v>
      </c>
      <c r="Y932" s="8">
        <f t="shared" si="15"/>
        <v>537.47</v>
      </c>
    </row>
    <row r="933">
      <c r="A933" s="2">
        <v>926.0</v>
      </c>
      <c r="B933" s="15">
        <f>IFERROR(__xludf.DUMMYFUNCTION("""COMPUTED_VALUE"""),43745.64583333333)</f>
        <v>43745.64583</v>
      </c>
      <c r="C933" s="8">
        <f>IFERROR(__xludf.DUMMYFUNCTION("""COMPUTED_VALUE"""),1969.3)</f>
        <v>1969.3</v>
      </c>
      <c r="E933" s="15">
        <f>IFERROR(__xludf.DUMMYFUNCTION("""COMPUTED_VALUE"""),43745.64583333333)</f>
        <v>43745.64583</v>
      </c>
      <c r="F933" s="8">
        <f>IFERROR(__xludf.DUMMYFUNCTION("""COMPUTED_VALUE"""),1186.9)</f>
        <v>1186.9</v>
      </c>
      <c r="H933" s="4">
        <f t="shared" si="1"/>
        <v>782.4</v>
      </c>
      <c r="I933" s="16">
        <f t="shared" si="2"/>
        <v>763.69</v>
      </c>
      <c r="J933" s="16">
        <f t="shared" si="3"/>
        <v>20.0855794</v>
      </c>
      <c r="K933" s="16">
        <f t="shared" si="4"/>
        <v>783.7755794</v>
      </c>
      <c r="L933" s="16">
        <f t="shared" si="5"/>
        <v>743.6044206</v>
      </c>
      <c r="N933" s="17" t="str">
        <f t="shared" si="6"/>
        <v>F</v>
      </c>
      <c r="O933" s="17" t="str">
        <f t="shared" si="7"/>
        <v>T</v>
      </c>
      <c r="P933" s="8">
        <f t="shared" si="8"/>
        <v>0</v>
      </c>
      <c r="R933" s="17" t="str">
        <f t="shared" si="9"/>
        <v>F</v>
      </c>
      <c r="S933" s="3" t="str">
        <f t="shared" si="10"/>
        <v>F</v>
      </c>
      <c r="T933" s="8">
        <f t="shared" si="11"/>
        <v>-1</v>
      </c>
      <c r="V933" s="4">
        <f t="shared" si="12"/>
        <v>-1</v>
      </c>
      <c r="W933" s="8">
        <f t="shared" si="13"/>
        <v>-6.2</v>
      </c>
      <c r="X933" s="8">
        <f t="shared" si="14"/>
        <v>6.2</v>
      </c>
      <c r="Y933" s="8">
        <f t="shared" si="15"/>
        <v>543.67</v>
      </c>
    </row>
    <row r="934">
      <c r="A934" s="2">
        <v>927.0</v>
      </c>
      <c r="B934" s="15">
        <f>IFERROR(__xludf.DUMMYFUNCTION("""COMPUTED_VALUE"""),43747.64583333333)</f>
        <v>43747.64583</v>
      </c>
      <c r="C934" s="8">
        <f>IFERROR(__xludf.DUMMYFUNCTION("""COMPUTED_VALUE"""),2002.0)</f>
        <v>2002</v>
      </c>
      <c r="E934" s="15">
        <f>IFERROR(__xludf.DUMMYFUNCTION("""COMPUTED_VALUE"""),43747.64583333333)</f>
        <v>43747.64583</v>
      </c>
      <c r="F934" s="8">
        <f>IFERROR(__xludf.DUMMYFUNCTION("""COMPUTED_VALUE"""),1228.15)</f>
        <v>1228.15</v>
      </c>
      <c r="H934" s="4">
        <f t="shared" si="1"/>
        <v>773.85</v>
      </c>
      <c r="I934" s="16">
        <f t="shared" si="2"/>
        <v>768.54</v>
      </c>
      <c r="J934" s="16">
        <f t="shared" si="3"/>
        <v>18.71367815</v>
      </c>
      <c r="K934" s="16">
        <f t="shared" si="4"/>
        <v>787.2536782</v>
      </c>
      <c r="L934" s="16">
        <f t="shared" si="5"/>
        <v>749.8263218</v>
      </c>
      <c r="N934" s="17" t="str">
        <f t="shared" si="6"/>
        <v>F</v>
      </c>
      <c r="O934" s="17" t="str">
        <f t="shared" si="7"/>
        <v>T</v>
      </c>
      <c r="P934" s="8">
        <f t="shared" si="8"/>
        <v>0</v>
      </c>
      <c r="R934" s="17" t="str">
        <f t="shared" si="9"/>
        <v>F</v>
      </c>
      <c r="S934" s="3" t="str">
        <f t="shared" si="10"/>
        <v>F</v>
      </c>
      <c r="T934" s="8">
        <f t="shared" si="11"/>
        <v>-1</v>
      </c>
      <c r="V934" s="4">
        <f t="shared" si="12"/>
        <v>-1</v>
      </c>
      <c r="W934" s="8">
        <f t="shared" si="13"/>
        <v>-8.55</v>
      </c>
      <c r="X934" s="8">
        <f t="shared" si="14"/>
        <v>8.55</v>
      </c>
      <c r="Y934" s="8">
        <f t="shared" si="15"/>
        <v>552.22</v>
      </c>
    </row>
    <row r="935">
      <c r="A935" s="2">
        <v>928.0</v>
      </c>
      <c r="B935" s="15">
        <f>IFERROR(__xludf.DUMMYFUNCTION("""COMPUTED_VALUE"""),43748.64583333333)</f>
        <v>43748.64583</v>
      </c>
      <c r="C935" s="8">
        <f>IFERROR(__xludf.DUMMYFUNCTION("""COMPUTED_VALUE"""),1987.95)</f>
        <v>1987.95</v>
      </c>
      <c r="E935" s="15">
        <f>IFERROR(__xludf.DUMMYFUNCTION("""COMPUTED_VALUE"""),43748.64583333333)</f>
        <v>43748.64583</v>
      </c>
      <c r="F935" s="8">
        <f>IFERROR(__xludf.DUMMYFUNCTION("""COMPUTED_VALUE"""),1200.55)</f>
        <v>1200.55</v>
      </c>
      <c r="H935" s="4">
        <f t="shared" si="1"/>
        <v>787.4</v>
      </c>
      <c r="I935" s="16">
        <f t="shared" si="2"/>
        <v>776.65</v>
      </c>
      <c r="J935" s="16">
        <f t="shared" si="3"/>
        <v>15.46924368</v>
      </c>
      <c r="K935" s="16">
        <f t="shared" si="4"/>
        <v>792.1192437</v>
      </c>
      <c r="L935" s="16">
        <f t="shared" si="5"/>
        <v>761.1807563</v>
      </c>
      <c r="N935" s="17" t="str">
        <f t="shared" si="6"/>
        <v>F</v>
      </c>
      <c r="O935" s="17" t="str">
        <f t="shared" si="7"/>
        <v>T</v>
      </c>
      <c r="P935" s="8">
        <f t="shared" si="8"/>
        <v>0</v>
      </c>
      <c r="R935" s="17" t="str">
        <f t="shared" si="9"/>
        <v>F</v>
      </c>
      <c r="S935" s="3" t="str">
        <f t="shared" si="10"/>
        <v>F</v>
      </c>
      <c r="T935" s="8">
        <f t="shared" si="11"/>
        <v>-1</v>
      </c>
      <c r="V935" s="4">
        <f t="shared" si="12"/>
        <v>-1</v>
      </c>
      <c r="W935" s="8">
        <f t="shared" si="13"/>
        <v>13.55</v>
      </c>
      <c r="X935" s="8">
        <f t="shared" si="14"/>
        <v>-13.55</v>
      </c>
      <c r="Y935" s="8">
        <f t="shared" si="15"/>
        <v>538.67</v>
      </c>
    </row>
    <row r="936">
      <c r="A936" s="2">
        <v>929.0</v>
      </c>
      <c r="B936" s="15">
        <f>IFERROR(__xludf.DUMMYFUNCTION("""COMPUTED_VALUE"""),43749.64583333333)</f>
        <v>43749.64583</v>
      </c>
      <c r="C936" s="8">
        <f>IFERROR(__xludf.DUMMYFUNCTION("""COMPUTED_VALUE"""),2010.15)</f>
        <v>2010.15</v>
      </c>
      <c r="E936" s="15">
        <f>IFERROR(__xludf.DUMMYFUNCTION("""COMPUTED_VALUE"""),43749.64583333333)</f>
        <v>43749.64583</v>
      </c>
      <c r="F936" s="8">
        <f>IFERROR(__xludf.DUMMYFUNCTION("""COMPUTED_VALUE"""),1198.8)</f>
        <v>1198.8</v>
      </c>
      <c r="H936" s="4">
        <f t="shared" si="1"/>
        <v>811.35</v>
      </c>
      <c r="I936" s="16">
        <f t="shared" si="2"/>
        <v>788.72</v>
      </c>
      <c r="J936" s="16">
        <f t="shared" si="3"/>
        <v>13.91880922</v>
      </c>
      <c r="K936" s="16">
        <f t="shared" si="4"/>
        <v>802.6388092</v>
      </c>
      <c r="L936" s="16">
        <f t="shared" si="5"/>
        <v>774.8011908</v>
      </c>
      <c r="N936" s="17" t="str">
        <f t="shared" si="6"/>
        <v>F</v>
      </c>
      <c r="O936" s="17" t="str">
        <f t="shared" si="7"/>
        <v>T</v>
      </c>
      <c r="P936" s="8">
        <f t="shared" si="8"/>
        <v>0</v>
      </c>
      <c r="R936" s="17" t="str">
        <f t="shared" si="9"/>
        <v>T</v>
      </c>
      <c r="S936" s="3" t="str">
        <f t="shared" si="10"/>
        <v>F</v>
      </c>
      <c r="T936" s="8">
        <f t="shared" si="11"/>
        <v>-1</v>
      </c>
      <c r="V936" s="4">
        <f t="shared" si="12"/>
        <v>-1</v>
      </c>
      <c r="W936" s="8">
        <f t="shared" si="13"/>
        <v>23.95</v>
      </c>
      <c r="X936" s="8">
        <f t="shared" si="14"/>
        <v>-23.95</v>
      </c>
      <c r="Y936" s="8">
        <f t="shared" si="15"/>
        <v>514.72</v>
      </c>
    </row>
    <row r="937">
      <c r="A937" s="2">
        <v>930.0</v>
      </c>
      <c r="B937" s="15">
        <f>IFERROR(__xludf.DUMMYFUNCTION("""COMPUTED_VALUE"""),43752.64583333333)</f>
        <v>43752.64583</v>
      </c>
      <c r="C937" s="8">
        <f>IFERROR(__xludf.DUMMYFUNCTION("""COMPUTED_VALUE"""),2014.75)</f>
        <v>2014.75</v>
      </c>
      <c r="E937" s="15">
        <f>IFERROR(__xludf.DUMMYFUNCTION("""COMPUTED_VALUE"""),43752.64583333333)</f>
        <v>43752.64583</v>
      </c>
      <c r="F937" s="8">
        <f>IFERROR(__xludf.DUMMYFUNCTION("""COMPUTED_VALUE"""),1204.4)</f>
        <v>1204.4</v>
      </c>
      <c r="H937" s="4">
        <f t="shared" si="1"/>
        <v>810.35</v>
      </c>
      <c r="I937" s="16">
        <f t="shared" si="2"/>
        <v>793.07</v>
      </c>
      <c r="J937" s="16">
        <f t="shared" si="3"/>
        <v>16.942277</v>
      </c>
      <c r="K937" s="16">
        <f t="shared" si="4"/>
        <v>810.012277</v>
      </c>
      <c r="L937" s="16">
        <f t="shared" si="5"/>
        <v>776.127723</v>
      </c>
      <c r="N937" s="17" t="str">
        <f t="shared" si="6"/>
        <v>F</v>
      </c>
      <c r="O937" s="17" t="str">
        <f t="shared" si="7"/>
        <v>T</v>
      </c>
      <c r="P937" s="8">
        <f t="shared" si="8"/>
        <v>0</v>
      </c>
      <c r="R937" s="17" t="str">
        <f t="shared" si="9"/>
        <v>T</v>
      </c>
      <c r="S937" s="3" t="str">
        <f t="shared" si="10"/>
        <v>F</v>
      </c>
      <c r="T937" s="8">
        <f t="shared" si="11"/>
        <v>-1</v>
      </c>
      <c r="V937" s="4">
        <f t="shared" si="12"/>
        <v>-1</v>
      </c>
      <c r="W937" s="8">
        <f t="shared" si="13"/>
        <v>-1</v>
      </c>
      <c r="X937" s="8">
        <f t="shared" si="14"/>
        <v>1</v>
      </c>
      <c r="Y937" s="8">
        <f t="shared" si="15"/>
        <v>515.72</v>
      </c>
    </row>
    <row r="938">
      <c r="A938" s="2">
        <v>931.0</v>
      </c>
      <c r="B938" s="15">
        <f>IFERROR(__xludf.DUMMYFUNCTION("""COMPUTED_VALUE"""),43753.64583333333)</f>
        <v>43753.64583</v>
      </c>
      <c r="C938" s="8">
        <f>IFERROR(__xludf.DUMMYFUNCTION("""COMPUTED_VALUE"""),2013.3)</f>
        <v>2013.3</v>
      </c>
      <c r="E938" s="15">
        <f>IFERROR(__xludf.DUMMYFUNCTION("""COMPUTED_VALUE"""),43753.64583333333)</f>
        <v>43753.64583</v>
      </c>
      <c r="F938" s="8">
        <f>IFERROR(__xludf.DUMMYFUNCTION("""COMPUTED_VALUE"""),1223.05)</f>
        <v>1223.05</v>
      </c>
      <c r="H938" s="4">
        <f t="shared" si="1"/>
        <v>790.25</v>
      </c>
      <c r="I938" s="16">
        <f t="shared" si="2"/>
        <v>794.64</v>
      </c>
      <c r="J938" s="16">
        <f t="shared" si="3"/>
        <v>16.04635473</v>
      </c>
      <c r="K938" s="16">
        <f t="shared" si="4"/>
        <v>810.6863547</v>
      </c>
      <c r="L938" s="16">
        <f t="shared" si="5"/>
        <v>778.5936453</v>
      </c>
      <c r="N938" s="17" t="str">
        <f t="shared" si="6"/>
        <v>F</v>
      </c>
      <c r="O938" s="17" t="str">
        <f t="shared" si="7"/>
        <v>F</v>
      </c>
      <c r="P938" s="8">
        <f t="shared" si="8"/>
        <v>0</v>
      </c>
      <c r="R938" s="17" t="str">
        <f t="shared" si="9"/>
        <v>F</v>
      </c>
      <c r="S938" s="3" t="str">
        <f t="shared" si="10"/>
        <v>T</v>
      </c>
      <c r="T938" s="8">
        <f t="shared" si="11"/>
        <v>0</v>
      </c>
      <c r="V938" s="4">
        <f t="shared" si="12"/>
        <v>0</v>
      </c>
      <c r="W938" s="8">
        <f t="shared" si="13"/>
        <v>-20.1</v>
      </c>
      <c r="X938" s="8">
        <f t="shared" si="14"/>
        <v>20.1</v>
      </c>
      <c r="Y938" s="8">
        <f t="shared" si="15"/>
        <v>535.82</v>
      </c>
    </row>
    <row r="939">
      <c r="A939" s="2">
        <v>932.0</v>
      </c>
      <c r="B939" s="15">
        <f>IFERROR(__xludf.DUMMYFUNCTION("""COMPUTED_VALUE"""),43754.64583333333)</f>
        <v>43754.64583</v>
      </c>
      <c r="C939" s="8">
        <f>IFERROR(__xludf.DUMMYFUNCTION("""COMPUTED_VALUE"""),2048.7)</f>
        <v>2048.7</v>
      </c>
      <c r="E939" s="15">
        <f>IFERROR(__xludf.DUMMYFUNCTION("""COMPUTED_VALUE"""),43754.64583333333)</f>
        <v>43754.64583</v>
      </c>
      <c r="F939" s="8">
        <f>IFERROR(__xludf.DUMMYFUNCTION("""COMPUTED_VALUE"""),1221.1)</f>
        <v>1221.1</v>
      </c>
      <c r="H939" s="4">
        <f t="shared" si="1"/>
        <v>827.6</v>
      </c>
      <c r="I939" s="16">
        <f t="shared" si="2"/>
        <v>805.39</v>
      </c>
      <c r="J939" s="16">
        <f t="shared" si="3"/>
        <v>16.63029615</v>
      </c>
      <c r="K939" s="16">
        <f t="shared" si="4"/>
        <v>822.0202961</v>
      </c>
      <c r="L939" s="16">
        <f t="shared" si="5"/>
        <v>788.7597039</v>
      </c>
      <c r="N939" s="17" t="str">
        <f t="shared" si="6"/>
        <v>F</v>
      </c>
      <c r="O939" s="17" t="str">
        <f t="shared" si="7"/>
        <v>T</v>
      </c>
      <c r="P939" s="8">
        <f t="shared" si="8"/>
        <v>0</v>
      </c>
      <c r="R939" s="17" t="str">
        <f t="shared" si="9"/>
        <v>T</v>
      </c>
      <c r="S939" s="3" t="str">
        <f t="shared" si="10"/>
        <v>F</v>
      </c>
      <c r="T939" s="8">
        <f t="shared" si="11"/>
        <v>-1</v>
      </c>
      <c r="V939" s="4">
        <f t="shared" si="12"/>
        <v>-1</v>
      </c>
      <c r="W939" s="8">
        <f t="shared" si="13"/>
        <v>37.35</v>
      </c>
      <c r="X939" s="8">
        <f t="shared" si="14"/>
        <v>0</v>
      </c>
      <c r="Y939" s="8">
        <f t="shared" si="15"/>
        <v>535.82</v>
      </c>
    </row>
    <row r="940">
      <c r="A940" s="2">
        <v>933.0</v>
      </c>
      <c r="B940" s="15">
        <f>IFERROR(__xludf.DUMMYFUNCTION("""COMPUTED_VALUE"""),43755.64583333333)</f>
        <v>43755.64583</v>
      </c>
      <c r="C940" s="8">
        <f>IFERROR(__xludf.DUMMYFUNCTION("""COMPUTED_VALUE"""),2089.75)</f>
        <v>2089.75</v>
      </c>
      <c r="E940" s="15">
        <f>IFERROR(__xludf.DUMMYFUNCTION("""COMPUTED_VALUE"""),43755.64583333333)</f>
        <v>43755.64583</v>
      </c>
      <c r="F940" s="8">
        <f>IFERROR(__xludf.DUMMYFUNCTION("""COMPUTED_VALUE"""),1220.0)</f>
        <v>1220</v>
      </c>
      <c r="H940" s="4">
        <f t="shared" si="1"/>
        <v>869.75</v>
      </c>
      <c r="I940" s="16">
        <f t="shared" si="2"/>
        <v>821.86</v>
      </c>
      <c r="J940" s="16">
        <f t="shared" si="3"/>
        <v>29.86859555</v>
      </c>
      <c r="K940" s="16">
        <f t="shared" si="4"/>
        <v>851.7285955</v>
      </c>
      <c r="L940" s="16">
        <f t="shared" si="5"/>
        <v>791.9914045</v>
      </c>
      <c r="N940" s="17" t="str">
        <f t="shared" si="6"/>
        <v>F</v>
      </c>
      <c r="O940" s="17" t="str">
        <f t="shared" si="7"/>
        <v>T</v>
      </c>
      <c r="P940" s="8">
        <f t="shared" si="8"/>
        <v>0</v>
      </c>
      <c r="R940" s="17" t="str">
        <f t="shared" si="9"/>
        <v>T</v>
      </c>
      <c r="S940" s="3" t="str">
        <f t="shared" si="10"/>
        <v>F</v>
      </c>
      <c r="T940" s="8">
        <f t="shared" si="11"/>
        <v>-1</v>
      </c>
      <c r="V940" s="4">
        <f t="shared" si="12"/>
        <v>-1</v>
      </c>
      <c r="W940" s="8">
        <f t="shared" si="13"/>
        <v>42.15</v>
      </c>
      <c r="X940" s="8">
        <f t="shared" si="14"/>
        <v>-42.15</v>
      </c>
      <c r="Y940" s="8">
        <f t="shared" si="15"/>
        <v>493.67</v>
      </c>
    </row>
    <row r="941">
      <c r="A941" s="2">
        <v>934.0</v>
      </c>
      <c r="B941" s="15">
        <f>IFERROR(__xludf.DUMMYFUNCTION("""COMPUTED_VALUE"""),43756.64583333333)</f>
        <v>43756.64583</v>
      </c>
      <c r="C941" s="8">
        <f>IFERROR(__xludf.DUMMYFUNCTION("""COMPUTED_VALUE"""),2094.45)</f>
        <v>2094.45</v>
      </c>
      <c r="E941" s="15">
        <f>IFERROR(__xludf.DUMMYFUNCTION("""COMPUTED_VALUE"""),43756.64583333333)</f>
        <v>43756.64583</v>
      </c>
      <c r="F941" s="8">
        <f>IFERROR(__xludf.DUMMYFUNCTION("""COMPUTED_VALUE"""),1229.0)</f>
        <v>1229</v>
      </c>
      <c r="H941" s="4">
        <f t="shared" si="1"/>
        <v>865.45</v>
      </c>
      <c r="I941" s="16">
        <f t="shared" si="2"/>
        <v>832.68</v>
      </c>
      <c r="J941" s="16">
        <f t="shared" si="3"/>
        <v>34.54271993</v>
      </c>
      <c r="K941" s="16">
        <f t="shared" si="4"/>
        <v>867.2227199</v>
      </c>
      <c r="L941" s="16">
        <f t="shared" si="5"/>
        <v>798.1372801</v>
      </c>
      <c r="N941" s="17" t="str">
        <f t="shared" si="6"/>
        <v>F</v>
      </c>
      <c r="O941" s="17" t="str">
        <f t="shared" si="7"/>
        <v>T</v>
      </c>
      <c r="P941" s="8">
        <f t="shared" si="8"/>
        <v>0</v>
      </c>
      <c r="R941" s="17" t="str">
        <f t="shared" si="9"/>
        <v>F</v>
      </c>
      <c r="S941" s="3" t="str">
        <f t="shared" si="10"/>
        <v>F</v>
      </c>
      <c r="T941" s="8">
        <f t="shared" si="11"/>
        <v>-1</v>
      </c>
      <c r="V941" s="4">
        <f t="shared" si="12"/>
        <v>-1</v>
      </c>
      <c r="W941" s="8">
        <f t="shared" si="13"/>
        <v>-4.3</v>
      </c>
      <c r="X941" s="8">
        <f t="shared" si="14"/>
        <v>4.3</v>
      </c>
      <c r="Y941" s="8">
        <f t="shared" si="15"/>
        <v>497.97</v>
      </c>
    </row>
    <row r="942">
      <c r="A942" s="2">
        <v>935.0</v>
      </c>
      <c r="B942" s="15">
        <f>IFERROR(__xludf.DUMMYFUNCTION("""COMPUTED_VALUE"""),43760.64583333333)</f>
        <v>43760.64583</v>
      </c>
      <c r="C942" s="8">
        <f>IFERROR(__xludf.DUMMYFUNCTION("""COMPUTED_VALUE"""),2114.9)</f>
        <v>2114.9</v>
      </c>
      <c r="E942" s="15">
        <f>IFERROR(__xludf.DUMMYFUNCTION("""COMPUTED_VALUE"""),43760.64583333333)</f>
        <v>43760.64583</v>
      </c>
      <c r="F942" s="8">
        <f>IFERROR(__xludf.DUMMYFUNCTION("""COMPUTED_VALUE"""),1239.3)</f>
        <v>1239.3</v>
      </c>
      <c r="H942" s="4">
        <f t="shared" si="1"/>
        <v>875.6</v>
      </c>
      <c r="I942" s="16">
        <f t="shared" si="2"/>
        <v>845.73</v>
      </c>
      <c r="J942" s="16">
        <f t="shared" si="3"/>
        <v>36.27941221</v>
      </c>
      <c r="K942" s="16">
        <f t="shared" si="4"/>
        <v>882.0094122</v>
      </c>
      <c r="L942" s="16">
        <f t="shared" si="5"/>
        <v>809.4505878</v>
      </c>
      <c r="N942" s="17" t="str">
        <f t="shared" si="6"/>
        <v>F</v>
      </c>
      <c r="O942" s="17" t="str">
        <f t="shared" si="7"/>
        <v>T</v>
      </c>
      <c r="P942" s="8">
        <f t="shared" si="8"/>
        <v>0</v>
      </c>
      <c r="R942" s="17" t="str">
        <f t="shared" si="9"/>
        <v>F</v>
      </c>
      <c r="S942" s="3" t="str">
        <f t="shared" si="10"/>
        <v>F</v>
      </c>
      <c r="T942" s="8">
        <f t="shared" si="11"/>
        <v>-1</v>
      </c>
      <c r="V942" s="4">
        <f t="shared" si="12"/>
        <v>-1</v>
      </c>
      <c r="W942" s="8">
        <f t="shared" si="13"/>
        <v>10.15</v>
      </c>
      <c r="X942" s="8">
        <f t="shared" si="14"/>
        <v>-10.15</v>
      </c>
      <c r="Y942" s="8">
        <f t="shared" si="15"/>
        <v>487.82</v>
      </c>
    </row>
    <row r="943">
      <c r="A943" s="2">
        <v>936.0</v>
      </c>
      <c r="B943" s="15">
        <f>IFERROR(__xludf.DUMMYFUNCTION("""COMPUTED_VALUE"""),43761.64583333333)</f>
        <v>43761.64583</v>
      </c>
      <c r="C943" s="8">
        <f>IFERROR(__xludf.DUMMYFUNCTION("""COMPUTED_VALUE"""),2142.95)</f>
        <v>2142.95</v>
      </c>
      <c r="E943" s="15">
        <f>IFERROR(__xludf.DUMMYFUNCTION("""COMPUTED_VALUE"""),43761.64583333333)</f>
        <v>43761.64583</v>
      </c>
      <c r="F943" s="8">
        <f>IFERROR(__xludf.DUMMYFUNCTION("""COMPUTED_VALUE"""),1241.6)</f>
        <v>1241.6</v>
      </c>
      <c r="H943" s="4">
        <f t="shared" si="1"/>
        <v>901.35</v>
      </c>
      <c r="I943" s="16">
        <f t="shared" si="2"/>
        <v>867.95</v>
      </c>
      <c r="J943" s="16">
        <f t="shared" si="3"/>
        <v>26.51270922</v>
      </c>
      <c r="K943" s="16">
        <f t="shared" si="4"/>
        <v>894.4627092</v>
      </c>
      <c r="L943" s="16">
        <f t="shared" si="5"/>
        <v>841.4372908</v>
      </c>
      <c r="N943" s="17" t="str">
        <f t="shared" si="6"/>
        <v>F</v>
      </c>
      <c r="O943" s="17" t="str">
        <f t="shared" si="7"/>
        <v>T</v>
      </c>
      <c r="P943" s="8">
        <f t="shared" si="8"/>
        <v>0</v>
      </c>
      <c r="R943" s="17" t="str">
        <f t="shared" si="9"/>
        <v>T</v>
      </c>
      <c r="S943" s="3" t="str">
        <f t="shared" si="10"/>
        <v>F</v>
      </c>
      <c r="T943" s="8">
        <f t="shared" si="11"/>
        <v>-1</v>
      </c>
      <c r="V943" s="4">
        <f t="shared" si="12"/>
        <v>-1</v>
      </c>
      <c r="W943" s="8">
        <f t="shared" si="13"/>
        <v>25.75</v>
      </c>
      <c r="X943" s="8">
        <f t="shared" si="14"/>
        <v>-25.75</v>
      </c>
      <c r="Y943" s="8">
        <f t="shared" si="15"/>
        <v>462.07</v>
      </c>
    </row>
    <row r="944">
      <c r="A944" s="2">
        <v>937.0</v>
      </c>
      <c r="B944" s="15">
        <f>IFERROR(__xludf.DUMMYFUNCTION("""COMPUTED_VALUE"""),43762.64583333333)</f>
        <v>43762.64583</v>
      </c>
      <c r="C944" s="8">
        <f>IFERROR(__xludf.DUMMYFUNCTION("""COMPUTED_VALUE"""),2144.95)</f>
        <v>2144.95</v>
      </c>
      <c r="E944" s="15">
        <f>IFERROR(__xludf.DUMMYFUNCTION("""COMPUTED_VALUE"""),43762.64583333333)</f>
        <v>43762.64583</v>
      </c>
      <c r="F944" s="8">
        <f>IFERROR(__xludf.DUMMYFUNCTION("""COMPUTED_VALUE"""),1236.1)</f>
        <v>1236.1</v>
      </c>
      <c r="H944" s="4">
        <f t="shared" si="1"/>
        <v>908.85</v>
      </c>
      <c r="I944" s="16">
        <f t="shared" si="2"/>
        <v>884.2</v>
      </c>
      <c r="J944" s="16">
        <f t="shared" si="3"/>
        <v>19.59636446</v>
      </c>
      <c r="K944" s="16">
        <f t="shared" si="4"/>
        <v>903.7963645</v>
      </c>
      <c r="L944" s="16">
        <f t="shared" si="5"/>
        <v>864.6036355</v>
      </c>
      <c r="N944" s="17" t="str">
        <f t="shared" si="6"/>
        <v>F</v>
      </c>
      <c r="O944" s="17" t="str">
        <f t="shared" si="7"/>
        <v>T</v>
      </c>
      <c r="P944" s="8">
        <f t="shared" si="8"/>
        <v>0</v>
      </c>
      <c r="R944" s="17" t="str">
        <f t="shared" si="9"/>
        <v>T</v>
      </c>
      <c r="S944" s="3" t="str">
        <f t="shared" si="10"/>
        <v>F</v>
      </c>
      <c r="T944" s="8">
        <f t="shared" si="11"/>
        <v>-1</v>
      </c>
      <c r="V944" s="4">
        <f t="shared" si="12"/>
        <v>-1</v>
      </c>
      <c r="W944" s="8">
        <f t="shared" si="13"/>
        <v>7.5</v>
      </c>
      <c r="X944" s="8">
        <f t="shared" si="14"/>
        <v>-7.5</v>
      </c>
      <c r="Y944" s="8">
        <f t="shared" si="15"/>
        <v>454.57</v>
      </c>
    </row>
    <row r="945">
      <c r="A945" s="2">
        <v>938.0</v>
      </c>
      <c r="B945" s="15">
        <f>IFERROR(__xludf.DUMMYFUNCTION("""COMPUTED_VALUE"""),43763.79166666667)</f>
        <v>43763.79167</v>
      </c>
      <c r="C945" s="8">
        <f>IFERROR(__xludf.DUMMYFUNCTION("""COMPUTED_VALUE"""),2101.55)</f>
        <v>2101.55</v>
      </c>
      <c r="E945" s="15">
        <f>IFERROR(__xludf.DUMMYFUNCTION("""COMPUTED_VALUE"""),43763.79166666667)</f>
        <v>43763.79167</v>
      </c>
      <c r="F945" s="8">
        <f>IFERROR(__xludf.DUMMYFUNCTION("""COMPUTED_VALUE"""),1229.0)</f>
        <v>1229</v>
      </c>
      <c r="H945" s="4">
        <f t="shared" si="1"/>
        <v>872.55</v>
      </c>
      <c r="I945" s="16">
        <f t="shared" si="2"/>
        <v>884.76</v>
      </c>
      <c r="J945" s="16">
        <f t="shared" si="3"/>
        <v>19.11427477</v>
      </c>
      <c r="K945" s="16">
        <f t="shared" si="4"/>
        <v>903.8742748</v>
      </c>
      <c r="L945" s="16">
        <f t="shared" si="5"/>
        <v>865.6457252</v>
      </c>
      <c r="N945" s="17" t="str">
        <f t="shared" si="6"/>
        <v>F</v>
      </c>
      <c r="O945" s="17" t="str">
        <f t="shared" si="7"/>
        <v>F</v>
      </c>
      <c r="P945" s="8">
        <f t="shared" si="8"/>
        <v>0</v>
      </c>
      <c r="R945" s="17" t="str">
        <f t="shared" si="9"/>
        <v>F</v>
      </c>
      <c r="S945" s="3" t="str">
        <f t="shared" si="10"/>
        <v>T</v>
      </c>
      <c r="T945" s="8">
        <f t="shared" si="11"/>
        <v>0</v>
      </c>
      <c r="V945" s="4">
        <f t="shared" si="12"/>
        <v>0</v>
      </c>
      <c r="W945" s="8">
        <f t="shared" si="13"/>
        <v>-36.3</v>
      </c>
      <c r="X945" s="8">
        <f t="shared" si="14"/>
        <v>36.3</v>
      </c>
      <c r="Y945" s="8">
        <f t="shared" si="15"/>
        <v>490.87</v>
      </c>
    </row>
    <row r="946">
      <c r="A946" s="2">
        <v>939.0</v>
      </c>
      <c r="B946" s="15">
        <f>IFERROR(__xludf.DUMMYFUNCTION("""COMPUTED_VALUE"""),43765.80902777778)</f>
        <v>43765.80903</v>
      </c>
      <c r="C946" s="8">
        <f>IFERROR(__xludf.DUMMYFUNCTION("""COMPUTED_VALUE"""),2103.9)</f>
        <v>2103.9</v>
      </c>
      <c r="E946" s="15">
        <f>IFERROR(__xludf.DUMMYFUNCTION("""COMPUTED_VALUE"""),43765.80902777778)</f>
        <v>43765.80903</v>
      </c>
      <c r="F946" s="8">
        <f>IFERROR(__xludf.DUMMYFUNCTION("""COMPUTED_VALUE"""),1238.0)</f>
        <v>1238</v>
      </c>
      <c r="H946" s="4">
        <f t="shared" si="1"/>
        <v>865.9</v>
      </c>
      <c r="I946" s="16">
        <f t="shared" si="2"/>
        <v>884.85</v>
      </c>
      <c r="J946" s="16">
        <f t="shared" si="3"/>
        <v>19.00134864</v>
      </c>
      <c r="K946" s="16">
        <f t="shared" si="4"/>
        <v>903.8513486</v>
      </c>
      <c r="L946" s="16">
        <f t="shared" si="5"/>
        <v>865.8486514</v>
      </c>
      <c r="N946" s="17" t="str">
        <f t="shared" si="6"/>
        <v>F</v>
      </c>
      <c r="O946" s="17" t="str">
        <f t="shared" si="7"/>
        <v>F</v>
      </c>
      <c r="P946" s="8">
        <f t="shared" si="8"/>
        <v>0</v>
      </c>
      <c r="R946" s="17" t="str">
        <f t="shared" si="9"/>
        <v>F</v>
      </c>
      <c r="S946" s="3" t="str">
        <f t="shared" si="10"/>
        <v>T</v>
      </c>
      <c r="T946" s="8">
        <f t="shared" si="11"/>
        <v>0</v>
      </c>
      <c r="V946" s="4">
        <f t="shared" si="12"/>
        <v>0</v>
      </c>
      <c r="W946" s="8">
        <f t="shared" si="13"/>
        <v>-6.65</v>
      </c>
      <c r="X946" s="8">
        <f t="shared" si="14"/>
        <v>0</v>
      </c>
      <c r="Y946" s="8">
        <f t="shared" si="15"/>
        <v>490.87</v>
      </c>
    </row>
    <row r="947">
      <c r="A947" s="2">
        <v>940.0</v>
      </c>
      <c r="B947" s="15">
        <f>IFERROR(__xludf.DUMMYFUNCTION("""COMPUTED_VALUE"""),43767.64583333333)</f>
        <v>43767.64583</v>
      </c>
      <c r="C947" s="8">
        <f>IFERROR(__xludf.DUMMYFUNCTION("""COMPUTED_VALUE"""),2113.05)</f>
        <v>2113.05</v>
      </c>
      <c r="E947" s="15">
        <f>IFERROR(__xludf.DUMMYFUNCTION("""COMPUTED_VALUE"""),43767.64583333333)</f>
        <v>43767.64583</v>
      </c>
      <c r="F947" s="8">
        <f>IFERROR(__xludf.DUMMYFUNCTION("""COMPUTED_VALUE"""),1242.5)</f>
        <v>1242.5</v>
      </c>
      <c r="H947" s="4">
        <f t="shared" si="1"/>
        <v>870.55</v>
      </c>
      <c r="I947" s="16">
        <f t="shared" si="2"/>
        <v>883.84</v>
      </c>
      <c r="J947" s="16">
        <f t="shared" si="3"/>
        <v>19.73595703</v>
      </c>
      <c r="K947" s="16">
        <f t="shared" si="4"/>
        <v>903.575957</v>
      </c>
      <c r="L947" s="16">
        <f t="shared" si="5"/>
        <v>864.104043</v>
      </c>
      <c r="N947" s="17" t="str">
        <f t="shared" si="6"/>
        <v>F</v>
      </c>
      <c r="O947" s="17" t="str">
        <f t="shared" si="7"/>
        <v>F</v>
      </c>
      <c r="P947" s="8">
        <f t="shared" si="8"/>
        <v>0</v>
      </c>
      <c r="R947" s="17" t="str">
        <f t="shared" si="9"/>
        <v>F</v>
      </c>
      <c r="S947" s="3" t="str">
        <f t="shared" si="10"/>
        <v>T</v>
      </c>
      <c r="T947" s="8">
        <f t="shared" si="11"/>
        <v>0</v>
      </c>
      <c r="V947" s="4">
        <f t="shared" si="12"/>
        <v>0</v>
      </c>
      <c r="W947" s="8">
        <f t="shared" si="13"/>
        <v>4.65</v>
      </c>
      <c r="X947" s="8">
        <f t="shared" si="14"/>
        <v>0</v>
      </c>
      <c r="Y947" s="8">
        <f t="shared" si="15"/>
        <v>490.87</v>
      </c>
    </row>
    <row r="948">
      <c r="A948" s="2">
        <v>941.0</v>
      </c>
      <c r="B948" s="15">
        <f>IFERROR(__xludf.DUMMYFUNCTION("""COMPUTED_VALUE"""),43768.64583333333)</f>
        <v>43768.64583</v>
      </c>
      <c r="C948" s="8">
        <f>IFERROR(__xludf.DUMMYFUNCTION("""COMPUTED_VALUE"""),2107.45)</f>
        <v>2107.45</v>
      </c>
      <c r="E948" s="15">
        <f>IFERROR(__xludf.DUMMYFUNCTION("""COMPUTED_VALUE"""),43768.64583333333)</f>
        <v>43768.64583</v>
      </c>
      <c r="F948" s="8">
        <f>IFERROR(__xludf.DUMMYFUNCTION("""COMPUTED_VALUE"""),1248.35)</f>
        <v>1248.35</v>
      </c>
      <c r="H948" s="4">
        <f t="shared" si="1"/>
        <v>859.1</v>
      </c>
      <c r="I948" s="16">
        <f t="shared" si="2"/>
        <v>875.39</v>
      </c>
      <c r="J948" s="16">
        <f t="shared" si="3"/>
        <v>19.40674496</v>
      </c>
      <c r="K948" s="16">
        <f t="shared" si="4"/>
        <v>894.796745</v>
      </c>
      <c r="L948" s="16">
        <f t="shared" si="5"/>
        <v>855.983255</v>
      </c>
      <c r="N948" s="17" t="str">
        <f t="shared" si="6"/>
        <v>F</v>
      </c>
      <c r="O948" s="17" t="str">
        <f t="shared" si="7"/>
        <v>F</v>
      </c>
      <c r="P948" s="8">
        <f t="shared" si="8"/>
        <v>0</v>
      </c>
      <c r="R948" s="17" t="str">
        <f t="shared" si="9"/>
        <v>F</v>
      </c>
      <c r="S948" s="3" t="str">
        <f t="shared" si="10"/>
        <v>T</v>
      </c>
      <c r="T948" s="8">
        <f t="shared" si="11"/>
        <v>0</v>
      </c>
      <c r="V948" s="4">
        <f t="shared" si="12"/>
        <v>0</v>
      </c>
      <c r="W948" s="8">
        <f t="shared" si="13"/>
        <v>-11.45</v>
      </c>
      <c r="X948" s="8">
        <f t="shared" si="14"/>
        <v>0</v>
      </c>
      <c r="Y948" s="8">
        <f t="shared" si="15"/>
        <v>490.87</v>
      </c>
    </row>
    <row r="949">
      <c r="A949" s="2">
        <v>942.0</v>
      </c>
      <c r="B949" s="15">
        <f>IFERROR(__xludf.DUMMYFUNCTION("""COMPUTED_VALUE"""),43769.64583333333)</f>
        <v>43769.64583</v>
      </c>
      <c r="C949" s="8">
        <f>IFERROR(__xludf.DUMMYFUNCTION("""COMPUTED_VALUE"""),2131.9)</f>
        <v>2131.9</v>
      </c>
      <c r="E949" s="15">
        <f>IFERROR(__xludf.DUMMYFUNCTION("""COMPUTED_VALUE"""),43769.64583333333)</f>
        <v>43769.64583</v>
      </c>
      <c r="F949" s="8">
        <f>IFERROR(__xludf.DUMMYFUNCTION("""COMPUTED_VALUE"""),1230.35)</f>
        <v>1230.35</v>
      </c>
      <c r="H949" s="4">
        <f t="shared" si="1"/>
        <v>901.55</v>
      </c>
      <c r="I949" s="16">
        <f t="shared" si="2"/>
        <v>873.93</v>
      </c>
      <c r="J949" s="16">
        <f t="shared" si="3"/>
        <v>16.28345019</v>
      </c>
      <c r="K949" s="16">
        <f t="shared" si="4"/>
        <v>890.2134502</v>
      </c>
      <c r="L949" s="16">
        <f t="shared" si="5"/>
        <v>857.6465498</v>
      </c>
      <c r="N949" s="17" t="str">
        <f t="shared" si="6"/>
        <v>F</v>
      </c>
      <c r="O949" s="17" t="str">
        <f t="shared" si="7"/>
        <v>T</v>
      </c>
      <c r="P949" s="8">
        <f t="shared" si="8"/>
        <v>0</v>
      </c>
      <c r="R949" s="17" t="str">
        <f t="shared" si="9"/>
        <v>T</v>
      </c>
      <c r="S949" s="3" t="str">
        <f t="shared" si="10"/>
        <v>F</v>
      </c>
      <c r="T949" s="8">
        <f t="shared" si="11"/>
        <v>-1</v>
      </c>
      <c r="V949" s="4">
        <f t="shared" si="12"/>
        <v>-1</v>
      </c>
      <c r="W949" s="8">
        <f t="shared" si="13"/>
        <v>42.45</v>
      </c>
      <c r="X949" s="8">
        <f t="shared" si="14"/>
        <v>0</v>
      </c>
      <c r="Y949" s="8">
        <f t="shared" si="15"/>
        <v>490.87</v>
      </c>
    </row>
    <row r="950">
      <c r="A950" s="2">
        <v>943.0</v>
      </c>
      <c r="B950" s="15">
        <f>IFERROR(__xludf.DUMMYFUNCTION("""COMPUTED_VALUE"""),43770.64583333333)</f>
        <v>43770.64583</v>
      </c>
      <c r="C950" s="8">
        <f>IFERROR(__xludf.DUMMYFUNCTION("""COMPUTED_VALUE"""),2128.6)</f>
        <v>2128.6</v>
      </c>
      <c r="E950" s="15">
        <f>IFERROR(__xludf.DUMMYFUNCTION("""COMPUTED_VALUE"""),43770.64583333333)</f>
        <v>43770.64583</v>
      </c>
      <c r="F950" s="8">
        <f>IFERROR(__xludf.DUMMYFUNCTION("""COMPUTED_VALUE"""),1240.05)</f>
        <v>1240.05</v>
      </c>
      <c r="H950" s="4">
        <f t="shared" si="1"/>
        <v>888.55</v>
      </c>
      <c r="I950" s="16">
        <f t="shared" si="2"/>
        <v>877.13</v>
      </c>
      <c r="J950" s="16">
        <f t="shared" si="3"/>
        <v>17.47314368</v>
      </c>
      <c r="K950" s="16">
        <f t="shared" si="4"/>
        <v>894.6031437</v>
      </c>
      <c r="L950" s="16">
        <f t="shared" si="5"/>
        <v>859.6568563</v>
      </c>
      <c r="N950" s="17" t="str">
        <f t="shared" si="6"/>
        <v>F</v>
      </c>
      <c r="O950" s="17" t="str">
        <f t="shared" si="7"/>
        <v>T</v>
      </c>
      <c r="P950" s="8">
        <f t="shared" si="8"/>
        <v>0</v>
      </c>
      <c r="R950" s="17" t="str">
        <f t="shared" si="9"/>
        <v>F</v>
      </c>
      <c r="S950" s="3" t="str">
        <f t="shared" si="10"/>
        <v>F</v>
      </c>
      <c r="T950" s="8">
        <f t="shared" si="11"/>
        <v>-1</v>
      </c>
      <c r="V950" s="4">
        <f t="shared" si="12"/>
        <v>-1</v>
      </c>
      <c r="W950" s="8">
        <f t="shared" si="13"/>
        <v>-13</v>
      </c>
      <c r="X950" s="8">
        <f t="shared" si="14"/>
        <v>13</v>
      </c>
      <c r="Y950" s="8">
        <f t="shared" si="15"/>
        <v>503.87</v>
      </c>
    </row>
    <row r="951">
      <c r="A951" s="2">
        <v>944.0</v>
      </c>
      <c r="B951" s="15">
        <f>IFERROR(__xludf.DUMMYFUNCTION("""COMPUTED_VALUE"""),43773.64583333333)</f>
        <v>43773.64583</v>
      </c>
      <c r="C951" s="8">
        <f>IFERROR(__xludf.DUMMYFUNCTION("""COMPUTED_VALUE"""),2181.3)</f>
        <v>2181.3</v>
      </c>
      <c r="E951" s="15">
        <f>IFERROR(__xludf.DUMMYFUNCTION("""COMPUTED_VALUE"""),43773.64583333333)</f>
        <v>43773.64583</v>
      </c>
      <c r="F951" s="8">
        <f>IFERROR(__xludf.DUMMYFUNCTION("""COMPUTED_VALUE"""),1236.85)</f>
        <v>1236.85</v>
      </c>
      <c r="H951" s="4">
        <f t="shared" si="1"/>
        <v>944.45</v>
      </c>
      <c r="I951" s="16">
        <f t="shared" si="2"/>
        <v>892.84</v>
      </c>
      <c r="J951" s="16">
        <f t="shared" si="3"/>
        <v>33.14020217</v>
      </c>
      <c r="K951" s="16">
        <f t="shared" si="4"/>
        <v>925.9802022</v>
      </c>
      <c r="L951" s="16">
        <f t="shared" si="5"/>
        <v>859.6997978</v>
      </c>
      <c r="N951" s="17" t="str">
        <f t="shared" si="6"/>
        <v>F</v>
      </c>
      <c r="O951" s="17" t="str">
        <f t="shared" si="7"/>
        <v>T</v>
      </c>
      <c r="P951" s="8">
        <f t="shared" si="8"/>
        <v>0</v>
      </c>
      <c r="R951" s="17" t="str">
        <f t="shared" si="9"/>
        <v>T</v>
      </c>
      <c r="S951" s="3" t="str">
        <f t="shared" si="10"/>
        <v>F</v>
      </c>
      <c r="T951" s="8">
        <f t="shared" si="11"/>
        <v>-1</v>
      </c>
      <c r="V951" s="4">
        <f t="shared" si="12"/>
        <v>-1</v>
      </c>
      <c r="W951" s="8">
        <f t="shared" si="13"/>
        <v>55.9</v>
      </c>
      <c r="X951" s="8">
        <f t="shared" si="14"/>
        <v>-55.9</v>
      </c>
      <c r="Y951" s="8">
        <f t="shared" si="15"/>
        <v>447.97</v>
      </c>
    </row>
    <row r="952">
      <c r="A952" s="2">
        <v>945.0</v>
      </c>
      <c r="B952" s="15">
        <f>IFERROR(__xludf.DUMMYFUNCTION("""COMPUTED_VALUE"""),43774.64583333333)</f>
        <v>43774.64583</v>
      </c>
      <c r="C952" s="8">
        <f>IFERROR(__xludf.DUMMYFUNCTION("""COMPUTED_VALUE"""),2181.3)</f>
        <v>2181.3</v>
      </c>
      <c r="E952" s="15">
        <f>IFERROR(__xludf.DUMMYFUNCTION("""COMPUTED_VALUE"""),43774.64583333333)</f>
        <v>43774.64583</v>
      </c>
      <c r="F952" s="8">
        <f>IFERROR(__xludf.DUMMYFUNCTION("""COMPUTED_VALUE"""),1239.5)</f>
        <v>1239.5</v>
      </c>
      <c r="H952" s="4">
        <f t="shared" si="1"/>
        <v>941.8</v>
      </c>
      <c r="I952" s="16">
        <f t="shared" si="2"/>
        <v>907.09</v>
      </c>
      <c r="J952" s="16">
        <f t="shared" si="3"/>
        <v>36.32498107</v>
      </c>
      <c r="K952" s="16">
        <f t="shared" si="4"/>
        <v>943.4149811</v>
      </c>
      <c r="L952" s="16">
        <f t="shared" si="5"/>
        <v>870.7650189</v>
      </c>
      <c r="N952" s="17" t="str">
        <f t="shared" si="6"/>
        <v>F</v>
      </c>
      <c r="O952" s="17" t="str">
        <f t="shared" si="7"/>
        <v>T</v>
      </c>
      <c r="P952" s="8">
        <f t="shared" si="8"/>
        <v>0</v>
      </c>
      <c r="R952" s="17" t="str">
        <f t="shared" si="9"/>
        <v>F</v>
      </c>
      <c r="S952" s="3" t="str">
        <f t="shared" si="10"/>
        <v>F</v>
      </c>
      <c r="T952" s="8">
        <f t="shared" si="11"/>
        <v>-1</v>
      </c>
      <c r="V952" s="4">
        <f t="shared" si="12"/>
        <v>-1</v>
      </c>
      <c r="W952" s="8">
        <f t="shared" si="13"/>
        <v>-2.65</v>
      </c>
      <c r="X952" s="8">
        <f t="shared" si="14"/>
        <v>2.65</v>
      </c>
      <c r="Y952" s="8">
        <f t="shared" si="15"/>
        <v>450.62</v>
      </c>
    </row>
    <row r="953">
      <c r="A953" s="2">
        <v>946.0</v>
      </c>
      <c r="B953" s="15">
        <f>IFERROR(__xludf.DUMMYFUNCTION("""COMPUTED_VALUE"""),43775.64583333333)</f>
        <v>43775.64583</v>
      </c>
      <c r="C953" s="8">
        <f>IFERROR(__xludf.DUMMYFUNCTION("""COMPUTED_VALUE"""),2220.6)</f>
        <v>2220.6</v>
      </c>
      <c r="E953" s="15">
        <f>IFERROR(__xludf.DUMMYFUNCTION("""COMPUTED_VALUE"""),43775.64583333333)</f>
        <v>43775.64583</v>
      </c>
      <c r="F953" s="8">
        <f>IFERROR(__xludf.DUMMYFUNCTION("""COMPUTED_VALUE"""),1256.65)</f>
        <v>1256.65</v>
      </c>
      <c r="H953" s="4">
        <f t="shared" si="1"/>
        <v>963.95</v>
      </c>
      <c r="I953" s="16">
        <f t="shared" si="2"/>
        <v>928.06</v>
      </c>
      <c r="J953" s="16">
        <f t="shared" si="3"/>
        <v>31.65964308</v>
      </c>
      <c r="K953" s="16">
        <f t="shared" si="4"/>
        <v>959.7196431</v>
      </c>
      <c r="L953" s="16">
        <f t="shared" si="5"/>
        <v>896.4003569</v>
      </c>
      <c r="N953" s="17" t="str">
        <f t="shared" si="6"/>
        <v>F</v>
      </c>
      <c r="O953" s="17" t="str">
        <f t="shared" si="7"/>
        <v>T</v>
      </c>
      <c r="P953" s="8">
        <f t="shared" si="8"/>
        <v>0</v>
      </c>
      <c r="R953" s="17" t="str">
        <f t="shared" si="9"/>
        <v>T</v>
      </c>
      <c r="S953" s="3" t="str">
        <f t="shared" si="10"/>
        <v>F</v>
      </c>
      <c r="T953" s="8">
        <f t="shared" si="11"/>
        <v>-1</v>
      </c>
      <c r="V953" s="4">
        <f t="shared" si="12"/>
        <v>-1</v>
      </c>
      <c r="W953" s="8">
        <f t="shared" si="13"/>
        <v>22.15</v>
      </c>
      <c r="X953" s="8">
        <f t="shared" si="14"/>
        <v>-22.15</v>
      </c>
      <c r="Y953" s="8">
        <f t="shared" si="15"/>
        <v>428.47</v>
      </c>
    </row>
    <row r="954">
      <c r="A954" s="2">
        <v>947.0</v>
      </c>
      <c r="B954" s="15">
        <f>IFERROR(__xludf.DUMMYFUNCTION("""COMPUTED_VALUE"""),43776.64583333333)</f>
        <v>43776.64583</v>
      </c>
      <c r="C954" s="8">
        <f>IFERROR(__xludf.DUMMYFUNCTION("""COMPUTED_VALUE"""),2251.0)</f>
        <v>2251</v>
      </c>
      <c r="E954" s="15">
        <f>IFERROR(__xludf.DUMMYFUNCTION("""COMPUTED_VALUE"""),43776.64583333333)</f>
        <v>43776.64583</v>
      </c>
      <c r="F954" s="8">
        <f>IFERROR(__xludf.DUMMYFUNCTION("""COMPUTED_VALUE"""),1263.7)</f>
        <v>1263.7</v>
      </c>
      <c r="H954" s="4">
        <f t="shared" si="1"/>
        <v>987.3</v>
      </c>
      <c r="I954" s="16">
        <f t="shared" si="2"/>
        <v>945.21</v>
      </c>
      <c r="J954" s="16">
        <f t="shared" si="3"/>
        <v>36.55583743</v>
      </c>
      <c r="K954" s="16">
        <f t="shared" si="4"/>
        <v>981.7658374</v>
      </c>
      <c r="L954" s="16">
        <f t="shared" si="5"/>
        <v>908.6541626</v>
      </c>
      <c r="N954" s="17" t="str">
        <f t="shared" si="6"/>
        <v>F</v>
      </c>
      <c r="O954" s="17" t="str">
        <f t="shared" si="7"/>
        <v>T</v>
      </c>
      <c r="P954" s="8">
        <f t="shared" si="8"/>
        <v>0</v>
      </c>
      <c r="R954" s="17" t="str">
        <f t="shared" si="9"/>
        <v>T</v>
      </c>
      <c r="S954" s="3" t="str">
        <f t="shared" si="10"/>
        <v>F</v>
      </c>
      <c r="T954" s="8">
        <f t="shared" si="11"/>
        <v>-1</v>
      </c>
      <c r="V954" s="4">
        <f t="shared" si="12"/>
        <v>-1</v>
      </c>
      <c r="W954" s="8">
        <f t="shared" si="13"/>
        <v>23.35</v>
      </c>
      <c r="X954" s="8">
        <f t="shared" si="14"/>
        <v>-23.35</v>
      </c>
      <c r="Y954" s="8">
        <f t="shared" si="15"/>
        <v>405.12</v>
      </c>
    </row>
    <row r="955">
      <c r="A955" s="2">
        <v>948.0</v>
      </c>
      <c r="B955" s="15">
        <f>IFERROR(__xludf.DUMMYFUNCTION("""COMPUTED_VALUE"""),43777.64583333333)</f>
        <v>43777.64583</v>
      </c>
      <c r="C955" s="8">
        <f>IFERROR(__xludf.DUMMYFUNCTION("""COMPUTED_VALUE"""),2233.2)</f>
        <v>2233.2</v>
      </c>
      <c r="E955" s="15">
        <f>IFERROR(__xludf.DUMMYFUNCTION("""COMPUTED_VALUE"""),43777.64583333333)</f>
        <v>43777.64583</v>
      </c>
      <c r="F955" s="8">
        <f>IFERROR(__xludf.DUMMYFUNCTION("""COMPUTED_VALUE"""),1255.6)</f>
        <v>1255.6</v>
      </c>
      <c r="H955" s="4">
        <f t="shared" si="1"/>
        <v>977.6</v>
      </c>
      <c r="I955" s="16">
        <f t="shared" si="2"/>
        <v>963.02</v>
      </c>
      <c r="J955" s="16">
        <f t="shared" si="3"/>
        <v>19.9880777</v>
      </c>
      <c r="K955" s="16">
        <f t="shared" si="4"/>
        <v>983.0080777</v>
      </c>
      <c r="L955" s="16">
        <f t="shared" si="5"/>
        <v>943.0319223</v>
      </c>
      <c r="N955" s="17" t="str">
        <f t="shared" si="6"/>
        <v>F</v>
      </c>
      <c r="O955" s="17" t="str">
        <f t="shared" si="7"/>
        <v>T</v>
      </c>
      <c r="P955" s="8">
        <f t="shared" si="8"/>
        <v>0</v>
      </c>
      <c r="R955" s="17" t="str">
        <f t="shared" si="9"/>
        <v>F</v>
      </c>
      <c r="S955" s="3" t="str">
        <f t="shared" si="10"/>
        <v>F</v>
      </c>
      <c r="T955" s="8">
        <f t="shared" si="11"/>
        <v>-1</v>
      </c>
      <c r="V955" s="4">
        <f t="shared" si="12"/>
        <v>-1</v>
      </c>
      <c r="W955" s="8">
        <f t="shared" si="13"/>
        <v>-9.7</v>
      </c>
      <c r="X955" s="8">
        <f t="shared" si="14"/>
        <v>9.7</v>
      </c>
      <c r="Y955" s="8">
        <f t="shared" si="15"/>
        <v>414.82</v>
      </c>
    </row>
    <row r="956">
      <c r="A956" s="2">
        <v>949.0</v>
      </c>
      <c r="B956" s="15">
        <f>IFERROR(__xludf.DUMMYFUNCTION("""COMPUTED_VALUE"""),43780.64583333333)</f>
        <v>43780.64583</v>
      </c>
      <c r="C956" s="8">
        <f>IFERROR(__xludf.DUMMYFUNCTION("""COMPUTED_VALUE"""),2234.55)</f>
        <v>2234.55</v>
      </c>
      <c r="E956" s="15">
        <f>IFERROR(__xludf.DUMMYFUNCTION("""COMPUTED_VALUE"""),43780.64583333333)</f>
        <v>43780.64583</v>
      </c>
      <c r="F956" s="8">
        <f>IFERROR(__xludf.DUMMYFUNCTION("""COMPUTED_VALUE"""),1264.75)</f>
        <v>1264.75</v>
      </c>
      <c r="H956" s="4">
        <f t="shared" si="1"/>
        <v>969.8</v>
      </c>
      <c r="I956" s="16">
        <f t="shared" si="2"/>
        <v>968.09</v>
      </c>
      <c r="J956" s="16">
        <f t="shared" si="3"/>
        <v>17.10768833</v>
      </c>
      <c r="K956" s="16">
        <f t="shared" si="4"/>
        <v>985.1976883</v>
      </c>
      <c r="L956" s="16">
        <f t="shared" si="5"/>
        <v>950.9823117</v>
      </c>
      <c r="N956" s="17" t="str">
        <f t="shared" si="6"/>
        <v>F</v>
      </c>
      <c r="O956" s="17" t="str">
        <f t="shared" si="7"/>
        <v>T</v>
      </c>
      <c r="P956" s="8">
        <f t="shared" si="8"/>
        <v>0</v>
      </c>
      <c r="R956" s="17" t="str">
        <f t="shared" si="9"/>
        <v>F</v>
      </c>
      <c r="S956" s="3" t="str">
        <f t="shared" si="10"/>
        <v>F</v>
      </c>
      <c r="T956" s="8">
        <f t="shared" si="11"/>
        <v>-1</v>
      </c>
      <c r="V956" s="4">
        <f t="shared" si="12"/>
        <v>-1</v>
      </c>
      <c r="W956" s="8">
        <f t="shared" si="13"/>
        <v>-7.8</v>
      </c>
      <c r="X956" s="8">
        <f t="shared" si="14"/>
        <v>7.8</v>
      </c>
      <c r="Y956" s="8">
        <f t="shared" si="15"/>
        <v>422.62</v>
      </c>
    </row>
    <row r="957">
      <c r="A957" s="2">
        <v>950.0</v>
      </c>
      <c r="B957" s="15">
        <f>IFERROR(__xludf.DUMMYFUNCTION("""COMPUTED_VALUE"""),43782.64583333333)</f>
        <v>43782.64583</v>
      </c>
      <c r="C957" s="8">
        <f>IFERROR(__xludf.DUMMYFUNCTION("""COMPUTED_VALUE"""),2207.45)</f>
        <v>2207.45</v>
      </c>
      <c r="E957" s="15">
        <f>IFERROR(__xludf.DUMMYFUNCTION("""COMPUTED_VALUE"""),43782.64583333333)</f>
        <v>43782.64583</v>
      </c>
      <c r="F957" s="8">
        <f>IFERROR(__xludf.DUMMYFUNCTION("""COMPUTED_VALUE"""),1257.55)</f>
        <v>1257.55</v>
      </c>
      <c r="H957" s="4">
        <f t="shared" si="1"/>
        <v>949.9</v>
      </c>
      <c r="I957" s="16">
        <f t="shared" si="2"/>
        <v>969.71</v>
      </c>
      <c r="J957" s="16">
        <f t="shared" si="3"/>
        <v>14.11809123</v>
      </c>
      <c r="K957" s="16">
        <f t="shared" si="4"/>
        <v>983.8280912</v>
      </c>
      <c r="L957" s="16">
        <f t="shared" si="5"/>
        <v>955.5919088</v>
      </c>
      <c r="N957" s="17" t="str">
        <f t="shared" si="6"/>
        <v>T</v>
      </c>
      <c r="O957" s="17" t="str">
        <f t="shared" si="7"/>
        <v>F</v>
      </c>
      <c r="P957" s="8">
        <f t="shared" si="8"/>
        <v>1</v>
      </c>
      <c r="R957" s="17" t="str">
        <f t="shared" si="9"/>
        <v>F</v>
      </c>
      <c r="S957" s="3" t="str">
        <f t="shared" si="10"/>
        <v>T</v>
      </c>
      <c r="T957" s="8">
        <f t="shared" si="11"/>
        <v>0</v>
      </c>
      <c r="V957" s="4">
        <f t="shared" si="12"/>
        <v>1</v>
      </c>
      <c r="W957" s="8">
        <f t="shared" si="13"/>
        <v>-19.9</v>
      </c>
      <c r="X957" s="8">
        <f t="shared" si="14"/>
        <v>19.9</v>
      </c>
      <c r="Y957" s="8">
        <f t="shared" si="15"/>
        <v>442.52</v>
      </c>
    </row>
    <row r="958">
      <c r="A958" s="2">
        <v>951.0</v>
      </c>
      <c r="B958" s="15">
        <f>IFERROR(__xludf.DUMMYFUNCTION("""COMPUTED_VALUE"""),43783.64583333333)</f>
        <v>43783.64583</v>
      </c>
      <c r="C958" s="8">
        <f>IFERROR(__xludf.DUMMYFUNCTION("""COMPUTED_VALUE"""),2226.8)</f>
        <v>2226.8</v>
      </c>
      <c r="E958" s="15">
        <f>IFERROR(__xludf.DUMMYFUNCTION("""COMPUTED_VALUE"""),43783.64583333333)</f>
        <v>43783.64583</v>
      </c>
      <c r="F958" s="8">
        <f>IFERROR(__xludf.DUMMYFUNCTION("""COMPUTED_VALUE"""),1273.9)</f>
        <v>1273.9</v>
      </c>
      <c r="H958" s="4">
        <f t="shared" si="1"/>
        <v>952.9</v>
      </c>
      <c r="I958" s="16">
        <f t="shared" si="2"/>
        <v>967.5</v>
      </c>
      <c r="J958" s="16">
        <f t="shared" si="3"/>
        <v>15.98640047</v>
      </c>
      <c r="K958" s="16">
        <f t="shared" si="4"/>
        <v>983.4864005</v>
      </c>
      <c r="L958" s="16">
        <f t="shared" si="5"/>
        <v>951.5135995</v>
      </c>
      <c r="N958" s="17" t="str">
        <f t="shared" si="6"/>
        <v>F</v>
      </c>
      <c r="O958" s="17" t="str">
        <f t="shared" si="7"/>
        <v>F</v>
      </c>
      <c r="P958" s="8">
        <f t="shared" si="8"/>
        <v>1</v>
      </c>
      <c r="R958" s="17" t="str">
        <f t="shared" si="9"/>
        <v>F</v>
      </c>
      <c r="S958" s="3" t="str">
        <f t="shared" si="10"/>
        <v>T</v>
      </c>
      <c r="T958" s="8">
        <f t="shared" si="11"/>
        <v>0</v>
      </c>
      <c r="V958" s="4">
        <f t="shared" si="12"/>
        <v>1</v>
      </c>
      <c r="W958" s="8">
        <f t="shared" si="13"/>
        <v>3</v>
      </c>
      <c r="X958" s="8">
        <f t="shared" si="14"/>
        <v>3</v>
      </c>
      <c r="Y958" s="8">
        <f t="shared" si="15"/>
        <v>445.52</v>
      </c>
    </row>
    <row r="959">
      <c r="A959" s="2">
        <v>952.0</v>
      </c>
      <c r="B959" s="15">
        <f>IFERROR(__xludf.DUMMYFUNCTION("""COMPUTED_VALUE"""),43784.64583333333)</f>
        <v>43784.64583</v>
      </c>
      <c r="C959" s="8">
        <f>IFERROR(__xludf.DUMMYFUNCTION("""COMPUTED_VALUE"""),2224.05)</f>
        <v>2224.05</v>
      </c>
      <c r="E959" s="15">
        <f>IFERROR(__xludf.DUMMYFUNCTION("""COMPUTED_VALUE"""),43784.64583333333)</f>
        <v>43784.64583</v>
      </c>
      <c r="F959" s="8">
        <f>IFERROR(__xludf.DUMMYFUNCTION("""COMPUTED_VALUE"""),1277.9)</f>
        <v>1277.9</v>
      </c>
      <c r="H959" s="4">
        <f t="shared" si="1"/>
        <v>946.15</v>
      </c>
      <c r="I959" s="16">
        <f t="shared" si="2"/>
        <v>959.27</v>
      </c>
      <c r="J959" s="16">
        <f t="shared" si="3"/>
        <v>13.66910751</v>
      </c>
      <c r="K959" s="16">
        <f t="shared" si="4"/>
        <v>972.9391075</v>
      </c>
      <c r="L959" s="16">
        <f t="shared" si="5"/>
        <v>945.6008925</v>
      </c>
      <c r="N959" s="17" t="str">
        <f t="shared" si="6"/>
        <v>F</v>
      </c>
      <c r="O959" s="17" t="str">
        <f t="shared" si="7"/>
        <v>F</v>
      </c>
      <c r="P959" s="8">
        <f t="shared" si="8"/>
        <v>1</v>
      </c>
      <c r="R959" s="17" t="str">
        <f t="shared" si="9"/>
        <v>F</v>
      </c>
      <c r="S959" s="3" t="str">
        <f t="shared" si="10"/>
        <v>T</v>
      </c>
      <c r="T959" s="8">
        <f t="shared" si="11"/>
        <v>0</v>
      </c>
      <c r="V959" s="4">
        <f t="shared" si="12"/>
        <v>1</v>
      </c>
      <c r="W959" s="8">
        <f t="shared" si="13"/>
        <v>-6.75</v>
      </c>
      <c r="X959" s="8">
        <f t="shared" si="14"/>
        <v>-6.75</v>
      </c>
      <c r="Y959" s="8">
        <f t="shared" si="15"/>
        <v>438.77</v>
      </c>
    </row>
    <row r="960">
      <c r="A960" s="2">
        <v>953.0</v>
      </c>
      <c r="B960" s="15">
        <f>IFERROR(__xludf.DUMMYFUNCTION("""COMPUTED_VALUE"""),43787.64583333333)</f>
        <v>43787.64583</v>
      </c>
      <c r="C960" s="8">
        <f>IFERROR(__xludf.DUMMYFUNCTION("""COMPUTED_VALUE"""),2236.3)</f>
        <v>2236.3</v>
      </c>
      <c r="E960" s="15">
        <f>IFERROR(__xludf.DUMMYFUNCTION("""COMPUTED_VALUE"""),43787.64583333333)</f>
        <v>43787.64583</v>
      </c>
      <c r="F960" s="8">
        <f>IFERROR(__xludf.DUMMYFUNCTION("""COMPUTED_VALUE"""),1262.05)</f>
        <v>1262.05</v>
      </c>
      <c r="H960" s="4">
        <f t="shared" si="1"/>
        <v>974.25</v>
      </c>
      <c r="I960" s="16">
        <f t="shared" si="2"/>
        <v>958.6</v>
      </c>
      <c r="J960" s="16">
        <f t="shared" si="3"/>
        <v>12.58515991</v>
      </c>
      <c r="K960" s="16">
        <f t="shared" si="4"/>
        <v>971.1851599</v>
      </c>
      <c r="L960" s="16">
        <f t="shared" si="5"/>
        <v>946.0148401</v>
      </c>
      <c r="N960" s="17" t="str">
        <f t="shared" si="6"/>
        <v>F</v>
      </c>
      <c r="O960" s="17" t="str">
        <f t="shared" si="7"/>
        <v>T</v>
      </c>
      <c r="P960" s="8">
        <f t="shared" si="8"/>
        <v>0</v>
      </c>
      <c r="R960" s="17" t="str">
        <f t="shared" si="9"/>
        <v>T</v>
      </c>
      <c r="S960" s="3" t="str">
        <f t="shared" si="10"/>
        <v>F</v>
      </c>
      <c r="T960" s="8">
        <f t="shared" si="11"/>
        <v>-1</v>
      </c>
      <c r="V960" s="4">
        <f t="shared" si="12"/>
        <v>-1</v>
      </c>
      <c r="W960" s="8">
        <f t="shared" si="13"/>
        <v>28.1</v>
      </c>
      <c r="X960" s="8">
        <f t="shared" si="14"/>
        <v>28.1</v>
      </c>
      <c r="Y960" s="8">
        <f t="shared" si="15"/>
        <v>466.87</v>
      </c>
    </row>
    <row r="961">
      <c r="A961" s="2">
        <v>954.0</v>
      </c>
      <c r="B961" s="15">
        <f>IFERROR(__xludf.DUMMYFUNCTION("""COMPUTED_VALUE"""),43788.64583333333)</f>
        <v>43788.64583</v>
      </c>
      <c r="C961" s="8">
        <f>IFERROR(__xludf.DUMMYFUNCTION("""COMPUTED_VALUE"""),2212.1)</f>
        <v>2212.1</v>
      </c>
      <c r="E961" s="15">
        <f>IFERROR(__xludf.DUMMYFUNCTION("""COMPUTED_VALUE"""),43788.64583333333)</f>
        <v>43788.64583</v>
      </c>
      <c r="F961" s="8">
        <f>IFERROR(__xludf.DUMMYFUNCTION("""COMPUTED_VALUE"""),1271.9)</f>
        <v>1271.9</v>
      </c>
      <c r="H961" s="4">
        <f t="shared" si="1"/>
        <v>940.2</v>
      </c>
      <c r="I961" s="16">
        <f t="shared" si="2"/>
        <v>952.68</v>
      </c>
      <c r="J961" s="16">
        <f t="shared" si="3"/>
        <v>12.95601212</v>
      </c>
      <c r="K961" s="16">
        <f t="shared" si="4"/>
        <v>965.6360121</v>
      </c>
      <c r="L961" s="16">
        <f t="shared" si="5"/>
        <v>939.7239879</v>
      </c>
      <c r="N961" s="17" t="str">
        <f t="shared" si="6"/>
        <v>F</v>
      </c>
      <c r="O961" s="17" t="str">
        <f t="shared" si="7"/>
        <v>F</v>
      </c>
      <c r="P961" s="8">
        <f t="shared" si="8"/>
        <v>0</v>
      </c>
      <c r="R961" s="17" t="str">
        <f t="shared" si="9"/>
        <v>F</v>
      </c>
      <c r="S961" s="3" t="str">
        <f t="shared" si="10"/>
        <v>T</v>
      </c>
      <c r="T961" s="8">
        <f t="shared" si="11"/>
        <v>0</v>
      </c>
      <c r="V961" s="4">
        <f t="shared" si="12"/>
        <v>0</v>
      </c>
      <c r="W961" s="8">
        <f t="shared" si="13"/>
        <v>-34.05</v>
      </c>
      <c r="X961" s="8">
        <f t="shared" si="14"/>
        <v>34.05</v>
      </c>
      <c r="Y961" s="8">
        <f t="shared" si="15"/>
        <v>500.92</v>
      </c>
    </row>
    <row r="962">
      <c r="A962" s="2">
        <v>955.0</v>
      </c>
      <c r="B962" s="15">
        <f>IFERROR(__xludf.DUMMYFUNCTION("""COMPUTED_VALUE"""),43789.64583333333)</f>
        <v>43789.64583</v>
      </c>
      <c r="C962" s="8">
        <f>IFERROR(__xludf.DUMMYFUNCTION("""COMPUTED_VALUE"""),2200.95)</f>
        <v>2200.95</v>
      </c>
      <c r="E962" s="15">
        <f>IFERROR(__xludf.DUMMYFUNCTION("""COMPUTED_VALUE"""),43789.64583333333)</f>
        <v>43789.64583</v>
      </c>
      <c r="F962" s="8">
        <f>IFERROR(__xludf.DUMMYFUNCTION("""COMPUTED_VALUE"""),1273.35)</f>
        <v>1273.35</v>
      </c>
      <c r="H962" s="4">
        <f t="shared" si="1"/>
        <v>927.6</v>
      </c>
      <c r="I962" s="16">
        <f t="shared" si="2"/>
        <v>948.22</v>
      </c>
      <c r="J962" s="16">
        <f t="shared" si="3"/>
        <v>17.27174716</v>
      </c>
      <c r="K962" s="16">
        <f t="shared" si="4"/>
        <v>965.4917472</v>
      </c>
      <c r="L962" s="16">
        <f t="shared" si="5"/>
        <v>930.9482528</v>
      </c>
      <c r="N962" s="17" t="str">
        <f t="shared" si="6"/>
        <v>T</v>
      </c>
      <c r="O962" s="17" t="str">
        <f t="shared" si="7"/>
        <v>F</v>
      </c>
      <c r="P962" s="8">
        <f t="shared" si="8"/>
        <v>1</v>
      </c>
      <c r="R962" s="17" t="str">
        <f t="shared" si="9"/>
        <v>F</v>
      </c>
      <c r="S962" s="3" t="str">
        <f t="shared" si="10"/>
        <v>T</v>
      </c>
      <c r="T962" s="8">
        <f t="shared" si="11"/>
        <v>0</v>
      </c>
      <c r="V962" s="4">
        <f t="shared" si="12"/>
        <v>1</v>
      </c>
      <c r="W962" s="8">
        <f t="shared" si="13"/>
        <v>-12.6</v>
      </c>
      <c r="X962" s="8">
        <f t="shared" si="14"/>
        <v>0</v>
      </c>
      <c r="Y962" s="8">
        <f t="shared" si="15"/>
        <v>500.92</v>
      </c>
    </row>
    <row r="963">
      <c r="A963" s="2">
        <v>956.0</v>
      </c>
      <c r="B963" s="15">
        <f>IFERROR(__xludf.DUMMYFUNCTION("""COMPUTED_VALUE"""),43790.64583333333)</f>
        <v>43790.64583</v>
      </c>
      <c r="C963" s="8">
        <f>IFERROR(__xludf.DUMMYFUNCTION("""COMPUTED_VALUE"""),2210.35)</f>
        <v>2210.35</v>
      </c>
      <c r="E963" s="15">
        <f>IFERROR(__xludf.DUMMYFUNCTION("""COMPUTED_VALUE"""),43790.64583333333)</f>
        <v>43790.64583</v>
      </c>
      <c r="F963" s="8">
        <f>IFERROR(__xludf.DUMMYFUNCTION("""COMPUTED_VALUE"""),1283.35)</f>
        <v>1283.35</v>
      </c>
      <c r="H963" s="4">
        <f t="shared" si="1"/>
        <v>927</v>
      </c>
      <c r="I963" s="16">
        <f t="shared" si="2"/>
        <v>943.04</v>
      </c>
      <c r="J963" s="16">
        <f t="shared" si="3"/>
        <v>19.28391169</v>
      </c>
      <c r="K963" s="16">
        <f t="shared" si="4"/>
        <v>962.3239117</v>
      </c>
      <c r="L963" s="16">
        <f t="shared" si="5"/>
        <v>923.7560883</v>
      </c>
      <c r="N963" s="17" t="str">
        <f t="shared" si="6"/>
        <v>F</v>
      </c>
      <c r="O963" s="17" t="str">
        <f t="shared" si="7"/>
        <v>F</v>
      </c>
      <c r="P963" s="8">
        <f t="shared" si="8"/>
        <v>1</v>
      </c>
      <c r="R963" s="17" t="str">
        <f t="shared" si="9"/>
        <v>F</v>
      </c>
      <c r="S963" s="3" t="str">
        <f t="shared" si="10"/>
        <v>T</v>
      </c>
      <c r="T963" s="8">
        <f t="shared" si="11"/>
        <v>0</v>
      </c>
      <c r="V963" s="4">
        <f t="shared" si="12"/>
        <v>1</v>
      </c>
      <c r="W963" s="8">
        <f t="shared" si="13"/>
        <v>-0.6</v>
      </c>
      <c r="X963" s="8">
        <f t="shared" si="14"/>
        <v>-0.6</v>
      </c>
      <c r="Y963" s="8">
        <f t="shared" si="15"/>
        <v>500.32</v>
      </c>
    </row>
    <row r="964">
      <c r="A964" s="2">
        <v>957.0</v>
      </c>
      <c r="B964" s="15">
        <f>IFERROR(__xludf.DUMMYFUNCTION("""COMPUTED_VALUE"""),43791.64583333333)</f>
        <v>43791.64583</v>
      </c>
      <c r="C964" s="8">
        <f>IFERROR(__xludf.DUMMYFUNCTION("""COMPUTED_VALUE"""),2237.3)</f>
        <v>2237.3</v>
      </c>
      <c r="E964" s="15">
        <f>IFERROR(__xludf.DUMMYFUNCTION("""COMPUTED_VALUE"""),43791.64583333333)</f>
        <v>43791.64583</v>
      </c>
      <c r="F964" s="8">
        <f>IFERROR(__xludf.DUMMYFUNCTION("""COMPUTED_VALUE"""),1264.75)</f>
        <v>1264.75</v>
      </c>
      <c r="H964" s="4">
        <f t="shared" si="1"/>
        <v>972.55</v>
      </c>
      <c r="I964" s="16">
        <f t="shared" si="2"/>
        <v>948.32</v>
      </c>
      <c r="J964" s="16">
        <f t="shared" si="3"/>
        <v>23.50134571</v>
      </c>
      <c r="K964" s="16">
        <f t="shared" si="4"/>
        <v>971.8213457</v>
      </c>
      <c r="L964" s="16">
        <f t="shared" si="5"/>
        <v>924.8186543</v>
      </c>
      <c r="N964" s="17" t="str">
        <f t="shared" si="6"/>
        <v>F</v>
      </c>
      <c r="O964" s="17" t="str">
        <f t="shared" si="7"/>
        <v>T</v>
      </c>
      <c r="P964" s="8">
        <f t="shared" si="8"/>
        <v>0</v>
      </c>
      <c r="R964" s="17" t="str">
        <f t="shared" si="9"/>
        <v>T</v>
      </c>
      <c r="S964" s="3" t="str">
        <f t="shared" si="10"/>
        <v>F</v>
      </c>
      <c r="T964" s="8">
        <f t="shared" si="11"/>
        <v>-1</v>
      </c>
      <c r="V964" s="4">
        <f t="shared" si="12"/>
        <v>-1</v>
      </c>
      <c r="W964" s="8">
        <f t="shared" si="13"/>
        <v>45.55</v>
      </c>
      <c r="X964" s="8">
        <f t="shared" si="14"/>
        <v>45.55</v>
      </c>
      <c r="Y964" s="8">
        <f t="shared" si="15"/>
        <v>545.87</v>
      </c>
    </row>
    <row r="965">
      <c r="A965" s="2">
        <v>958.0</v>
      </c>
      <c r="B965" s="15">
        <f>IFERROR(__xludf.DUMMYFUNCTION("""COMPUTED_VALUE"""),43794.64583333333)</f>
        <v>43794.64583</v>
      </c>
      <c r="C965" s="8">
        <f>IFERROR(__xludf.DUMMYFUNCTION("""COMPUTED_VALUE"""),2294.55)</f>
        <v>2294.55</v>
      </c>
      <c r="E965" s="15">
        <f>IFERROR(__xludf.DUMMYFUNCTION("""COMPUTED_VALUE"""),43794.64583333333)</f>
        <v>43794.64583</v>
      </c>
      <c r="F965" s="8">
        <f>IFERROR(__xludf.DUMMYFUNCTION("""COMPUTED_VALUE"""),1271.1)</f>
        <v>1271.1</v>
      </c>
      <c r="H965" s="4">
        <f t="shared" si="1"/>
        <v>1023.45</v>
      </c>
      <c r="I965" s="16">
        <f t="shared" si="2"/>
        <v>958.16</v>
      </c>
      <c r="J965" s="16">
        <f t="shared" si="3"/>
        <v>40.91844633</v>
      </c>
      <c r="K965" s="16">
        <f t="shared" si="4"/>
        <v>999.0784463</v>
      </c>
      <c r="L965" s="16">
        <f t="shared" si="5"/>
        <v>917.2415537</v>
      </c>
      <c r="N965" s="17" t="str">
        <f t="shared" si="6"/>
        <v>F</v>
      </c>
      <c r="O965" s="17" t="str">
        <f t="shared" si="7"/>
        <v>T</v>
      </c>
      <c r="P965" s="8">
        <f t="shared" si="8"/>
        <v>0</v>
      </c>
      <c r="R965" s="17" t="str">
        <f t="shared" si="9"/>
        <v>T</v>
      </c>
      <c r="S965" s="3" t="str">
        <f t="shared" si="10"/>
        <v>F</v>
      </c>
      <c r="T965" s="8">
        <f t="shared" si="11"/>
        <v>-1</v>
      </c>
      <c r="V965" s="4">
        <f t="shared" si="12"/>
        <v>-1</v>
      </c>
      <c r="W965" s="8">
        <f t="shared" si="13"/>
        <v>50.9</v>
      </c>
      <c r="X965" s="8">
        <f t="shared" si="14"/>
        <v>-50.9</v>
      </c>
      <c r="Y965" s="8">
        <f t="shared" si="15"/>
        <v>494.97</v>
      </c>
    </row>
    <row r="966">
      <c r="A966" s="2">
        <v>959.0</v>
      </c>
      <c r="B966" s="15">
        <f>IFERROR(__xludf.DUMMYFUNCTION("""COMPUTED_VALUE"""),43795.64583333333)</f>
        <v>43795.64583</v>
      </c>
      <c r="C966" s="8">
        <f>IFERROR(__xludf.DUMMYFUNCTION("""COMPUTED_VALUE"""),2304.65)</f>
        <v>2304.65</v>
      </c>
      <c r="E966" s="15">
        <f>IFERROR(__xludf.DUMMYFUNCTION("""COMPUTED_VALUE"""),43795.64583333333)</f>
        <v>43795.64583</v>
      </c>
      <c r="F966" s="8">
        <f>IFERROR(__xludf.DUMMYFUNCTION("""COMPUTED_VALUE"""),1275.05)</f>
        <v>1275.05</v>
      </c>
      <c r="H966" s="4">
        <f t="shared" si="1"/>
        <v>1029.6</v>
      </c>
      <c r="I966" s="16">
        <f t="shared" si="2"/>
        <v>976.04</v>
      </c>
      <c r="J966" s="16">
        <f t="shared" si="3"/>
        <v>49.6988858</v>
      </c>
      <c r="K966" s="16">
        <f t="shared" si="4"/>
        <v>1025.738886</v>
      </c>
      <c r="L966" s="16">
        <f t="shared" si="5"/>
        <v>926.3411142</v>
      </c>
      <c r="N966" s="17" t="str">
        <f t="shared" si="6"/>
        <v>F</v>
      </c>
      <c r="O966" s="17" t="str">
        <f t="shared" si="7"/>
        <v>T</v>
      </c>
      <c r="P966" s="8">
        <f t="shared" si="8"/>
        <v>0</v>
      </c>
      <c r="R966" s="17" t="str">
        <f t="shared" si="9"/>
        <v>T</v>
      </c>
      <c r="S966" s="3" t="str">
        <f t="shared" si="10"/>
        <v>F</v>
      </c>
      <c r="T966" s="8">
        <f t="shared" si="11"/>
        <v>-1</v>
      </c>
      <c r="V966" s="4">
        <f t="shared" si="12"/>
        <v>-1</v>
      </c>
      <c r="W966" s="8">
        <f t="shared" si="13"/>
        <v>6.15</v>
      </c>
      <c r="X966" s="8">
        <f t="shared" si="14"/>
        <v>-6.15</v>
      </c>
      <c r="Y966" s="8">
        <f t="shared" si="15"/>
        <v>488.82</v>
      </c>
    </row>
    <row r="967">
      <c r="A967" s="2">
        <v>960.0</v>
      </c>
      <c r="B967" s="15">
        <f>IFERROR(__xludf.DUMMYFUNCTION("""COMPUTED_VALUE"""),43796.64583333333)</f>
        <v>43796.64583</v>
      </c>
      <c r="C967" s="8">
        <f>IFERROR(__xludf.DUMMYFUNCTION("""COMPUTED_VALUE"""),2336.3)</f>
        <v>2336.3</v>
      </c>
      <c r="E967" s="15">
        <f>IFERROR(__xludf.DUMMYFUNCTION("""COMPUTED_VALUE"""),43796.64583333333)</f>
        <v>43796.64583</v>
      </c>
      <c r="F967" s="8">
        <f>IFERROR(__xludf.DUMMYFUNCTION("""COMPUTED_VALUE"""),1278.4)</f>
        <v>1278.4</v>
      </c>
      <c r="H967" s="4">
        <f t="shared" si="1"/>
        <v>1057.9</v>
      </c>
      <c r="I967" s="16">
        <f t="shared" si="2"/>
        <v>1002.1</v>
      </c>
      <c r="J967" s="16">
        <f t="shared" si="3"/>
        <v>52.055079</v>
      </c>
      <c r="K967" s="16">
        <f t="shared" si="4"/>
        <v>1054.155079</v>
      </c>
      <c r="L967" s="16">
        <f t="shared" si="5"/>
        <v>950.044921</v>
      </c>
      <c r="N967" s="17" t="str">
        <f t="shared" si="6"/>
        <v>F</v>
      </c>
      <c r="O967" s="17" t="str">
        <f t="shared" si="7"/>
        <v>T</v>
      </c>
      <c r="P967" s="8">
        <f t="shared" si="8"/>
        <v>0</v>
      </c>
      <c r="R967" s="17" t="str">
        <f t="shared" si="9"/>
        <v>T</v>
      </c>
      <c r="S967" s="3" t="str">
        <f t="shared" si="10"/>
        <v>F</v>
      </c>
      <c r="T967" s="8">
        <f t="shared" si="11"/>
        <v>-1</v>
      </c>
      <c r="V967" s="4">
        <f t="shared" si="12"/>
        <v>-1</v>
      </c>
      <c r="W967" s="8">
        <f t="shared" si="13"/>
        <v>28.3</v>
      </c>
      <c r="X967" s="8">
        <f t="shared" si="14"/>
        <v>-28.3</v>
      </c>
      <c r="Y967" s="8">
        <f t="shared" si="15"/>
        <v>460.52</v>
      </c>
    </row>
    <row r="968">
      <c r="A968" s="2">
        <v>961.0</v>
      </c>
      <c r="B968" s="15">
        <f>IFERROR(__xludf.DUMMYFUNCTION("""COMPUTED_VALUE"""),43797.64583333333)</f>
        <v>43797.64583</v>
      </c>
      <c r="C968" s="8">
        <f>IFERROR(__xludf.DUMMYFUNCTION("""COMPUTED_VALUE"""),2309.75)</f>
        <v>2309.75</v>
      </c>
      <c r="E968" s="15">
        <f>IFERROR(__xludf.DUMMYFUNCTION("""COMPUTED_VALUE"""),43797.64583333333)</f>
        <v>43797.64583</v>
      </c>
      <c r="F968" s="8">
        <f>IFERROR(__xludf.DUMMYFUNCTION("""COMPUTED_VALUE"""),1265.3)</f>
        <v>1265.3</v>
      </c>
      <c r="H968" s="4">
        <f t="shared" si="1"/>
        <v>1044.45</v>
      </c>
      <c r="I968" s="16">
        <f t="shared" si="2"/>
        <v>1025.59</v>
      </c>
      <c r="J968" s="16">
        <f t="shared" si="3"/>
        <v>32.53281805</v>
      </c>
      <c r="K968" s="16">
        <f t="shared" si="4"/>
        <v>1058.122818</v>
      </c>
      <c r="L968" s="16">
        <f t="shared" si="5"/>
        <v>993.057182</v>
      </c>
      <c r="N968" s="17" t="str">
        <f t="shared" si="6"/>
        <v>F</v>
      </c>
      <c r="O968" s="17" t="str">
        <f t="shared" si="7"/>
        <v>T</v>
      </c>
      <c r="P968" s="8">
        <f t="shared" si="8"/>
        <v>0</v>
      </c>
      <c r="R968" s="17" t="str">
        <f t="shared" si="9"/>
        <v>F</v>
      </c>
      <c r="S968" s="3" t="str">
        <f t="shared" si="10"/>
        <v>F</v>
      </c>
      <c r="T968" s="8">
        <f t="shared" si="11"/>
        <v>-1</v>
      </c>
      <c r="V968" s="4">
        <f t="shared" si="12"/>
        <v>-1</v>
      </c>
      <c r="W968" s="8">
        <f t="shared" si="13"/>
        <v>-13.45</v>
      </c>
      <c r="X968" s="8">
        <f t="shared" si="14"/>
        <v>13.45</v>
      </c>
      <c r="Y968" s="8">
        <f t="shared" si="15"/>
        <v>473.97</v>
      </c>
    </row>
    <row r="969">
      <c r="A969" s="2">
        <v>962.0</v>
      </c>
      <c r="B969" s="15">
        <f>IFERROR(__xludf.DUMMYFUNCTION("""COMPUTED_VALUE"""),43798.64583333333)</f>
        <v>43798.64583</v>
      </c>
      <c r="C969" s="8">
        <f>IFERROR(__xludf.DUMMYFUNCTION("""COMPUTED_VALUE"""),2297.25)</f>
        <v>2297.25</v>
      </c>
      <c r="E969" s="15">
        <f>IFERROR(__xludf.DUMMYFUNCTION("""COMPUTED_VALUE"""),43798.64583333333)</f>
        <v>43798.64583</v>
      </c>
      <c r="F969" s="8">
        <f>IFERROR(__xludf.DUMMYFUNCTION("""COMPUTED_VALUE"""),1274.95)</f>
        <v>1274.95</v>
      </c>
      <c r="H969" s="4">
        <f t="shared" si="1"/>
        <v>1022.3</v>
      </c>
      <c r="I969" s="16">
        <f t="shared" si="2"/>
        <v>1035.54</v>
      </c>
      <c r="J969" s="16">
        <f t="shared" si="3"/>
        <v>15.29793287</v>
      </c>
      <c r="K969" s="16">
        <f t="shared" si="4"/>
        <v>1050.837933</v>
      </c>
      <c r="L969" s="16">
        <f t="shared" si="5"/>
        <v>1020.242067</v>
      </c>
      <c r="N969" s="17" t="str">
        <f t="shared" si="6"/>
        <v>F</v>
      </c>
      <c r="O969" s="17" t="str">
        <f t="shared" si="7"/>
        <v>F</v>
      </c>
      <c r="P969" s="8">
        <f t="shared" si="8"/>
        <v>0</v>
      </c>
      <c r="R969" s="17" t="str">
        <f t="shared" si="9"/>
        <v>F</v>
      </c>
      <c r="S969" s="3" t="str">
        <f t="shared" si="10"/>
        <v>T</v>
      </c>
      <c r="T969" s="8">
        <f t="shared" si="11"/>
        <v>0</v>
      </c>
      <c r="V969" s="4">
        <f t="shared" si="12"/>
        <v>0</v>
      </c>
      <c r="W969" s="8">
        <f t="shared" si="13"/>
        <v>-22.15</v>
      </c>
      <c r="X969" s="8">
        <f t="shared" si="14"/>
        <v>22.15</v>
      </c>
      <c r="Y969" s="8">
        <f t="shared" si="15"/>
        <v>496.12</v>
      </c>
    </row>
    <row r="970">
      <c r="A970" s="2">
        <v>963.0</v>
      </c>
      <c r="B970" s="15">
        <f>IFERROR(__xludf.DUMMYFUNCTION("""COMPUTED_VALUE"""),43801.64583333333)</f>
        <v>43801.64583</v>
      </c>
      <c r="C970" s="8">
        <f>IFERROR(__xludf.DUMMYFUNCTION("""COMPUTED_VALUE"""),2306.65)</f>
        <v>2306.65</v>
      </c>
      <c r="E970" s="15">
        <f>IFERROR(__xludf.DUMMYFUNCTION("""COMPUTED_VALUE"""),43801.64583333333)</f>
        <v>43801.64583</v>
      </c>
      <c r="F970" s="8">
        <f>IFERROR(__xludf.DUMMYFUNCTION("""COMPUTED_VALUE"""),1262.55)</f>
        <v>1262.55</v>
      </c>
      <c r="H970" s="4">
        <f t="shared" si="1"/>
        <v>1044.1</v>
      </c>
      <c r="I970" s="16">
        <f t="shared" si="2"/>
        <v>1039.67</v>
      </c>
      <c r="J970" s="16">
        <f t="shared" si="3"/>
        <v>13.94568033</v>
      </c>
      <c r="K970" s="16">
        <f t="shared" si="4"/>
        <v>1053.61568</v>
      </c>
      <c r="L970" s="16">
        <f t="shared" si="5"/>
        <v>1025.72432</v>
      </c>
      <c r="N970" s="17" t="str">
        <f t="shared" si="6"/>
        <v>F</v>
      </c>
      <c r="O970" s="17" t="str">
        <f t="shared" si="7"/>
        <v>T</v>
      </c>
      <c r="P970" s="8">
        <f t="shared" si="8"/>
        <v>0</v>
      </c>
      <c r="R970" s="17" t="str">
        <f t="shared" si="9"/>
        <v>F</v>
      </c>
      <c r="S970" s="3" t="str">
        <f t="shared" si="10"/>
        <v>F</v>
      </c>
      <c r="T970" s="8">
        <f t="shared" si="11"/>
        <v>0</v>
      </c>
      <c r="V970" s="4">
        <f t="shared" si="12"/>
        <v>0</v>
      </c>
      <c r="W970" s="8">
        <f t="shared" si="13"/>
        <v>21.8</v>
      </c>
      <c r="X970" s="8">
        <f t="shared" si="14"/>
        <v>0</v>
      </c>
      <c r="Y970" s="8">
        <f t="shared" si="15"/>
        <v>496.12</v>
      </c>
    </row>
    <row r="971">
      <c r="A971" s="2">
        <v>964.0</v>
      </c>
      <c r="B971" s="15">
        <f>IFERROR(__xludf.DUMMYFUNCTION("""COMPUTED_VALUE"""),43802.64583333333)</f>
        <v>43802.64583</v>
      </c>
      <c r="C971" s="8">
        <f>IFERROR(__xludf.DUMMYFUNCTION("""COMPUTED_VALUE"""),2319.7)</f>
        <v>2319.7</v>
      </c>
      <c r="E971" s="15">
        <f>IFERROR(__xludf.DUMMYFUNCTION("""COMPUTED_VALUE"""),43802.64583333333)</f>
        <v>43802.64583</v>
      </c>
      <c r="F971" s="8">
        <f>IFERROR(__xludf.DUMMYFUNCTION("""COMPUTED_VALUE"""),1255.4)</f>
        <v>1255.4</v>
      </c>
      <c r="H971" s="4">
        <f t="shared" si="1"/>
        <v>1064.3</v>
      </c>
      <c r="I971" s="16">
        <f t="shared" si="2"/>
        <v>1046.61</v>
      </c>
      <c r="J971" s="16">
        <f t="shared" si="3"/>
        <v>16.14266087</v>
      </c>
      <c r="K971" s="16">
        <f t="shared" si="4"/>
        <v>1062.752661</v>
      </c>
      <c r="L971" s="16">
        <f t="shared" si="5"/>
        <v>1030.467339</v>
      </c>
      <c r="N971" s="17" t="str">
        <f t="shared" si="6"/>
        <v>F</v>
      </c>
      <c r="O971" s="17" t="str">
        <f t="shared" si="7"/>
        <v>T</v>
      </c>
      <c r="P971" s="8">
        <f t="shared" si="8"/>
        <v>0</v>
      </c>
      <c r="R971" s="17" t="str">
        <f t="shared" si="9"/>
        <v>T</v>
      </c>
      <c r="S971" s="3" t="str">
        <f t="shared" si="10"/>
        <v>F</v>
      </c>
      <c r="T971" s="8">
        <f t="shared" si="11"/>
        <v>-1</v>
      </c>
      <c r="V971" s="4">
        <f t="shared" si="12"/>
        <v>-1</v>
      </c>
      <c r="W971" s="8">
        <f t="shared" si="13"/>
        <v>20.2</v>
      </c>
      <c r="X971" s="8">
        <f t="shared" si="14"/>
        <v>0</v>
      </c>
      <c r="Y971" s="8">
        <f t="shared" si="15"/>
        <v>496.12</v>
      </c>
    </row>
    <row r="972">
      <c r="A972" s="2">
        <v>965.0</v>
      </c>
      <c r="B972" s="15">
        <f>IFERROR(__xludf.DUMMYFUNCTION("""COMPUTED_VALUE"""),43803.64583333333)</f>
        <v>43803.64583</v>
      </c>
      <c r="C972" s="8">
        <f>IFERROR(__xludf.DUMMYFUNCTION("""COMPUTED_VALUE"""),2322.4)</f>
        <v>2322.4</v>
      </c>
      <c r="E972" s="15">
        <f>IFERROR(__xludf.DUMMYFUNCTION("""COMPUTED_VALUE"""),43803.64583333333)</f>
        <v>43803.64583</v>
      </c>
      <c r="F972" s="8">
        <f>IFERROR(__xludf.DUMMYFUNCTION("""COMPUTED_VALUE"""),1251.65)</f>
        <v>1251.65</v>
      </c>
      <c r="H972" s="4">
        <f t="shared" si="1"/>
        <v>1070.75</v>
      </c>
      <c r="I972" s="16">
        <f t="shared" si="2"/>
        <v>1049.18</v>
      </c>
      <c r="J972" s="16">
        <f t="shared" si="3"/>
        <v>19.13500065</v>
      </c>
      <c r="K972" s="16">
        <f t="shared" si="4"/>
        <v>1068.315001</v>
      </c>
      <c r="L972" s="16">
        <f t="shared" si="5"/>
        <v>1030.044999</v>
      </c>
      <c r="N972" s="17" t="str">
        <f t="shared" si="6"/>
        <v>F</v>
      </c>
      <c r="O972" s="17" t="str">
        <f t="shared" si="7"/>
        <v>T</v>
      </c>
      <c r="P972" s="8">
        <f t="shared" si="8"/>
        <v>0</v>
      </c>
      <c r="R972" s="17" t="str">
        <f t="shared" si="9"/>
        <v>T</v>
      </c>
      <c r="S972" s="3" t="str">
        <f t="shared" si="10"/>
        <v>F</v>
      </c>
      <c r="T972" s="8">
        <f t="shared" si="11"/>
        <v>-1</v>
      </c>
      <c r="V972" s="4">
        <f t="shared" si="12"/>
        <v>-1</v>
      </c>
      <c r="W972" s="8">
        <f t="shared" si="13"/>
        <v>6.45</v>
      </c>
      <c r="X972" s="8">
        <f t="shared" si="14"/>
        <v>-6.45</v>
      </c>
      <c r="Y972" s="8">
        <f t="shared" si="15"/>
        <v>489.67</v>
      </c>
    </row>
    <row r="973">
      <c r="A973" s="2">
        <v>966.0</v>
      </c>
      <c r="B973" s="15">
        <f>IFERROR(__xludf.DUMMYFUNCTION("""COMPUTED_VALUE"""),43804.64583333333)</f>
        <v>43804.64583</v>
      </c>
      <c r="C973" s="8">
        <f>IFERROR(__xludf.DUMMYFUNCTION("""COMPUTED_VALUE"""),2327.55)</f>
        <v>2327.55</v>
      </c>
      <c r="E973" s="15">
        <f>IFERROR(__xludf.DUMMYFUNCTION("""COMPUTED_VALUE"""),43804.64583333333)</f>
        <v>43804.64583</v>
      </c>
      <c r="F973" s="8">
        <f>IFERROR(__xludf.DUMMYFUNCTION("""COMPUTED_VALUE"""),1245.6)</f>
        <v>1245.6</v>
      </c>
      <c r="H973" s="4">
        <f t="shared" si="1"/>
        <v>1081.95</v>
      </c>
      <c r="I973" s="16">
        <f t="shared" si="2"/>
        <v>1056.68</v>
      </c>
      <c r="J973" s="16">
        <f t="shared" si="3"/>
        <v>23.63706306</v>
      </c>
      <c r="K973" s="16">
        <f t="shared" si="4"/>
        <v>1080.317063</v>
      </c>
      <c r="L973" s="16">
        <f t="shared" si="5"/>
        <v>1033.042937</v>
      </c>
      <c r="N973" s="17" t="str">
        <f t="shared" si="6"/>
        <v>F</v>
      </c>
      <c r="O973" s="17" t="str">
        <f t="shared" si="7"/>
        <v>T</v>
      </c>
      <c r="P973" s="8">
        <f t="shared" si="8"/>
        <v>0</v>
      </c>
      <c r="R973" s="17" t="str">
        <f t="shared" si="9"/>
        <v>T</v>
      </c>
      <c r="S973" s="3" t="str">
        <f t="shared" si="10"/>
        <v>F</v>
      </c>
      <c r="T973" s="8">
        <f t="shared" si="11"/>
        <v>-1</v>
      </c>
      <c r="V973" s="4">
        <f t="shared" si="12"/>
        <v>-1</v>
      </c>
      <c r="W973" s="8">
        <f t="shared" si="13"/>
        <v>11.2</v>
      </c>
      <c r="X973" s="8">
        <f t="shared" si="14"/>
        <v>-11.2</v>
      </c>
      <c r="Y973" s="8">
        <f t="shared" si="15"/>
        <v>478.47</v>
      </c>
    </row>
    <row r="974">
      <c r="A974" s="2">
        <v>967.0</v>
      </c>
      <c r="B974" s="15">
        <f>IFERROR(__xludf.DUMMYFUNCTION("""COMPUTED_VALUE"""),43805.64583333333)</f>
        <v>43805.64583</v>
      </c>
      <c r="C974" s="8">
        <f>IFERROR(__xludf.DUMMYFUNCTION("""COMPUTED_VALUE"""),2264.65)</f>
        <v>2264.65</v>
      </c>
      <c r="E974" s="15">
        <f>IFERROR(__xludf.DUMMYFUNCTION("""COMPUTED_VALUE"""),43805.64583333333)</f>
        <v>43805.64583</v>
      </c>
      <c r="F974" s="8">
        <f>IFERROR(__xludf.DUMMYFUNCTION("""COMPUTED_VALUE"""),1246.05)</f>
        <v>1246.05</v>
      </c>
      <c r="H974" s="4">
        <f t="shared" si="1"/>
        <v>1018.6</v>
      </c>
      <c r="I974" s="16">
        <f t="shared" si="2"/>
        <v>1055.94</v>
      </c>
      <c r="J974" s="16">
        <f t="shared" si="3"/>
        <v>25.00103498</v>
      </c>
      <c r="K974" s="16">
        <f t="shared" si="4"/>
        <v>1080.941035</v>
      </c>
      <c r="L974" s="16">
        <f t="shared" si="5"/>
        <v>1030.938965</v>
      </c>
      <c r="N974" s="17" t="str">
        <f t="shared" si="6"/>
        <v>T</v>
      </c>
      <c r="O974" s="17" t="str">
        <f t="shared" si="7"/>
        <v>F</v>
      </c>
      <c r="P974" s="8">
        <f t="shared" si="8"/>
        <v>1</v>
      </c>
      <c r="R974" s="17" t="str">
        <f t="shared" si="9"/>
        <v>F</v>
      </c>
      <c r="S974" s="3" t="str">
        <f t="shared" si="10"/>
        <v>T</v>
      </c>
      <c r="T974" s="8">
        <f t="shared" si="11"/>
        <v>0</v>
      </c>
      <c r="V974" s="4">
        <f t="shared" si="12"/>
        <v>1</v>
      </c>
      <c r="W974" s="8">
        <f t="shared" si="13"/>
        <v>-63.35</v>
      </c>
      <c r="X974" s="8">
        <f t="shared" si="14"/>
        <v>63.35</v>
      </c>
      <c r="Y974" s="8">
        <f t="shared" si="15"/>
        <v>541.82</v>
      </c>
    </row>
    <row r="975">
      <c r="A975" s="2">
        <v>968.0</v>
      </c>
      <c r="B975" s="15">
        <f>IFERROR(__xludf.DUMMYFUNCTION("""COMPUTED_VALUE"""),43808.64583333333)</f>
        <v>43808.64583</v>
      </c>
      <c r="C975" s="8">
        <f>IFERROR(__xludf.DUMMYFUNCTION("""COMPUTED_VALUE"""),2311.4)</f>
        <v>2311.4</v>
      </c>
      <c r="E975" s="15">
        <f>IFERROR(__xludf.DUMMYFUNCTION("""COMPUTED_VALUE"""),43808.64583333333)</f>
        <v>43808.64583</v>
      </c>
      <c r="F975" s="8">
        <f>IFERROR(__xludf.DUMMYFUNCTION("""COMPUTED_VALUE"""),1242.95)</f>
        <v>1242.95</v>
      </c>
      <c r="H975" s="4">
        <f t="shared" si="1"/>
        <v>1068.45</v>
      </c>
      <c r="I975" s="16">
        <f t="shared" si="2"/>
        <v>1060.81</v>
      </c>
      <c r="J975" s="16">
        <f t="shared" si="3"/>
        <v>24.48436746</v>
      </c>
      <c r="K975" s="16">
        <f t="shared" si="4"/>
        <v>1085.294367</v>
      </c>
      <c r="L975" s="16">
        <f t="shared" si="5"/>
        <v>1036.325633</v>
      </c>
      <c r="N975" s="17" t="str">
        <f t="shared" si="6"/>
        <v>F</v>
      </c>
      <c r="O975" s="17" t="str">
        <f t="shared" si="7"/>
        <v>T</v>
      </c>
      <c r="P975" s="8">
        <f t="shared" si="8"/>
        <v>0</v>
      </c>
      <c r="R975" s="17" t="str">
        <f t="shared" si="9"/>
        <v>F</v>
      </c>
      <c r="S975" s="3" t="str">
        <f t="shared" si="10"/>
        <v>F</v>
      </c>
      <c r="T975" s="8">
        <f t="shared" si="11"/>
        <v>0</v>
      </c>
      <c r="V975" s="4">
        <f t="shared" si="12"/>
        <v>0</v>
      </c>
      <c r="W975" s="8">
        <f t="shared" si="13"/>
        <v>49.85</v>
      </c>
      <c r="X975" s="8">
        <f t="shared" si="14"/>
        <v>49.85</v>
      </c>
      <c r="Y975" s="8">
        <f t="shared" si="15"/>
        <v>591.67</v>
      </c>
    </row>
    <row r="976">
      <c r="A976" s="2">
        <v>969.0</v>
      </c>
      <c r="B976" s="15">
        <f>IFERROR(__xludf.DUMMYFUNCTION("""COMPUTED_VALUE"""),43809.64583333333)</f>
        <v>43809.64583</v>
      </c>
      <c r="C976" s="8">
        <f>IFERROR(__xludf.DUMMYFUNCTION("""COMPUTED_VALUE"""),2295.15)</f>
        <v>2295.15</v>
      </c>
      <c r="E976" s="15">
        <f>IFERROR(__xludf.DUMMYFUNCTION("""COMPUTED_VALUE"""),43809.64583333333)</f>
        <v>43809.64583</v>
      </c>
      <c r="F976" s="8">
        <f>IFERROR(__xludf.DUMMYFUNCTION("""COMPUTED_VALUE"""),1249.5)</f>
        <v>1249.5</v>
      </c>
      <c r="H976" s="4">
        <f t="shared" si="1"/>
        <v>1045.65</v>
      </c>
      <c r="I976" s="16">
        <f t="shared" si="2"/>
        <v>1057.08</v>
      </c>
      <c r="J976" s="16">
        <f t="shared" si="3"/>
        <v>25.22904081</v>
      </c>
      <c r="K976" s="16">
        <f t="shared" si="4"/>
        <v>1082.309041</v>
      </c>
      <c r="L976" s="16">
        <f t="shared" si="5"/>
        <v>1031.850959</v>
      </c>
      <c r="N976" s="17" t="str">
        <f t="shared" si="6"/>
        <v>F</v>
      </c>
      <c r="O976" s="17" t="str">
        <f t="shared" si="7"/>
        <v>F</v>
      </c>
      <c r="P976" s="8">
        <f t="shared" si="8"/>
        <v>0</v>
      </c>
      <c r="R976" s="17" t="str">
        <f t="shared" si="9"/>
        <v>F</v>
      </c>
      <c r="S976" s="3" t="str">
        <f t="shared" si="10"/>
        <v>T</v>
      </c>
      <c r="T976" s="8">
        <f t="shared" si="11"/>
        <v>0</v>
      </c>
      <c r="V976" s="4">
        <f t="shared" si="12"/>
        <v>0</v>
      </c>
      <c r="W976" s="8">
        <f t="shared" si="13"/>
        <v>-22.8</v>
      </c>
      <c r="X976" s="8">
        <f t="shared" si="14"/>
        <v>0</v>
      </c>
      <c r="Y976" s="8">
        <f t="shared" si="15"/>
        <v>591.67</v>
      </c>
    </row>
    <row r="977">
      <c r="A977" s="2">
        <v>970.0</v>
      </c>
      <c r="B977" s="15">
        <f>IFERROR(__xludf.DUMMYFUNCTION("""COMPUTED_VALUE"""),43810.64583333333)</f>
        <v>43810.64583</v>
      </c>
      <c r="C977" s="8">
        <f>IFERROR(__xludf.DUMMYFUNCTION("""COMPUTED_VALUE"""),2321.65)</f>
        <v>2321.65</v>
      </c>
      <c r="E977" s="15">
        <f>IFERROR(__xludf.DUMMYFUNCTION("""COMPUTED_VALUE"""),43810.64583333333)</f>
        <v>43810.64583</v>
      </c>
      <c r="F977" s="8">
        <f>IFERROR(__xludf.DUMMYFUNCTION("""COMPUTED_VALUE"""),1248.75)</f>
        <v>1248.75</v>
      </c>
      <c r="H977" s="4">
        <f t="shared" si="1"/>
        <v>1072.9</v>
      </c>
      <c r="I977" s="16">
        <f t="shared" si="2"/>
        <v>1057.51</v>
      </c>
      <c r="J977" s="16">
        <f t="shared" si="3"/>
        <v>25.53672356</v>
      </c>
      <c r="K977" s="16">
        <f t="shared" si="4"/>
        <v>1083.046724</v>
      </c>
      <c r="L977" s="16">
        <f t="shared" si="5"/>
        <v>1031.973276</v>
      </c>
      <c r="N977" s="17" t="str">
        <f t="shared" si="6"/>
        <v>F</v>
      </c>
      <c r="O977" s="17" t="str">
        <f t="shared" si="7"/>
        <v>T</v>
      </c>
      <c r="P977" s="8">
        <f t="shared" si="8"/>
        <v>0</v>
      </c>
      <c r="R977" s="17" t="str">
        <f t="shared" si="9"/>
        <v>F</v>
      </c>
      <c r="S977" s="3" t="str">
        <f t="shared" si="10"/>
        <v>F</v>
      </c>
      <c r="T977" s="8">
        <f t="shared" si="11"/>
        <v>0</v>
      </c>
      <c r="V977" s="4">
        <f t="shared" si="12"/>
        <v>0</v>
      </c>
      <c r="W977" s="8">
        <f t="shared" si="13"/>
        <v>27.25</v>
      </c>
      <c r="X977" s="8">
        <f t="shared" si="14"/>
        <v>0</v>
      </c>
      <c r="Y977" s="8">
        <f t="shared" si="15"/>
        <v>591.67</v>
      </c>
    </row>
    <row r="978">
      <c r="A978" s="2">
        <v>971.0</v>
      </c>
      <c r="B978" s="15">
        <f>IFERROR(__xludf.DUMMYFUNCTION("""COMPUTED_VALUE"""),43811.64583333333)</f>
        <v>43811.64583</v>
      </c>
      <c r="C978" s="8">
        <f>IFERROR(__xludf.DUMMYFUNCTION("""COMPUTED_VALUE"""),2318.45)</f>
        <v>2318.45</v>
      </c>
      <c r="E978" s="15">
        <f>IFERROR(__xludf.DUMMYFUNCTION("""COMPUTED_VALUE"""),43811.64583333333)</f>
        <v>43811.64583</v>
      </c>
      <c r="F978" s="8">
        <f>IFERROR(__xludf.DUMMYFUNCTION("""COMPUTED_VALUE"""),1263.6)</f>
        <v>1263.6</v>
      </c>
      <c r="H978" s="4">
        <f t="shared" si="1"/>
        <v>1054.85</v>
      </c>
      <c r="I978" s="16">
        <f t="shared" si="2"/>
        <v>1052.09</v>
      </c>
      <c r="J978" s="16">
        <f t="shared" si="3"/>
        <v>21.62970758</v>
      </c>
      <c r="K978" s="16">
        <f t="shared" si="4"/>
        <v>1073.719708</v>
      </c>
      <c r="L978" s="16">
        <f t="shared" si="5"/>
        <v>1030.460292</v>
      </c>
      <c r="N978" s="17" t="str">
        <f t="shared" si="6"/>
        <v>F</v>
      </c>
      <c r="O978" s="17" t="str">
        <f t="shared" si="7"/>
        <v>T</v>
      </c>
      <c r="P978" s="8">
        <f t="shared" si="8"/>
        <v>0</v>
      </c>
      <c r="R978" s="17" t="str">
        <f t="shared" si="9"/>
        <v>F</v>
      </c>
      <c r="S978" s="3" t="str">
        <f t="shared" si="10"/>
        <v>F</v>
      </c>
      <c r="T978" s="8">
        <f t="shared" si="11"/>
        <v>0</v>
      </c>
      <c r="V978" s="4">
        <f t="shared" si="12"/>
        <v>0</v>
      </c>
      <c r="W978" s="8">
        <f t="shared" si="13"/>
        <v>-18.05</v>
      </c>
      <c r="X978" s="8">
        <f t="shared" si="14"/>
        <v>0</v>
      </c>
      <c r="Y978" s="8">
        <f t="shared" si="15"/>
        <v>591.67</v>
      </c>
    </row>
    <row r="979">
      <c r="A979" s="2">
        <v>972.0</v>
      </c>
      <c r="B979" s="15">
        <f>IFERROR(__xludf.DUMMYFUNCTION("""COMPUTED_VALUE"""),43812.64583333333)</f>
        <v>43812.64583</v>
      </c>
      <c r="C979" s="8">
        <f>IFERROR(__xludf.DUMMYFUNCTION("""COMPUTED_VALUE"""),2354.5)</f>
        <v>2354.5</v>
      </c>
      <c r="E979" s="15">
        <f>IFERROR(__xludf.DUMMYFUNCTION("""COMPUTED_VALUE"""),43812.64583333333)</f>
        <v>43812.64583</v>
      </c>
      <c r="F979" s="8">
        <f>IFERROR(__xludf.DUMMYFUNCTION("""COMPUTED_VALUE"""),1263.85)</f>
        <v>1263.85</v>
      </c>
      <c r="H979" s="4">
        <f t="shared" si="1"/>
        <v>1090.65</v>
      </c>
      <c r="I979" s="16">
        <f t="shared" si="2"/>
        <v>1066.5</v>
      </c>
      <c r="J979" s="16">
        <f t="shared" si="3"/>
        <v>17.30917387</v>
      </c>
      <c r="K979" s="16">
        <f t="shared" si="4"/>
        <v>1083.809174</v>
      </c>
      <c r="L979" s="16">
        <f t="shared" si="5"/>
        <v>1049.190826</v>
      </c>
      <c r="N979" s="17" t="str">
        <f t="shared" si="6"/>
        <v>F</v>
      </c>
      <c r="O979" s="17" t="str">
        <f t="shared" si="7"/>
        <v>T</v>
      </c>
      <c r="P979" s="8">
        <f t="shared" si="8"/>
        <v>0</v>
      </c>
      <c r="R979" s="17" t="str">
        <f t="shared" si="9"/>
        <v>T</v>
      </c>
      <c r="S979" s="3" t="str">
        <f t="shared" si="10"/>
        <v>F</v>
      </c>
      <c r="T979" s="8">
        <f t="shared" si="11"/>
        <v>-1</v>
      </c>
      <c r="V979" s="4">
        <f t="shared" si="12"/>
        <v>-1</v>
      </c>
      <c r="W979" s="8">
        <f t="shared" si="13"/>
        <v>35.8</v>
      </c>
      <c r="X979" s="8">
        <f t="shared" si="14"/>
        <v>0</v>
      </c>
      <c r="Y979" s="8">
        <f t="shared" si="15"/>
        <v>591.67</v>
      </c>
    </row>
    <row r="980">
      <c r="A980" s="2">
        <v>973.0</v>
      </c>
      <c r="B980" s="15">
        <f>IFERROR(__xludf.DUMMYFUNCTION("""COMPUTED_VALUE"""),43815.64583333333)</f>
        <v>43815.64583</v>
      </c>
      <c r="C980" s="8">
        <f>IFERROR(__xludf.DUMMYFUNCTION("""COMPUTED_VALUE"""),2375.25)</f>
        <v>2375.25</v>
      </c>
      <c r="E980" s="15">
        <f>IFERROR(__xludf.DUMMYFUNCTION("""COMPUTED_VALUE"""),43815.64583333333)</f>
        <v>43815.64583</v>
      </c>
      <c r="F980" s="8">
        <f>IFERROR(__xludf.DUMMYFUNCTION("""COMPUTED_VALUE"""),1257.35)</f>
        <v>1257.35</v>
      </c>
      <c r="H980" s="4">
        <f t="shared" si="1"/>
        <v>1117.9</v>
      </c>
      <c r="I980" s="16">
        <f t="shared" si="2"/>
        <v>1076.39</v>
      </c>
      <c r="J980" s="16">
        <f t="shared" si="3"/>
        <v>28.92890855</v>
      </c>
      <c r="K980" s="16">
        <f t="shared" si="4"/>
        <v>1105.318909</v>
      </c>
      <c r="L980" s="16">
        <f t="shared" si="5"/>
        <v>1047.461091</v>
      </c>
      <c r="N980" s="17" t="str">
        <f t="shared" si="6"/>
        <v>F</v>
      </c>
      <c r="O980" s="17" t="str">
        <f t="shared" si="7"/>
        <v>T</v>
      </c>
      <c r="P980" s="8">
        <f t="shared" si="8"/>
        <v>0</v>
      </c>
      <c r="R980" s="17" t="str">
        <f t="shared" si="9"/>
        <v>T</v>
      </c>
      <c r="S980" s="3" t="str">
        <f t="shared" si="10"/>
        <v>F</v>
      </c>
      <c r="T980" s="8">
        <f t="shared" si="11"/>
        <v>-1</v>
      </c>
      <c r="V980" s="4">
        <f t="shared" si="12"/>
        <v>-1</v>
      </c>
      <c r="W980" s="8">
        <f t="shared" si="13"/>
        <v>27.25</v>
      </c>
      <c r="X980" s="8">
        <f t="shared" si="14"/>
        <v>-27.25</v>
      </c>
      <c r="Y980" s="8">
        <f t="shared" si="15"/>
        <v>564.42</v>
      </c>
    </row>
    <row r="981">
      <c r="A981" s="2">
        <v>974.0</v>
      </c>
      <c r="B981" s="15">
        <f>IFERROR(__xludf.DUMMYFUNCTION("""COMPUTED_VALUE"""),43816.64583333333)</f>
        <v>43816.64583</v>
      </c>
      <c r="C981" s="8">
        <f>IFERROR(__xludf.DUMMYFUNCTION("""COMPUTED_VALUE"""),2430.1)</f>
        <v>2430.1</v>
      </c>
      <c r="E981" s="15">
        <f>IFERROR(__xludf.DUMMYFUNCTION("""COMPUTED_VALUE"""),43816.64583333333)</f>
        <v>43816.64583</v>
      </c>
      <c r="F981" s="8">
        <f>IFERROR(__xludf.DUMMYFUNCTION("""COMPUTED_VALUE"""),1271.1)</f>
        <v>1271.1</v>
      </c>
      <c r="H981" s="4">
        <f t="shared" si="1"/>
        <v>1159</v>
      </c>
      <c r="I981" s="16">
        <f t="shared" si="2"/>
        <v>1099.06</v>
      </c>
      <c r="J981" s="16">
        <f t="shared" si="3"/>
        <v>40.79628353</v>
      </c>
      <c r="K981" s="16">
        <f t="shared" si="4"/>
        <v>1139.856284</v>
      </c>
      <c r="L981" s="16">
        <f t="shared" si="5"/>
        <v>1058.263716</v>
      </c>
      <c r="N981" s="17" t="str">
        <f t="shared" si="6"/>
        <v>F</v>
      </c>
      <c r="O981" s="17" t="str">
        <f t="shared" si="7"/>
        <v>T</v>
      </c>
      <c r="P981" s="8">
        <f t="shared" si="8"/>
        <v>0</v>
      </c>
      <c r="R981" s="17" t="str">
        <f t="shared" si="9"/>
        <v>T</v>
      </c>
      <c r="S981" s="3" t="str">
        <f t="shared" si="10"/>
        <v>F</v>
      </c>
      <c r="T981" s="8">
        <f t="shared" si="11"/>
        <v>-1</v>
      </c>
      <c r="V981" s="4">
        <f t="shared" si="12"/>
        <v>-1</v>
      </c>
      <c r="W981" s="8">
        <f t="shared" si="13"/>
        <v>41.1</v>
      </c>
      <c r="X981" s="8">
        <f t="shared" si="14"/>
        <v>-41.1</v>
      </c>
      <c r="Y981" s="8">
        <f t="shared" si="15"/>
        <v>523.32</v>
      </c>
    </row>
    <row r="982">
      <c r="A982" s="2">
        <v>975.0</v>
      </c>
      <c r="B982" s="15">
        <f>IFERROR(__xludf.DUMMYFUNCTION("""COMPUTED_VALUE"""),43817.64583333333)</f>
        <v>43817.64583</v>
      </c>
      <c r="C982" s="8">
        <f>IFERROR(__xludf.DUMMYFUNCTION("""COMPUTED_VALUE"""),2445.15)</f>
        <v>2445.15</v>
      </c>
      <c r="E982" s="15">
        <f>IFERROR(__xludf.DUMMYFUNCTION("""COMPUTED_VALUE"""),43817.64583333333)</f>
        <v>43817.64583</v>
      </c>
      <c r="F982" s="8">
        <f>IFERROR(__xludf.DUMMYFUNCTION("""COMPUTED_VALUE"""),1292.35)</f>
        <v>1292.35</v>
      </c>
      <c r="H982" s="4">
        <f t="shared" si="1"/>
        <v>1152.8</v>
      </c>
      <c r="I982" s="16">
        <f t="shared" si="2"/>
        <v>1115.04</v>
      </c>
      <c r="J982" s="16">
        <f t="shared" si="3"/>
        <v>43.54361894</v>
      </c>
      <c r="K982" s="16">
        <f t="shared" si="4"/>
        <v>1158.583619</v>
      </c>
      <c r="L982" s="16">
        <f t="shared" si="5"/>
        <v>1071.496381</v>
      </c>
      <c r="N982" s="17" t="str">
        <f t="shared" si="6"/>
        <v>F</v>
      </c>
      <c r="O982" s="17" t="str">
        <f t="shared" si="7"/>
        <v>T</v>
      </c>
      <c r="P982" s="8">
        <f t="shared" si="8"/>
        <v>0</v>
      </c>
      <c r="R982" s="17" t="str">
        <f t="shared" si="9"/>
        <v>F</v>
      </c>
      <c r="S982" s="3" t="str">
        <f t="shared" si="10"/>
        <v>F</v>
      </c>
      <c r="T982" s="8">
        <f t="shared" si="11"/>
        <v>-1</v>
      </c>
      <c r="V982" s="4">
        <f t="shared" si="12"/>
        <v>-1</v>
      </c>
      <c r="W982" s="8">
        <f t="shared" si="13"/>
        <v>-6.2</v>
      </c>
      <c r="X982" s="8">
        <f t="shared" si="14"/>
        <v>6.2</v>
      </c>
      <c r="Y982" s="8">
        <f t="shared" si="15"/>
        <v>529.52</v>
      </c>
    </row>
    <row r="983">
      <c r="A983" s="2">
        <v>976.0</v>
      </c>
      <c r="B983" s="15">
        <f>IFERROR(__xludf.DUMMYFUNCTION("""COMPUTED_VALUE"""),43818.64583333333)</f>
        <v>43818.64583</v>
      </c>
      <c r="C983" s="8">
        <f>IFERROR(__xludf.DUMMYFUNCTION("""COMPUTED_VALUE"""),2411.9)</f>
        <v>2411.9</v>
      </c>
      <c r="E983" s="15">
        <f>IFERROR(__xludf.DUMMYFUNCTION("""COMPUTED_VALUE"""),43818.64583333333)</f>
        <v>43818.64583</v>
      </c>
      <c r="F983" s="8">
        <f>IFERROR(__xludf.DUMMYFUNCTION("""COMPUTED_VALUE"""),1288.8)</f>
        <v>1288.8</v>
      </c>
      <c r="H983" s="4">
        <f t="shared" si="1"/>
        <v>1123.1</v>
      </c>
      <c r="I983" s="16">
        <f t="shared" si="2"/>
        <v>1128.69</v>
      </c>
      <c r="J983" s="16">
        <f t="shared" si="3"/>
        <v>27.81502292</v>
      </c>
      <c r="K983" s="16">
        <f t="shared" si="4"/>
        <v>1156.505023</v>
      </c>
      <c r="L983" s="16">
        <f t="shared" si="5"/>
        <v>1100.874977</v>
      </c>
      <c r="N983" s="17" t="str">
        <f t="shared" si="6"/>
        <v>F</v>
      </c>
      <c r="O983" s="17" t="str">
        <f t="shared" si="7"/>
        <v>F</v>
      </c>
      <c r="P983" s="8">
        <f t="shared" si="8"/>
        <v>0</v>
      </c>
      <c r="R983" s="17" t="str">
        <f t="shared" si="9"/>
        <v>F</v>
      </c>
      <c r="S983" s="3" t="str">
        <f t="shared" si="10"/>
        <v>T</v>
      </c>
      <c r="T983" s="8">
        <f t="shared" si="11"/>
        <v>0</v>
      </c>
      <c r="V983" s="4">
        <f t="shared" si="12"/>
        <v>0</v>
      </c>
      <c r="W983" s="8">
        <f t="shared" si="13"/>
        <v>-29.7</v>
      </c>
      <c r="X983" s="8">
        <f t="shared" si="14"/>
        <v>29.7</v>
      </c>
      <c r="Y983" s="8">
        <f t="shared" si="15"/>
        <v>559.22</v>
      </c>
    </row>
    <row r="984">
      <c r="A984" s="2">
        <v>977.0</v>
      </c>
      <c r="B984" s="15">
        <f>IFERROR(__xludf.DUMMYFUNCTION("""COMPUTED_VALUE"""),43819.64583333333)</f>
        <v>43819.64583</v>
      </c>
      <c r="C984" s="8">
        <f>IFERROR(__xludf.DUMMYFUNCTION("""COMPUTED_VALUE"""),2404.1)</f>
        <v>2404.1</v>
      </c>
      <c r="E984" s="15">
        <f>IFERROR(__xludf.DUMMYFUNCTION("""COMPUTED_VALUE"""),43819.64583333333)</f>
        <v>43819.64583</v>
      </c>
      <c r="F984" s="8">
        <f>IFERROR(__xludf.DUMMYFUNCTION("""COMPUTED_VALUE"""),1296.7)</f>
        <v>1296.7</v>
      </c>
      <c r="H984" s="4">
        <f t="shared" si="1"/>
        <v>1107.4</v>
      </c>
      <c r="I984" s="16">
        <f t="shared" si="2"/>
        <v>1132.04</v>
      </c>
      <c r="J984" s="16">
        <f t="shared" si="3"/>
        <v>22.60979876</v>
      </c>
      <c r="K984" s="16">
        <f t="shared" si="4"/>
        <v>1154.649799</v>
      </c>
      <c r="L984" s="16">
        <f t="shared" si="5"/>
        <v>1109.430201</v>
      </c>
      <c r="N984" s="17" t="str">
        <f t="shared" si="6"/>
        <v>T</v>
      </c>
      <c r="O984" s="17" t="str">
        <f t="shared" si="7"/>
        <v>F</v>
      </c>
      <c r="P984" s="8">
        <f t="shared" si="8"/>
        <v>1</v>
      </c>
      <c r="R984" s="17" t="str">
        <f t="shared" si="9"/>
        <v>F</v>
      </c>
      <c r="S984" s="3" t="str">
        <f t="shared" si="10"/>
        <v>T</v>
      </c>
      <c r="T984" s="8">
        <f t="shared" si="11"/>
        <v>0</v>
      </c>
      <c r="V984" s="4">
        <f t="shared" si="12"/>
        <v>1</v>
      </c>
      <c r="W984" s="8">
        <f t="shared" si="13"/>
        <v>-15.7</v>
      </c>
      <c r="X984" s="8">
        <f t="shared" si="14"/>
        <v>0</v>
      </c>
      <c r="Y984" s="8">
        <f t="shared" si="15"/>
        <v>559.22</v>
      </c>
    </row>
    <row r="985">
      <c r="A985" s="2">
        <v>978.0</v>
      </c>
      <c r="B985" s="15">
        <f>IFERROR(__xludf.DUMMYFUNCTION("""COMPUTED_VALUE"""),43822.64583333333)</f>
        <v>43822.64583</v>
      </c>
      <c r="C985" s="8">
        <f>IFERROR(__xludf.DUMMYFUNCTION("""COMPUTED_VALUE"""),2422.65)</f>
        <v>2422.65</v>
      </c>
      <c r="E985" s="15">
        <f>IFERROR(__xludf.DUMMYFUNCTION("""COMPUTED_VALUE"""),43822.64583333333)</f>
        <v>43822.64583</v>
      </c>
      <c r="F985" s="8">
        <f>IFERROR(__xludf.DUMMYFUNCTION("""COMPUTED_VALUE"""),1302.4)</f>
        <v>1302.4</v>
      </c>
      <c r="H985" s="4">
        <f t="shared" si="1"/>
        <v>1120.25</v>
      </c>
      <c r="I985" s="16">
        <f t="shared" si="2"/>
        <v>1132.51</v>
      </c>
      <c r="J985" s="16">
        <f t="shared" si="3"/>
        <v>22.26416403</v>
      </c>
      <c r="K985" s="16">
        <f t="shared" si="4"/>
        <v>1154.774164</v>
      </c>
      <c r="L985" s="16">
        <f t="shared" si="5"/>
        <v>1110.245836</v>
      </c>
      <c r="N985" s="17" t="str">
        <f t="shared" si="6"/>
        <v>F</v>
      </c>
      <c r="O985" s="17" t="str">
        <f t="shared" si="7"/>
        <v>F</v>
      </c>
      <c r="P985" s="8">
        <f t="shared" si="8"/>
        <v>1</v>
      </c>
      <c r="R985" s="17" t="str">
        <f t="shared" si="9"/>
        <v>F</v>
      </c>
      <c r="S985" s="3" t="str">
        <f t="shared" si="10"/>
        <v>T</v>
      </c>
      <c r="T985" s="8">
        <f t="shared" si="11"/>
        <v>0</v>
      </c>
      <c r="V985" s="4">
        <f t="shared" si="12"/>
        <v>1</v>
      </c>
      <c r="W985" s="8">
        <f t="shared" si="13"/>
        <v>12.85</v>
      </c>
      <c r="X985" s="8">
        <f t="shared" si="14"/>
        <v>12.85</v>
      </c>
      <c r="Y985" s="8">
        <f t="shared" si="15"/>
        <v>572.07</v>
      </c>
    </row>
    <row r="986">
      <c r="A986" s="2">
        <v>979.0</v>
      </c>
      <c r="B986" s="15">
        <f>IFERROR(__xludf.DUMMYFUNCTION("""COMPUTED_VALUE"""),43823.64583333333)</f>
        <v>43823.64583</v>
      </c>
      <c r="C986" s="8">
        <f>IFERROR(__xludf.DUMMYFUNCTION("""COMPUTED_VALUE"""),2412.75)</f>
        <v>2412.75</v>
      </c>
      <c r="E986" s="15">
        <f>IFERROR(__xludf.DUMMYFUNCTION("""COMPUTED_VALUE"""),43823.64583333333)</f>
        <v>43823.64583</v>
      </c>
      <c r="F986" s="8">
        <f>IFERROR(__xludf.DUMMYFUNCTION("""COMPUTED_VALUE"""),1289.15)</f>
        <v>1289.15</v>
      </c>
      <c r="H986" s="4">
        <f t="shared" si="1"/>
        <v>1123.6</v>
      </c>
      <c r="I986" s="16">
        <f t="shared" si="2"/>
        <v>1125.43</v>
      </c>
      <c r="J986" s="16">
        <f t="shared" si="3"/>
        <v>16.65689047</v>
      </c>
      <c r="K986" s="16">
        <f t="shared" si="4"/>
        <v>1142.08689</v>
      </c>
      <c r="L986" s="16">
        <f t="shared" si="5"/>
        <v>1108.77311</v>
      </c>
      <c r="N986" s="17" t="str">
        <f t="shared" si="6"/>
        <v>F</v>
      </c>
      <c r="O986" s="17" t="str">
        <f t="shared" si="7"/>
        <v>F</v>
      </c>
      <c r="P986" s="8">
        <f t="shared" si="8"/>
        <v>1</v>
      </c>
      <c r="R986" s="17" t="str">
        <f t="shared" si="9"/>
        <v>F</v>
      </c>
      <c r="S986" s="3" t="str">
        <f t="shared" si="10"/>
        <v>T</v>
      </c>
      <c r="T986" s="8">
        <f t="shared" si="11"/>
        <v>0</v>
      </c>
      <c r="V986" s="4">
        <f t="shared" si="12"/>
        <v>1</v>
      </c>
      <c r="W986" s="8">
        <f t="shared" si="13"/>
        <v>3.35</v>
      </c>
      <c r="X986" s="8">
        <f t="shared" si="14"/>
        <v>3.35</v>
      </c>
      <c r="Y986" s="8">
        <f t="shared" si="15"/>
        <v>575.42</v>
      </c>
    </row>
    <row r="987">
      <c r="A987" s="2">
        <v>980.0</v>
      </c>
      <c r="B987" s="15">
        <f>IFERROR(__xludf.DUMMYFUNCTION("""COMPUTED_VALUE"""),43825.64583333333)</f>
        <v>43825.64583</v>
      </c>
      <c r="C987" s="8">
        <f>IFERROR(__xludf.DUMMYFUNCTION("""COMPUTED_VALUE"""),2414.1)</f>
        <v>2414.1</v>
      </c>
      <c r="E987" s="15">
        <f>IFERROR(__xludf.DUMMYFUNCTION("""COMPUTED_VALUE"""),43825.64583333333)</f>
        <v>43825.64583</v>
      </c>
      <c r="F987" s="8">
        <f>IFERROR(__xludf.DUMMYFUNCTION("""COMPUTED_VALUE"""),1270.45)</f>
        <v>1270.45</v>
      </c>
      <c r="H987" s="4">
        <f t="shared" si="1"/>
        <v>1143.65</v>
      </c>
      <c r="I987" s="16">
        <f t="shared" si="2"/>
        <v>1123.6</v>
      </c>
      <c r="J987" s="16">
        <f t="shared" si="3"/>
        <v>12.99918267</v>
      </c>
      <c r="K987" s="16">
        <f t="shared" si="4"/>
        <v>1136.599183</v>
      </c>
      <c r="L987" s="16">
        <f t="shared" si="5"/>
        <v>1110.600817</v>
      </c>
      <c r="N987" s="17" t="str">
        <f t="shared" si="6"/>
        <v>F</v>
      </c>
      <c r="O987" s="17" t="str">
        <f t="shared" si="7"/>
        <v>T</v>
      </c>
      <c r="P987" s="8">
        <f t="shared" si="8"/>
        <v>0</v>
      </c>
      <c r="R987" s="17" t="str">
        <f t="shared" si="9"/>
        <v>T</v>
      </c>
      <c r="S987" s="3" t="str">
        <f t="shared" si="10"/>
        <v>F</v>
      </c>
      <c r="T987" s="8">
        <f t="shared" si="11"/>
        <v>-1</v>
      </c>
      <c r="V987" s="4">
        <f t="shared" si="12"/>
        <v>-1</v>
      </c>
      <c r="W987" s="8">
        <f t="shared" si="13"/>
        <v>20.05</v>
      </c>
      <c r="X987" s="8">
        <f t="shared" si="14"/>
        <v>20.05</v>
      </c>
      <c r="Y987" s="8">
        <f t="shared" si="15"/>
        <v>595.47</v>
      </c>
    </row>
    <row r="988">
      <c r="A988" s="2">
        <v>981.0</v>
      </c>
      <c r="B988" s="15">
        <f>IFERROR(__xludf.DUMMYFUNCTION("""COMPUTED_VALUE"""),43826.64583333333)</f>
        <v>43826.64583</v>
      </c>
      <c r="C988" s="8">
        <f>IFERROR(__xludf.DUMMYFUNCTION("""COMPUTED_VALUE"""),2444.15)</f>
        <v>2444.15</v>
      </c>
      <c r="E988" s="15">
        <f>IFERROR(__xludf.DUMMYFUNCTION("""COMPUTED_VALUE"""),43826.64583333333)</f>
        <v>43826.64583</v>
      </c>
      <c r="F988" s="8">
        <f>IFERROR(__xludf.DUMMYFUNCTION("""COMPUTED_VALUE"""),1275.0)</f>
        <v>1275</v>
      </c>
      <c r="H988" s="4">
        <f t="shared" si="1"/>
        <v>1169.15</v>
      </c>
      <c r="I988" s="16">
        <f t="shared" si="2"/>
        <v>1132.81</v>
      </c>
      <c r="J988" s="16">
        <f t="shared" si="3"/>
        <v>24.11610976</v>
      </c>
      <c r="K988" s="16">
        <f t="shared" si="4"/>
        <v>1156.92611</v>
      </c>
      <c r="L988" s="16">
        <f t="shared" si="5"/>
        <v>1108.69389</v>
      </c>
      <c r="N988" s="17" t="str">
        <f t="shared" si="6"/>
        <v>F</v>
      </c>
      <c r="O988" s="17" t="str">
        <f t="shared" si="7"/>
        <v>T</v>
      </c>
      <c r="P988" s="8">
        <f t="shared" si="8"/>
        <v>0</v>
      </c>
      <c r="R988" s="17" t="str">
        <f t="shared" si="9"/>
        <v>T</v>
      </c>
      <c r="S988" s="3" t="str">
        <f t="shared" si="10"/>
        <v>F</v>
      </c>
      <c r="T988" s="8">
        <f t="shared" si="11"/>
        <v>-1</v>
      </c>
      <c r="V988" s="4">
        <f t="shared" si="12"/>
        <v>-1</v>
      </c>
      <c r="W988" s="8">
        <f t="shared" si="13"/>
        <v>25.5</v>
      </c>
      <c r="X988" s="8">
        <f t="shared" si="14"/>
        <v>-25.5</v>
      </c>
      <c r="Y988" s="8">
        <f t="shared" si="15"/>
        <v>569.97</v>
      </c>
    </row>
    <row r="989">
      <c r="A989" s="2">
        <v>982.0</v>
      </c>
      <c r="B989" s="15">
        <f>IFERROR(__xludf.DUMMYFUNCTION("""COMPUTED_VALUE"""),43829.64583333333)</f>
        <v>43829.64583</v>
      </c>
      <c r="C989" s="8">
        <f>IFERROR(__xludf.DUMMYFUNCTION("""COMPUTED_VALUE"""),2438.25)</f>
        <v>2438.25</v>
      </c>
      <c r="E989" s="15">
        <f>IFERROR(__xludf.DUMMYFUNCTION("""COMPUTED_VALUE"""),43829.64583333333)</f>
        <v>43829.64583</v>
      </c>
      <c r="F989" s="8">
        <f>IFERROR(__xludf.DUMMYFUNCTION("""COMPUTED_VALUE"""),1282.15)</f>
        <v>1282.15</v>
      </c>
      <c r="H989" s="4">
        <f t="shared" si="1"/>
        <v>1156.1</v>
      </c>
      <c r="I989" s="16">
        <f t="shared" si="2"/>
        <v>1142.55</v>
      </c>
      <c r="J989" s="16">
        <f t="shared" si="3"/>
        <v>20.90911882</v>
      </c>
      <c r="K989" s="16">
        <f t="shared" si="4"/>
        <v>1163.459119</v>
      </c>
      <c r="L989" s="16">
        <f t="shared" si="5"/>
        <v>1121.640881</v>
      </c>
      <c r="N989" s="17" t="str">
        <f t="shared" si="6"/>
        <v>F</v>
      </c>
      <c r="O989" s="17" t="str">
        <f t="shared" si="7"/>
        <v>T</v>
      </c>
      <c r="P989" s="8">
        <f t="shared" si="8"/>
        <v>0</v>
      </c>
      <c r="R989" s="17" t="str">
        <f t="shared" si="9"/>
        <v>F</v>
      </c>
      <c r="S989" s="3" t="str">
        <f t="shared" si="10"/>
        <v>F</v>
      </c>
      <c r="T989" s="8">
        <f t="shared" si="11"/>
        <v>-1</v>
      </c>
      <c r="V989" s="4">
        <f t="shared" si="12"/>
        <v>-1</v>
      </c>
      <c r="W989" s="8">
        <f t="shared" si="13"/>
        <v>-13.05</v>
      </c>
      <c r="X989" s="8">
        <f t="shared" si="14"/>
        <v>13.05</v>
      </c>
      <c r="Y989" s="8">
        <f t="shared" si="15"/>
        <v>583.02</v>
      </c>
    </row>
    <row r="990">
      <c r="A990" s="2">
        <v>983.0</v>
      </c>
      <c r="B990" s="15">
        <f>IFERROR(__xludf.DUMMYFUNCTION("""COMPUTED_VALUE"""),43830.64583333333)</f>
        <v>43830.64583</v>
      </c>
      <c r="C990" s="8">
        <f>IFERROR(__xludf.DUMMYFUNCTION("""COMPUTED_VALUE"""),2412.55)</f>
        <v>2412.55</v>
      </c>
      <c r="E990" s="15">
        <f>IFERROR(__xludf.DUMMYFUNCTION("""COMPUTED_VALUE"""),43830.64583333333)</f>
        <v>43830.64583</v>
      </c>
      <c r="F990" s="8">
        <f>IFERROR(__xludf.DUMMYFUNCTION("""COMPUTED_VALUE"""),1272.1)</f>
        <v>1272.1</v>
      </c>
      <c r="H990" s="4">
        <f t="shared" si="1"/>
        <v>1140.45</v>
      </c>
      <c r="I990" s="16">
        <f t="shared" si="2"/>
        <v>1146.59</v>
      </c>
      <c r="J990" s="16">
        <f t="shared" si="3"/>
        <v>17.13386267</v>
      </c>
      <c r="K990" s="16">
        <f t="shared" si="4"/>
        <v>1163.723863</v>
      </c>
      <c r="L990" s="16">
        <f t="shared" si="5"/>
        <v>1129.456137</v>
      </c>
      <c r="N990" s="17" t="str">
        <f t="shared" si="6"/>
        <v>F</v>
      </c>
      <c r="O990" s="17" t="str">
        <f t="shared" si="7"/>
        <v>F</v>
      </c>
      <c r="P990" s="8">
        <f t="shared" si="8"/>
        <v>0</v>
      </c>
      <c r="R990" s="17" t="str">
        <f t="shared" si="9"/>
        <v>F</v>
      </c>
      <c r="S990" s="3" t="str">
        <f t="shared" si="10"/>
        <v>T</v>
      </c>
      <c r="T990" s="8">
        <f t="shared" si="11"/>
        <v>0</v>
      </c>
      <c r="V990" s="4">
        <f t="shared" si="12"/>
        <v>0</v>
      </c>
      <c r="W990" s="8">
        <f t="shared" si="13"/>
        <v>-15.65</v>
      </c>
      <c r="X990" s="8">
        <f t="shared" si="14"/>
        <v>15.65</v>
      </c>
      <c r="Y990" s="8">
        <f t="shared" si="15"/>
        <v>598.67</v>
      </c>
    </row>
    <row r="991">
      <c r="A991" s="2">
        <v>984.0</v>
      </c>
      <c r="B991" s="15">
        <f>IFERROR(__xludf.DUMMYFUNCTION("""COMPUTED_VALUE"""),43831.64583333333)</f>
        <v>43831.64583</v>
      </c>
      <c r="C991" s="8">
        <f>IFERROR(__xludf.DUMMYFUNCTION("""COMPUTED_VALUE"""),2433.95)</f>
        <v>2433.95</v>
      </c>
      <c r="E991" s="15">
        <f>IFERROR(__xludf.DUMMYFUNCTION("""COMPUTED_VALUE"""),43831.64583333333)</f>
        <v>43831.64583</v>
      </c>
      <c r="F991" s="8">
        <f>IFERROR(__xludf.DUMMYFUNCTION("""COMPUTED_VALUE"""),1278.6)</f>
        <v>1278.6</v>
      </c>
      <c r="H991" s="4">
        <f t="shared" si="1"/>
        <v>1155.35</v>
      </c>
      <c r="I991" s="16">
        <f t="shared" si="2"/>
        <v>1152.94</v>
      </c>
      <c r="J991" s="16">
        <f t="shared" si="3"/>
        <v>11.41120064</v>
      </c>
      <c r="K991" s="16">
        <f t="shared" si="4"/>
        <v>1164.351201</v>
      </c>
      <c r="L991" s="16">
        <f t="shared" si="5"/>
        <v>1141.528799</v>
      </c>
      <c r="N991" s="17" t="str">
        <f t="shared" si="6"/>
        <v>F</v>
      </c>
      <c r="O991" s="17" t="str">
        <f t="shared" si="7"/>
        <v>T</v>
      </c>
      <c r="P991" s="8">
        <f t="shared" si="8"/>
        <v>0</v>
      </c>
      <c r="R991" s="17" t="str">
        <f t="shared" si="9"/>
        <v>F</v>
      </c>
      <c r="S991" s="3" t="str">
        <f t="shared" si="10"/>
        <v>F</v>
      </c>
      <c r="T991" s="8">
        <f t="shared" si="11"/>
        <v>0</v>
      </c>
      <c r="V991" s="4">
        <f t="shared" si="12"/>
        <v>0</v>
      </c>
      <c r="W991" s="8">
        <f t="shared" si="13"/>
        <v>14.9</v>
      </c>
      <c r="X991" s="8">
        <f t="shared" si="14"/>
        <v>0</v>
      </c>
      <c r="Y991" s="8">
        <f t="shared" si="15"/>
        <v>598.67</v>
      </c>
    </row>
    <row r="992">
      <c r="A992" s="2">
        <v>985.0</v>
      </c>
      <c r="B992" s="15">
        <f>IFERROR(__xludf.DUMMYFUNCTION("""COMPUTED_VALUE"""),43832.64583333333)</f>
        <v>43832.64583</v>
      </c>
      <c r="C992" s="8">
        <f>IFERROR(__xludf.DUMMYFUNCTION("""COMPUTED_VALUE"""),2466.4)</f>
        <v>2466.4</v>
      </c>
      <c r="E992" s="15">
        <f>IFERROR(__xludf.DUMMYFUNCTION("""COMPUTED_VALUE"""),43832.64583333333)</f>
        <v>43832.64583</v>
      </c>
      <c r="F992" s="8">
        <f>IFERROR(__xludf.DUMMYFUNCTION("""COMPUTED_VALUE"""),1286.75)</f>
        <v>1286.75</v>
      </c>
      <c r="H992" s="4">
        <f t="shared" si="1"/>
        <v>1179.65</v>
      </c>
      <c r="I992" s="16">
        <f t="shared" si="2"/>
        <v>1160.14</v>
      </c>
      <c r="J992" s="16">
        <f t="shared" si="3"/>
        <v>14.90622353</v>
      </c>
      <c r="K992" s="16">
        <f t="shared" si="4"/>
        <v>1175.046224</v>
      </c>
      <c r="L992" s="16">
        <f t="shared" si="5"/>
        <v>1145.233776</v>
      </c>
      <c r="N992" s="17" t="str">
        <f t="shared" si="6"/>
        <v>F</v>
      </c>
      <c r="O992" s="17" t="str">
        <f t="shared" si="7"/>
        <v>T</v>
      </c>
      <c r="P992" s="8">
        <f t="shared" si="8"/>
        <v>0</v>
      </c>
      <c r="R992" s="17" t="str">
        <f t="shared" si="9"/>
        <v>T</v>
      </c>
      <c r="S992" s="3" t="str">
        <f t="shared" si="10"/>
        <v>F</v>
      </c>
      <c r="T992" s="8">
        <f t="shared" si="11"/>
        <v>-1</v>
      </c>
      <c r="V992" s="4">
        <f t="shared" si="12"/>
        <v>-1</v>
      </c>
      <c r="W992" s="8">
        <f t="shared" si="13"/>
        <v>24.3</v>
      </c>
      <c r="X992" s="8">
        <f t="shared" si="14"/>
        <v>0</v>
      </c>
      <c r="Y992" s="8">
        <f t="shared" si="15"/>
        <v>598.67</v>
      </c>
    </row>
    <row r="993">
      <c r="A993" s="2">
        <v>986.0</v>
      </c>
      <c r="B993" s="15">
        <f>IFERROR(__xludf.DUMMYFUNCTION("""COMPUTED_VALUE"""),43833.64583333333)</f>
        <v>43833.64583</v>
      </c>
      <c r="C993" s="8">
        <f>IFERROR(__xludf.DUMMYFUNCTION("""COMPUTED_VALUE"""),2454.45)</f>
        <v>2454.45</v>
      </c>
      <c r="E993" s="15">
        <f>IFERROR(__xludf.DUMMYFUNCTION("""COMPUTED_VALUE"""),43833.64583333333)</f>
        <v>43833.64583</v>
      </c>
      <c r="F993" s="8">
        <f>IFERROR(__xludf.DUMMYFUNCTION("""COMPUTED_VALUE"""),1268.4)</f>
        <v>1268.4</v>
      </c>
      <c r="H993" s="4">
        <f t="shared" si="1"/>
        <v>1186.05</v>
      </c>
      <c r="I993" s="16">
        <f t="shared" si="2"/>
        <v>1163.52</v>
      </c>
      <c r="J993" s="16">
        <f t="shared" si="3"/>
        <v>18.8534347</v>
      </c>
      <c r="K993" s="16">
        <f t="shared" si="4"/>
        <v>1182.373435</v>
      </c>
      <c r="L993" s="16">
        <f t="shared" si="5"/>
        <v>1144.666565</v>
      </c>
      <c r="N993" s="17" t="str">
        <f t="shared" si="6"/>
        <v>F</v>
      </c>
      <c r="O993" s="17" t="str">
        <f t="shared" si="7"/>
        <v>T</v>
      </c>
      <c r="P993" s="8">
        <f t="shared" si="8"/>
        <v>0</v>
      </c>
      <c r="R993" s="17" t="str">
        <f t="shared" si="9"/>
        <v>T</v>
      </c>
      <c r="S993" s="3" t="str">
        <f t="shared" si="10"/>
        <v>F</v>
      </c>
      <c r="T993" s="8">
        <f t="shared" si="11"/>
        <v>-1</v>
      </c>
      <c r="V993" s="4">
        <f t="shared" si="12"/>
        <v>-1</v>
      </c>
      <c r="W993" s="8">
        <f t="shared" si="13"/>
        <v>6.4</v>
      </c>
      <c r="X993" s="8">
        <f t="shared" si="14"/>
        <v>-6.4</v>
      </c>
      <c r="Y993" s="8">
        <f t="shared" si="15"/>
        <v>592.27</v>
      </c>
    </row>
    <row r="994">
      <c r="A994" s="2">
        <v>987.0</v>
      </c>
      <c r="B994" s="15">
        <f>IFERROR(__xludf.DUMMYFUNCTION("""COMPUTED_VALUE"""),43836.64583333333)</f>
        <v>43836.64583</v>
      </c>
      <c r="C994" s="8">
        <f>IFERROR(__xludf.DUMMYFUNCTION("""COMPUTED_VALUE"""),2384.1)</f>
        <v>2384.1</v>
      </c>
      <c r="E994" s="15">
        <f>IFERROR(__xludf.DUMMYFUNCTION("""COMPUTED_VALUE"""),43836.64583333333)</f>
        <v>43836.64583</v>
      </c>
      <c r="F994" s="8">
        <f>IFERROR(__xludf.DUMMYFUNCTION("""COMPUTED_VALUE"""),1240.95)</f>
        <v>1240.95</v>
      </c>
      <c r="H994" s="4">
        <f t="shared" si="1"/>
        <v>1143.15</v>
      </c>
      <c r="I994" s="16">
        <f t="shared" si="2"/>
        <v>1160.93</v>
      </c>
      <c r="J994" s="16">
        <f t="shared" si="3"/>
        <v>20.90542992</v>
      </c>
      <c r="K994" s="16">
        <f t="shared" si="4"/>
        <v>1181.83543</v>
      </c>
      <c r="L994" s="16">
        <f t="shared" si="5"/>
        <v>1140.02457</v>
      </c>
      <c r="N994" s="17" t="str">
        <f t="shared" si="6"/>
        <v>F</v>
      </c>
      <c r="O994" s="17" t="str">
        <f t="shared" si="7"/>
        <v>F</v>
      </c>
      <c r="P994" s="8">
        <f t="shared" si="8"/>
        <v>0</v>
      </c>
      <c r="R994" s="17" t="str">
        <f t="shared" si="9"/>
        <v>F</v>
      </c>
      <c r="S994" s="3" t="str">
        <f t="shared" si="10"/>
        <v>T</v>
      </c>
      <c r="T994" s="8">
        <f t="shared" si="11"/>
        <v>0</v>
      </c>
      <c r="V994" s="4">
        <f t="shared" si="12"/>
        <v>0</v>
      </c>
      <c r="W994" s="8">
        <f t="shared" si="13"/>
        <v>-42.9</v>
      </c>
      <c r="X994" s="8">
        <f t="shared" si="14"/>
        <v>42.9</v>
      </c>
      <c r="Y994" s="8">
        <f t="shared" si="15"/>
        <v>635.17</v>
      </c>
    </row>
    <row r="995">
      <c r="A995" s="2">
        <v>988.0</v>
      </c>
      <c r="B995" s="15">
        <f>IFERROR(__xludf.DUMMYFUNCTION("""COMPUTED_VALUE"""),43837.64583333333)</f>
        <v>43837.64583</v>
      </c>
      <c r="C995" s="8">
        <f>IFERROR(__xludf.DUMMYFUNCTION("""COMPUTED_VALUE"""),2415.05)</f>
        <v>2415.05</v>
      </c>
      <c r="E995" s="15">
        <f>IFERROR(__xludf.DUMMYFUNCTION("""COMPUTED_VALUE"""),43837.64583333333)</f>
        <v>43837.64583</v>
      </c>
      <c r="F995" s="8">
        <f>IFERROR(__xludf.DUMMYFUNCTION("""COMPUTED_VALUE"""),1260.6)</f>
        <v>1260.6</v>
      </c>
      <c r="H995" s="4">
        <f t="shared" si="1"/>
        <v>1154.45</v>
      </c>
      <c r="I995" s="16">
        <f t="shared" si="2"/>
        <v>1163.73</v>
      </c>
      <c r="J995" s="16">
        <f t="shared" si="3"/>
        <v>18.2449171</v>
      </c>
      <c r="K995" s="16">
        <f t="shared" si="4"/>
        <v>1181.974917</v>
      </c>
      <c r="L995" s="16">
        <f t="shared" si="5"/>
        <v>1145.485083</v>
      </c>
      <c r="N995" s="17" t="str">
        <f t="shared" si="6"/>
        <v>F</v>
      </c>
      <c r="O995" s="17" t="str">
        <f t="shared" si="7"/>
        <v>F</v>
      </c>
      <c r="P995" s="8">
        <f t="shared" si="8"/>
        <v>0</v>
      </c>
      <c r="R995" s="17" t="str">
        <f t="shared" si="9"/>
        <v>F</v>
      </c>
      <c r="S995" s="3" t="str">
        <f t="shared" si="10"/>
        <v>T</v>
      </c>
      <c r="T995" s="8">
        <f t="shared" si="11"/>
        <v>0</v>
      </c>
      <c r="V995" s="4">
        <f t="shared" si="12"/>
        <v>0</v>
      </c>
      <c r="W995" s="8">
        <f t="shared" si="13"/>
        <v>11.3</v>
      </c>
      <c r="X995" s="8">
        <f t="shared" si="14"/>
        <v>0</v>
      </c>
      <c r="Y995" s="8">
        <f t="shared" si="15"/>
        <v>635.17</v>
      </c>
    </row>
    <row r="996">
      <c r="A996" s="2">
        <v>989.0</v>
      </c>
      <c r="B996" s="15">
        <f>IFERROR(__xludf.DUMMYFUNCTION("""COMPUTED_VALUE"""),43838.64583333333)</f>
        <v>43838.64583</v>
      </c>
      <c r="C996" s="8">
        <f>IFERROR(__xludf.DUMMYFUNCTION("""COMPUTED_VALUE"""),2406.15)</f>
        <v>2406.15</v>
      </c>
      <c r="E996" s="15">
        <f>IFERROR(__xludf.DUMMYFUNCTION("""COMPUTED_VALUE"""),43838.64583333333)</f>
        <v>43838.64583</v>
      </c>
      <c r="F996" s="8">
        <f>IFERROR(__xludf.DUMMYFUNCTION("""COMPUTED_VALUE"""),1257.3)</f>
        <v>1257.3</v>
      </c>
      <c r="H996" s="4">
        <f t="shared" si="1"/>
        <v>1148.85</v>
      </c>
      <c r="I996" s="16">
        <f t="shared" si="2"/>
        <v>1162.43</v>
      </c>
      <c r="J996" s="16">
        <f t="shared" si="3"/>
        <v>19.19796864</v>
      </c>
      <c r="K996" s="16">
        <f t="shared" si="4"/>
        <v>1181.627969</v>
      </c>
      <c r="L996" s="16">
        <f t="shared" si="5"/>
        <v>1143.232031</v>
      </c>
      <c r="N996" s="17" t="str">
        <f t="shared" si="6"/>
        <v>F</v>
      </c>
      <c r="O996" s="17" t="str">
        <f t="shared" si="7"/>
        <v>F</v>
      </c>
      <c r="P996" s="8">
        <f t="shared" si="8"/>
        <v>0</v>
      </c>
      <c r="R996" s="17" t="str">
        <f t="shared" si="9"/>
        <v>F</v>
      </c>
      <c r="S996" s="3" t="str">
        <f t="shared" si="10"/>
        <v>T</v>
      </c>
      <c r="T996" s="8">
        <f t="shared" si="11"/>
        <v>0</v>
      </c>
      <c r="V996" s="4">
        <f t="shared" si="12"/>
        <v>0</v>
      </c>
      <c r="W996" s="8">
        <f t="shared" si="13"/>
        <v>-5.6</v>
      </c>
      <c r="X996" s="8">
        <f t="shared" si="14"/>
        <v>0</v>
      </c>
      <c r="Y996" s="8">
        <f t="shared" si="15"/>
        <v>635.17</v>
      </c>
    </row>
    <row r="997">
      <c r="A997" s="2">
        <v>990.0</v>
      </c>
      <c r="B997" s="15">
        <f>IFERROR(__xludf.DUMMYFUNCTION("""COMPUTED_VALUE"""),43839.64583333333)</f>
        <v>43839.64583</v>
      </c>
      <c r="C997" s="8">
        <f>IFERROR(__xludf.DUMMYFUNCTION("""COMPUTED_VALUE"""),2457.4)</f>
        <v>2457.4</v>
      </c>
      <c r="E997" s="15">
        <f>IFERROR(__xludf.DUMMYFUNCTION("""COMPUTED_VALUE"""),43839.64583333333)</f>
        <v>43839.64583</v>
      </c>
      <c r="F997" s="8">
        <f>IFERROR(__xludf.DUMMYFUNCTION("""COMPUTED_VALUE"""),1271.4)</f>
        <v>1271.4</v>
      </c>
      <c r="H997" s="4">
        <f t="shared" si="1"/>
        <v>1186</v>
      </c>
      <c r="I997" s="16">
        <f t="shared" si="2"/>
        <v>1163.7</v>
      </c>
      <c r="J997" s="16">
        <f t="shared" si="3"/>
        <v>20.76776348</v>
      </c>
      <c r="K997" s="16">
        <f t="shared" si="4"/>
        <v>1184.467763</v>
      </c>
      <c r="L997" s="16">
        <f t="shared" si="5"/>
        <v>1142.932237</v>
      </c>
      <c r="N997" s="17" t="str">
        <f t="shared" si="6"/>
        <v>F</v>
      </c>
      <c r="O997" s="17" t="str">
        <f t="shared" si="7"/>
        <v>T</v>
      </c>
      <c r="P997" s="8">
        <f t="shared" si="8"/>
        <v>0</v>
      </c>
      <c r="R997" s="17" t="str">
        <f t="shared" si="9"/>
        <v>T</v>
      </c>
      <c r="S997" s="3" t="str">
        <f t="shared" si="10"/>
        <v>F</v>
      </c>
      <c r="T997" s="8">
        <f t="shared" si="11"/>
        <v>-1</v>
      </c>
      <c r="V997" s="4">
        <f t="shared" si="12"/>
        <v>-1</v>
      </c>
      <c r="W997" s="8">
        <f t="shared" si="13"/>
        <v>37.15</v>
      </c>
      <c r="X997" s="8">
        <f t="shared" si="14"/>
        <v>0</v>
      </c>
      <c r="Y997" s="8">
        <f t="shared" si="15"/>
        <v>635.17</v>
      </c>
    </row>
    <row r="998">
      <c r="A998" s="2">
        <v>991.0</v>
      </c>
      <c r="B998" s="15">
        <f>IFERROR(__xludf.DUMMYFUNCTION("""COMPUTED_VALUE"""),43840.64583333333)</f>
        <v>43840.64583</v>
      </c>
      <c r="C998" s="8">
        <f>IFERROR(__xludf.DUMMYFUNCTION("""COMPUTED_VALUE"""),2457.55)</f>
        <v>2457.55</v>
      </c>
      <c r="E998" s="15">
        <f>IFERROR(__xludf.DUMMYFUNCTION("""COMPUTED_VALUE"""),43840.64583333333)</f>
        <v>43840.64583</v>
      </c>
      <c r="F998" s="8">
        <f>IFERROR(__xludf.DUMMYFUNCTION("""COMPUTED_VALUE"""),1282.7)</f>
        <v>1282.7</v>
      </c>
      <c r="H998" s="4">
        <f t="shared" si="1"/>
        <v>1174.85</v>
      </c>
      <c r="I998" s="16">
        <f t="shared" si="2"/>
        <v>1161.46</v>
      </c>
      <c r="J998" s="16">
        <f t="shared" si="3"/>
        <v>18.19967033</v>
      </c>
      <c r="K998" s="16">
        <f t="shared" si="4"/>
        <v>1179.65967</v>
      </c>
      <c r="L998" s="16">
        <f t="shared" si="5"/>
        <v>1143.26033</v>
      </c>
      <c r="N998" s="17" t="str">
        <f t="shared" si="6"/>
        <v>F</v>
      </c>
      <c r="O998" s="17" t="str">
        <f t="shared" si="7"/>
        <v>T</v>
      </c>
      <c r="P998" s="8">
        <f t="shared" si="8"/>
        <v>0</v>
      </c>
      <c r="R998" s="17" t="str">
        <f t="shared" si="9"/>
        <v>F</v>
      </c>
      <c r="S998" s="3" t="str">
        <f t="shared" si="10"/>
        <v>F</v>
      </c>
      <c r="T998" s="8">
        <f t="shared" si="11"/>
        <v>-1</v>
      </c>
      <c r="V998" s="4">
        <f t="shared" si="12"/>
        <v>-1</v>
      </c>
      <c r="W998" s="8">
        <f t="shared" si="13"/>
        <v>-11.15</v>
      </c>
      <c r="X998" s="8">
        <f t="shared" si="14"/>
        <v>11.15</v>
      </c>
      <c r="Y998" s="8">
        <f t="shared" si="15"/>
        <v>646.32</v>
      </c>
    </row>
    <row r="999">
      <c r="A999" s="2">
        <v>992.0</v>
      </c>
      <c r="B999" s="15">
        <f>IFERROR(__xludf.DUMMYFUNCTION("""COMPUTED_VALUE"""),43843.64583333333)</f>
        <v>43843.64583</v>
      </c>
      <c r="C999" s="8">
        <f>IFERROR(__xludf.DUMMYFUNCTION("""COMPUTED_VALUE"""),2462.55)</f>
        <v>2462.55</v>
      </c>
      <c r="E999" s="15">
        <f>IFERROR(__xludf.DUMMYFUNCTION("""COMPUTED_VALUE"""),43843.64583333333)</f>
        <v>43843.64583</v>
      </c>
      <c r="F999" s="8">
        <f>IFERROR(__xludf.DUMMYFUNCTION("""COMPUTED_VALUE"""),1286.0)</f>
        <v>1286</v>
      </c>
      <c r="H999" s="4">
        <f t="shared" si="1"/>
        <v>1176.55</v>
      </c>
      <c r="I999" s="16">
        <f t="shared" si="2"/>
        <v>1168.14</v>
      </c>
      <c r="J999" s="16">
        <f t="shared" si="3"/>
        <v>15.76588088</v>
      </c>
      <c r="K999" s="16">
        <f t="shared" si="4"/>
        <v>1183.905881</v>
      </c>
      <c r="L999" s="16">
        <f t="shared" si="5"/>
        <v>1152.374119</v>
      </c>
      <c r="N999" s="17" t="str">
        <f t="shared" si="6"/>
        <v>F</v>
      </c>
      <c r="O999" s="17" t="str">
        <f t="shared" si="7"/>
        <v>T</v>
      </c>
      <c r="P999" s="8">
        <f t="shared" si="8"/>
        <v>0</v>
      </c>
      <c r="R999" s="17" t="str">
        <f t="shared" si="9"/>
        <v>F</v>
      </c>
      <c r="S999" s="3" t="str">
        <f t="shared" si="10"/>
        <v>F</v>
      </c>
      <c r="T999" s="8">
        <f t="shared" si="11"/>
        <v>-1</v>
      </c>
      <c r="V999" s="4">
        <f t="shared" si="12"/>
        <v>-1</v>
      </c>
      <c r="W999" s="8">
        <f t="shared" si="13"/>
        <v>1.7</v>
      </c>
      <c r="X999" s="8">
        <f t="shared" si="14"/>
        <v>-1.7</v>
      </c>
      <c r="Y999" s="8">
        <f t="shared" si="15"/>
        <v>644.62</v>
      </c>
    </row>
    <row r="1000">
      <c r="A1000" s="2">
        <v>993.0</v>
      </c>
      <c r="B1000" s="15">
        <f>IFERROR(__xludf.DUMMYFUNCTION("""COMPUTED_VALUE"""),43844.64583333333)</f>
        <v>43844.64583</v>
      </c>
      <c r="C1000" s="8">
        <f>IFERROR(__xludf.DUMMYFUNCTION("""COMPUTED_VALUE"""),2492.3)</f>
        <v>2492.3</v>
      </c>
      <c r="E1000" s="15">
        <f>IFERROR(__xludf.DUMMYFUNCTION("""COMPUTED_VALUE"""),43844.64583333333)</f>
        <v>43844.64583</v>
      </c>
      <c r="F1000" s="8">
        <f>IFERROR(__xludf.DUMMYFUNCTION("""COMPUTED_VALUE"""),1289.5)</f>
        <v>1289.5</v>
      </c>
      <c r="H1000" s="4">
        <f t="shared" si="1"/>
        <v>1202.8</v>
      </c>
      <c r="I1000" s="16">
        <f t="shared" si="2"/>
        <v>1177.81</v>
      </c>
      <c r="J1000" s="16">
        <f t="shared" si="3"/>
        <v>19.62528344</v>
      </c>
      <c r="K1000" s="16">
        <f t="shared" si="4"/>
        <v>1197.435283</v>
      </c>
      <c r="L1000" s="16">
        <f t="shared" si="5"/>
        <v>1158.184717</v>
      </c>
      <c r="N1000" s="17" t="str">
        <f t="shared" si="6"/>
        <v>F</v>
      </c>
      <c r="O1000" s="17" t="str">
        <f t="shared" si="7"/>
        <v>T</v>
      </c>
      <c r="P1000" s="8">
        <f t="shared" si="8"/>
        <v>0</v>
      </c>
      <c r="R1000" s="17" t="str">
        <f t="shared" si="9"/>
        <v>T</v>
      </c>
      <c r="S1000" s="3" t="str">
        <f t="shared" si="10"/>
        <v>F</v>
      </c>
      <c r="T1000" s="8">
        <f t="shared" si="11"/>
        <v>-1</v>
      </c>
      <c r="V1000" s="4">
        <f t="shared" si="12"/>
        <v>-1</v>
      </c>
      <c r="W1000" s="8">
        <f t="shared" si="13"/>
        <v>26.25</v>
      </c>
      <c r="X1000" s="8">
        <f t="shared" si="14"/>
        <v>-26.25</v>
      </c>
      <c r="Y1000" s="8">
        <f t="shared" si="15"/>
        <v>618.37</v>
      </c>
    </row>
    <row r="1001">
      <c r="A1001" s="2">
        <v>994.0</v>
      </c>
      <c r="B1001" s="15">
        <f>IFERROR(__xludf.DUMMYFUNCTION("""COMPUTED_VALUE"""),43845.64583333333)</f>
        <v>43845.64583</v>
      </c>
      <c r="C1001" s="8">
        <f>IFERROR(__xludf.DUMMYFUNCTION("""COMPUTED_VALUE"""),2488.6)</f>
        <v>2488.6</v>
      </c>
      <c r="E1001" s="15">
        <f>IFERROR(__xludf.DUMMYFUNCTION("""COMPUTED_VALUE"""),43845.64583333333)</f>
        <v>43845.64583</v>
      </c>
      <c r="F1001" s="8">
        <f>IFERROR(__xludf.DUMMYFUNCTION("""COMPUTED_VALUE"""),1284.25)</f>
        <v>1284.25</v>
      </c>
      <c r="H1001" s="4">
        <f t="shared" si="1"/>
        <v>1204.35</v>
      </c>
      <c r="I1001" s="16">
        <f t="shared" si="2"/>
        <v>1188.91</v>
      </c>
      <c r="J1001" s="16">
        <f t="shared" si="3"/>
        <v>14.05566612</v>
      </c>
      <c r="K1001" s="16">
        <f t="shared" si="4"/>
        <v>1202.965666</v>
      </c>
      <c r="L1001" s="16">
        <f t="shared" si="5"/>
        <v>1174.854334</v>
      </c>
      <c r="N1001" s="17" t="str">
        <f t="shared" si="6"/>
        <v>F</v>
      </c>
      <c r="O1001" s="17" t="str">
        <f t="shared" si="7"/>
        <v>T</v>
      </c>
      <c r="P1001" s="8">
        <f t="shared" si="8"/>
        <v>0</v>
      </c>
      <c r="R1001" s="17" t="str">
        <f t="shared" si="9"/>
        <v>T</v>
      </c>
      <c r="S1001" s="3" t="str">
        <f t="shared" si="10"/>
        <v>F</v>
      </c>
      <c r="T1001" s="8">
        <f t="shared" si="11"/>
        <v>-1</v>
      </c>
      <c r="V1001" s="4">
        <f t="shared" si="12"/>
        <v>-1</v>
      </c>
      <c r="W1001" s="8">
        <f t="shared" si="13"/>
        <v>1.55</v>
      </c>
      <c r="X1001" s="8">
        <f t="shared" si="14"/>
        <v>-1.55</v>
      </c>
      <c r="Y1001" s="8">
        <f t="shared" si="15"/>
        <v>616.82</v>
      </c>
    </row>
    <row r="1002">
      <c r="A1002" s="2">
        <v>995.0</v>
      </c>
      <c r="B1002" s="15">
        <f>IFERROR(__xludf.DUMMYFUNCTION("""COMPUTED_VALUE"""),43846.64583333333)</f>
        <v>43846.64583</v>
      </c>
      <c r="C1002" s="8">
        <f>IFERROR(__xludf.DUMMYFUNCTION("""COMPUTED_VALUE"""),2482.1)</f>
        <v>2482.1</v>
      </c>
      <c r="E1002" s="15">
        <f>IFERROR(__xludf.DUMMYFUNCTION("""COMPUTED_VALUE"""),43846.64583333333)</f>
        <v>43846.64583</v>
      </c>
      <c r="F1002" s="8">
        <f>IFERROR(__xludf.DUMMYFUNCTION("""COMPUTED_VALUE"""),1287.65)</f>
        <v>1287.65</v>
      </c>
      <c r="H1002" s="4">
        <f t="shared" si="1"/>
        <v>1194.45</v>
      </c>
      <c r="I1002" s="16">
        <f t="shared" si="2"/>
        <v>1190.6</v>
      </c>
      <c r="J1002" s="16">
        <f t="shared" si="3"/>
        <v>14.12612827</v>
      </c>
      <c r="K1002" s="16">
        <f t="shared" si="4"/>
        <v>1204.726128</v>
      </c>
      <c r="L1002" s="16">
        <f t="shared" si="5"/>
        <v>1176.473872</v>
      </c>
      <c r="N1002" s="17" t="str">
        <f t="shared" si="6"/>
        <v>F</v>
      </c>
      <c r="O1002" s="17" t="str">
        <f t="shared" si="7"/>
        <v>T</v>
      </c>
      <c r="P1002" s="8">
        <f t="shared" si="8"/>
        <v>0</v>
      </c>
      <c r="R1002" s="17" t="str">
        <f t="shared" si="9"/>
        <v>F</v>
      </c>
      <c r="S1002" s="3" t="str">
        <f t="shared" si="10"/>
        <v>F</v>
      </c>
      <c r="T1002" s="8">
        <f t="shared" si="11"/>
        <v>-1</v>
      </c>
      <c r="V1002" s="4">
        <f t="shared" si="12"/>
        <v>-1</v>
      </c>
      <c r="W1002" s="8">
        <f t="shared" si="13"/>
        <v>-9.9</v>
      </c>
      <c r="X1002" s="8">
        <f t="shared" si="14"/>
        <v>9.9</v>
      </c>
      <c r="Y1002" s="8">
        <f t="shared" si="15"/>
        <v>626.72</v>
      </c>
    </row>
    <row r="1003">
      <c r="A1003" s="2">
        <v>996.0</v>
      </c>
      <c r="B1003" s="15">
        <f>IFERROR(__xludf.DUMMYFUNCTION("""COMPUTED_VALUE"""),43847.64583333333)</f>
        <v>43847.64583</v>
      </c>
      <c r="C1003" s="8">
        <f>IFERROR(__xludf.DUMMYFUNCTION("""COMPUTED_VALUE"""),2453.95)</f>
        <v>2453.95</v>
      </c>
      <c r="E1003" s="15">
        <f>IFERROR(__xludf.DUMMYFUNCTION("""COMPUTED_VALUE"""),43847.64583333333)</f>
        <v>43847.64583</v>
      </c>
      <c r="F1003" s="8">
        <f>IFERROR(__xludf.DUMMYFUNCTION("""COMPUTED_VALUE"""),1278.15)</f>
        <v>1278.15</v>
      </c>
      <c r="H1003" s="4">
        <f t="shared" si="1"/>
        <v>1175.8</v>
      </c>
      <c r="I1003" s="16">
        <f t="shared" si="2"/>
        <v>1190.79</v>
      </c>
      <c r="J1003" s="16">
        <f t="shared" si="3"/>
        <v>13.86530743</v>
      </c>
      <c r="K1003" s="16">
        <f t="shared" si="4"/>
        <v>1204.655307</v>
      </c>
      <c r="L1003" s="16">
        <f t="shared" si="5"/>
        <v>1176.924693</v>
      </c>
      <c r="N1003" s="17" t="str">
        <f t="shared" si="6"/>
        <v>T</v>
      </c>
      <c r="O1003" s="17" t="str">
        <f t="shared" si="7"/>
        <v>F</v>
      </c>
      <c r="P1003" s="8">
        <f t="shared" si="8"/>
        <v>1</v>
      </c>
      <c r="R1003" s="17" t="str">
        <f t="shared" si="9"/>
        <v>F</v>
      </c>
      <c r="S1003" s="3" t="str">
        <f t="shared" si="10"/>
        <v>T</v>
      </c>
      <c r="T1003" s="8">
        <f t="shared" si="11"/>
        <v>0</v>
      </c>
      <c r="V1003" s="4">
        <f t="shared" si="12"/>
        <v>1</v>
      </c>
      <c r="W1003" s="8">
        <f t="shared" si="13"/>
        <v>-18.65</v>
      </c>
      <c r="X1003" s="8">
        <f t="shared" si="14"/>
        <v>18.65</v>
      </c>
      <c r="Y1003" s="8">
        <f t="shared" si="15"/>
        <v>645.37</v>
      </c>
    </row>
    <row r="1004">
      <c r="A1004" s="2">
        <v>997.0</v>
      </c>
      <c r="B1004" s="15">
        <f>IFERROR(__xludf.DUMMYFUNCTION("""COMPUTED_VALUE"""),43850.64583333333)</f>
        <v>43850.64583</v>
      </c>
      <c r="C1004" s="8">
        <f>IFERROR(__xludf.DUMMYFUNCTION("""COMPUTED_VALUE"""),2454.35)</f>
        <v>2454.35</v>
      </c>
      <c r="E1004" s="15">
        <f>IFERROR(__xludf.DUMMYFUNCTION("""COMPUTED_VALUE"""),43850.64583333333)</f>
        <v>43850.64583</v>
      </c>
      <c r="F1004" s="8">
        <f>IFERROR(__xludf.DUMMYFUNCTION("""COMPUTED_VALUE"""),1254.9)</f>
        <v>1254.9</v>
      </c>
      <c r="H1004" s="4">
        <f t="shared" si="1"/>
        <v>1199.45</v>
      </c>
      <c r="I1004" s="16">
        <f t="shared" si="2"/>
        <v>1195.37</v>
      </c>
      <c r="J1004" s="16">
        <f t="shared" si="3"/>
        <v>11.57932425</v>
      </c>
      <c r="K1004" s="16">
        <f t="shared" si="4"/>
        <v>1206.949324</v>
      </c>
      <c r="L1004" s="16">
        <f t="shared" si="5"/>
        <v>1183.790676</v>
      </c>
      <c r="N1004" s="17" t="str">
        <f t="shared" si="6"/>
        <v>F</v>
      </c>
      <c r="O1004" s="17" t="str">
        <f t="shared" si="7"/>
        <v>T</v>
      </c>
      <c r="P1004" s="8">
        <f t="shared" si="8"/>
        <v>0</v>
      </c>
      <c r="R1004" s="17" t="str">
        <f t="shared" si="9"/>
        <v>F</v>
      </c>
      <c r="S1004" s="3" t="str">
        <f t="shared" si="10"/>
        <v>F</v>
      </c>
      <c r="T1004" s="8">
        <f t="shared" si="11"/>
        <v>0</v>
      </c>
      <c r="V1004" s="4">
        <f t="shared" si="12"/>
        <v>0</v>
      </c>
      <c r="W1004" s="8">
        <f t="shared" si="13"/>
        <v>23.65</v>
      </c>
      <c r="X1004" s="8">
        <f t="shared" si="14"/>
        <v>23.65</v>
      </c>
      <c r="Y1004" s="8">
        <f t="shared" si="15"/>
        <v>669.02</v>
      </c>
    </row>
    <row r="1005">
      <c r="A1005" s="2">
        <v>998.0</v>
      </c>
      <c r="B1005" s="15">
        <f>IFERROR(__xludf.DUMMYFUNCTION("""COMPUTED_VALUE"""),43851.64583333333)</f>
        <v>43851.64583</v>
      </c>
      <c r="C1005" s="8">
        <f>IFERROR(__xludf.DUMMYFUNCTION("""COMPUTED_VALUE"""),2465.45)</f>
        <v>2465.45</v>
      </c>
      <c r="E1005" s="15">
        <f>IFERROR(__xludf.DUMMYFUNCTION("""COMPUTED_VALUE"""),43851.64583333333)</f>
        <v>43851.64583</v>
      </c>
      <c r="F1005" s="8">
        <f>IFERROR(__xludf.DUMMYFUNCTION("""COMPUTED_VALUE"""),1244.35)</f>
        <v>1244.35</v>
      </c>
      <c r="H1005" s="4">
        <f t="shared" si="1"/>
        <v>1221.1</v>
      </c>
      <c r="I1005" s="16">
        <f t="shared" si="2"/>
        <v>1199.03</v>
      </c>
      <c r="J1005" s="16">
        <f t="shared" si="3"/>
        <v>16.40253791</v>
      </c>
      <c r="K1005" s="16">
        <f t="shared" si="4"/>
        <v>1215.432538</v>
      </c>
      <c r="L1005" s="16">
        <f t="shared" si="5"/>
        <v>1182.627462</v>
      </c>
      <c r="N1005" s="17" t="str">
        <f t="shared" si="6"/>
        <v>F</v>
      </c>
      <c r="O1005" s="17" t="str">
        <f t="shared" si="7"/>
        <v>T</v>
      </c>
      <c r="P1005" s="8">
        <f t="shared" si="8"/>
        <v>0</v>
      </c>
      <c r="R1005" s="17" t="str">
        <f t="shared" si="9"/>
        <v>T</v>
      </c>
      <c r="S1005" s="3" t="str">
        <f t="shared" si="10"/>
        <v>F</v>
      </c>
      <c r="T1005" s="8">
        <f t="shared" si="11"/>
        <v>-1</v>
      </c>
      <c r="V1005" s="4">
        <f t="shared" si="12"/>
        <v>-1</v>
      </c>
      <c r="W1005" s="8">
        <f t="shared" si="13"/>
        <v>21.65</v>
      </c>
      <c r="X1005" s="8">
        <f t="shared" si="14"/>
        <v>0</v>
      </c>
      <c r="Y1005" s="8">
        <f t="shared" si="15"/>
        <v>669.02</v>
      </c>
    </row>
    <row r="1006">
      <c r="A1006" s="2">
        <v>999.0</v>
      </c>
      <c r="B1006" s="15">
        <f>IFERROR(__xludf.DUMMYFUNCTION("""COMPUTED_VALUE"""),43852.64583333333)</f>
        <v>43852.64583</v>
      </c>
      <c r="C1006" s="8">
        <f>IFERROR(__xludf.DUMMYFUNCTION("""COMPUTED_VALUE"""),2416.6)</f>
        <v>2416.6</v>
      </c>
      <c r="E1006" s="15">
        <f>IFERROR(__xludf.DUMMYFUNCTION("""COMPUTED_VALUE"""),43852.64583333333)</f>
        <v>43852.64583</v>
      </c>
      <c r="F1006" s="8">
        <f>IFERROR(__xludf.DUMMYFUNCTION("""COMPUTED_VALUE"""),1240.85)</f>
        <v>1240.85</v>
      </c>
      <c r="H1006" s="4">
        <f t="shared" si="1"/>
        <v>1175.75</v>
      </c>
      <c r="I1006" s="16">
        <f t="shared" si="2"/>
        <v>1193.31</v>
      </c>
      <c r="J1006" s="16">
        <f t="shared" si="3"/>
        <v>18.88277654</v>
      </c>
      <c r="K1006" s="16">
        <f t="shared" si="4"/>
        <v>1212.192777</v>
      </c>
      <c r="L1006" s="16">
        <f t="shared" si="5"/>
        <v>1174.427223</v>
      </c>
      <c r="N1006" s="17" t="str">
        <f t="shared" si="6"/>
        <v>F</v>
      </c>
      <c r="O1006" s="17" t="str">
        <f t="shared" si="7"/>
        <v>F</v>
      </c>
      <c r="P1006" s="8">
        <f t="shared" si="8"/>
        <v>0</v>
      </c>
      <c r="R1006" s="17" t="str">
        <f t="shared" si="9"/>
        <v>F</v>
      </c>
      <c r="S1006" s="3" t="str">
        <f t="shared" si="10"/>
        <v>T</v>
      </c>
      <c r="T1006" s="8">
        <f t="shared" si="11"/>
        <v>0</v>
      </c>
      <c r="V1006" s="4">
        <f t="shared" si="12"/>
        <v>0</v>
      </c>
      <c r="W1006" s="8">
        <f t="shared" si="13"/>
        <v>-45.35</v>
      </c>
      <c r="X1006" s="8">
        <f t="shared" si="14"/>
        <v>45.35</v>
      </c>
      <c r="Y1006" s="8">
        <f t="shared" si="15"/>
        <v>714.37</v>
      </c>
    </row>
    <row r="1007">
      <c r="A1007" s="2">
        <v>1000.0</v>
      </c>
      <c r="B1007" s="15">
        <f>IFERROR(__xludf.DUMMYFUNCTION("""COMPUTED_VALUE"""),43853.64583333333)</f>
        <v>43853.64583</v>
      </c>
      <c r="C1007" s="8">
        <f>IFERROR(__xludf.DUMMYFUNCTION("""COMPUTED_VALUE"""),2428.4)</f>
        <v>2428.4</v>
      </c>
      <c r="E1007" s="15">
        <f>IFERROR(__xludf.DUMMYFUNCTION("""COMPUTED_VALUE"""),43853.64583333333)</f>
        <v>43853.64583</v>
      </c>
      <c r="F1007" s="8">
        <f>IFERROR(__xludf.DUMMYFUNCTION("""COMPUTED_VALUE"""),1244.85)</f>
        <v>1244.85</v>
      </c>
      <c r="H1007" s="4">
        <f t="shared" si="1"/>
        <v>1183.55</v>
      </c>
      <c r="I1007" s="16">
        <f t="shared" si="2"/>
        <v>1191.13</v>
      </c>
      <c r="J1007" s="16">
        <f t="shared" si="3"/>
        <v>19.34187814</v>
      </c>
      <c r="K1007" s="16">
        <f t="shared" si="4"/>
        <v>1210.471878</v>
      </c>
      <c r="L1007" s="16">
        <f t="shared" si="5"/>
        <v>1171.788122</v>
      </c>
      <c r="N1007" s="17" t="str">
        <f t="shared" si="6"/>
        <v>F</v>
      </c>
      <c r="O1007" s="17" t="str">
        <f t="shared" si="7"/>
        <v>F</v>
      </c>
      <c r="P1007" s="8">
        <f t="shared" si="8"/>
        <v>0</v>
      </c>
      <c r="R1007" s="17" t="str">
        <f t="shared" si="9"/>
        <v>F</v>
      </c>
      <c r="S1007" s="3" t="str">
        <f t="shared" si="10"/>
        <v>T</v>
      </c>
      <c r="T1007" s="8">
        <f t="shared" si="11"/>
        <v>0</v>
      </c>
      <c r="V1007" s="4">
        <f t="shared" si="12"/>
        <v>0</v>
      </c>
      <c r="W1007" s="8">
        <f t="shared" si="13"/>
        <v>7.8</v>
      </c>
      <c r="X1007" s="8">
        <f t="shared" si="14"/>
        <v>0</v>
      </c>
      <c r="Y1007" s="8">
        <f t="shared" si="15"/>
        <v>714.37</v>
      </c>
    </row>
    <row r="1008">
      <c r="A1008" s="2">
        <v>1001.0</v>
      </c>
      <c r="B1008" s="15">
        <f>IFERROR(__xludf.DUMMYFUNCTION("""COMPUTED_VALUE"""),43854.64583333333)</f>
        <v>43854.64583</v>
      </c>
      <c r="C1008" s="8">
        <f>IFERROR(__xludf.DUMMYFUNCTION("""COMPUTED_VALUE"""),2450.75)</f>
        <v>2450.75</v>
      </c>
      <c r="E1008" s="15">
        <f>IFERROR(__xludf.DUMMYFUNCTION("""COMPUTED_VALUE"""),43854.64583333333)</f>
        <v>43854.64583</v>
      </c>
      <c r="F1008" s="8">
        <f>IFERROR(__xludf.DUMMYFUNCTION("""COMPUTED_VALUE"""),1244.55)</f>
        <v>1244.55</v>
      </c>
      <c r="H1008" s="4">
        <f t="shared" si="1"/>
        <v>1206.2</v>
      </c>
      <c r="I1008" s="16">
        <f t="shared" si="2"/>
        <v>1197.21</v>
      </c>
      <c r="J1008" s="16">
        <f t="shared" si="3"/>
        <v>18.05337226</v>
      </c>
      <c r="K1008" s="16">
        <f t="shared" si="4"/>
        <v>1215.263372</v>
      </c>
      <c r="L1008" s="16">
        <f t="shared" si="5"/>
        <v>1179.156628</v>
      </c>
      <c r="N1008" s="17" t="str">
        <f t="shared" si="6"/>
        <v>F</v>
      </c>
      <c r="O1008" s="17" t="str">
        <f t="shared" si="7"/>
        <v>T</v>
      </c>
      <c r="P1008" s="8">
        <f t="shared" si="8"/>
        <v>0</v>
      </c>
      <c r="R1008" s="17" t="str">
        <f t="shared" si="9"/>
        <v>F</v>
      </c>
      <c r="S1008" s="3" t="str">
        <f t="shared" si="10"/>
        <v>F</v>
      </c>
      <c r="T1008" s="8">
        <f t="shared" si="11"/>
        <v>0</v>
      </c>
      <c r="V1008" s="4">
        <f t="shared" si="12"/>
        <v>0</v>
      </c>
      <c r="W1008" s="8">
        <f t="shared" si="13"/>
        <v>22.65</v>
      </c>
      <c r="X1008" s="8">
        <f t="shared" si="14"/>
        <v>0</v>
      </c>
      <c r="Y1008" s="8">
        <f t="shared" si="15"/>
        <v>714.37</v>
      </c>
    </row>
    <row r="1009">
      <c r="A1009" s="2">
        <v>1002.0</v>
      </c>
      <c r="B1009" s="15">
        <f>IFERROR(__xludf.DUMMYFUNCTION("""COMPUTED_VALUE"""),43857.64583333333)</f>
        <v>43857.64583</v>
      </c>
      <c r="C1009" s="8">
        <f>IFERROR(__xludf.DUMMYFUNCTION("""COMPUTED_VALUE"""),2395.8)</f>
        <v>2395.8</v>
      </c>
      <c r="E1009" s="15">
        <f>IFERROR(__xludf.DUMMYFUNCTION("""COMPUTED_VALUE"""),43857.64583333333)</f>
        <v>43857.64583</v>
      </c>
      <c r="F1009" s="8">
        <f>IFERROR(__xludf.DUMMYFUNCTION("""COMPUTED_VALUE"""),1213.2)</f>
        <v>1213.2</v>
      </c>
      <c r="H1009" s="4">
        <f t="shared" si="1"/>
        <v>1182.6</v>
      </c>
      <c r="I1009" s="16">
        <f t="shared" si="2"/>
        <v>1193.84</v>
      </c>
      <c r="J1009" s="16">
        <f t="shared" si="3"/>
        <v>19.07450524</v>
      </c>
      <c r="K1009" s="16">
        <f t="shared" si="4"/>
        <v>1212.914505</v>
      </c>
      <c r="L1009" s="16">
        <f t="shared" si="5"/>
        <v>1174.765495</v>
      </c>
      <c r="N1009" s="17" t="str">
        <f t="shared" si="6"/>
        <v>F</v>
      </c>
      <c r="O1009" s="17" t="str">
        <f t="shared" si="7"/>
        <v>F</v>
      </c>
      <c r="P1009" s="8">
        <f t="shared" si="8"/>
        <v>0</v>
      </c>
      <c r="R1009" s="17" t="str">
        <f t="shared" si="9"/>
        <v>F</v>
      </c>
      <c r="S1009" s="3" t="str">
        <f t="shared" si="10"/>
        <v>T</v>
      </c>
      <c r="T1009" s="8">
        <f t="shared" si="11"/>
        <v>0</v>
      </c>
      <c r="V1009" s="4">
        <f t="shared" si="12"/>
        <v>0</v>
      </c>
      <c r="W1009" s="8">
        <f t="shared" si="13"/>
        <v>-23.6</v>
      </c>
      <c r="X1009" s="8">
        <f t="shared" si="14"/>
        <v>0</v>
      </c>
      <c r="Y1009" s="8">
        <f t="shared" si="15"/>
        <v>714.37</v>
      </c>
    </row>
    <row r="1010">
      <c r="A1010" s="2">
        <v>1003.0</v>
      </c>
      <c r="B1010" s="15">
        <f>IFERROR(__xludf.DUMMYFUNCTION("""COMPUTED_VALUE"""),43858.64583333333)</f>
        <v>43858.64583</v>
      </c>
      <c r="C1010" s="8">
        <f>IFERROR(__xludf.DUMMYFUNCTION("""COMPUTED_VALUE"""),2431.6)</f>
        <v>2431.6</v>
      </c>
      <c r="E1010" s="15">
        <f>IFERROR(__xludf.DUMMYFUNCTION("""COMPUTED_VALUE"""),43858.64583333333)</f>
        <v>43858.64583</v>
      </c>
      <c r="F1010" s="8">
        <f>IFERROR(__xludf.DUMMYFUNCTION("""COMPUTED_VALUE"""),1223.2)</f>
        <v>1223.2</v>
      </c>
      <c r="H1010" s="4">
        <f t="shared" si="1"/>
        <v>1208.4</v>
      </c>
      <c r="I1010" s="16">
        <f t="shared" si="2"/>
        <v>1191.3</v>
      </c>
      <c r="J1010" s="16">
        <f t="shared" si="3"/>
        <v>14.93297526</v>
      </c>
      <c r="K1010" s="16">
        <f t="shared" si="4"/>
        <v>1206.232975</v>
      </c>
      <c r="L1010" s="16">
        <f t="shared" si="5"/>
        <v>1176.367025</v>
      </c>
      <c r="N1010" s="17" t="str">
        <f t="shared" si="6"/>
        <v>F</v>
      </c>
      <c r="O1010" s="17" t="str">
        <f t="shared" si="7"/>
        <v>T</v>
      </c>
      <c r="P1010" s="8">
        <f t="shared" si="8"/>
        <v>0</v>
      </c>
      <c r="R1010" s="17" t="str">
        <f t="shared" si="9"/>
        <v>T</v>
      </c>
      <c r="S1010" s="3" t="str">
        <f t="shared" si="10"/>
        <v>F</v>
      </c>
      <c r="T1010" s="8">
        <f t="shared" si="11"/>
        <v>-1</v>
      </c>
      <c r="V1010" s="4">
        <f t="shared" si="12"/>
        <v>-1</v>
      </c>
      <c r="W1010" s="8">
        <f t="shared" si="13"/>
        <v>25.8</v>
      </c>
      <c r="X1010" s="8">
        <f t="shared" si="14"/>
        <v>0</v>
      </c>
      <c r="Y1010" s="8">
        <f t="shared" si="15"/>
        <v>714.37</v>
      </c>
    </row>
    <row r="1011">
      <c r="A1011" s="2">
        <v>1004.0</v>
      </c>
      <c r="B1011" s="15">
        <f>IFERROR(__xludf.DUMMYFUNCTION("""COMPUTED_VALUE"""),43859.64583333333)</f>
        <v>43859.64583</v>
      </c>
      <c r="C1011" s="8">
        <f>IFERROR(__xludf.DUMMYFUNCTION("""COMPUTED_VALUE"""),2404.25)</f>
        <v>2404.25</v>
      </c>
      <c r="E1011" s="15">
        <f>IFERROR(__xludf.DUMMYFUNCTION("""COMPUTED_VALUE"""),43859.64583333333)</f>
        <v>43859.64583</v>
      </c>
      <c r="F1011" s="8">
        <f>IFERROR(__xludf.DUMMYFUNCTION("""COMPUTED_VALUE"""),1235.85)</f>
        <v>1235.85</v>
      </c>
      <c r="H1011" s="4">
        <f t="shared" si="1"/>
        <v>1168.4</v>
      </c>
      <c r="I1011" s="16">
        <f t="shared" si="2"/>
        <v>1189.83</v>
      </c>
      <c r="J1011" s="16">
        <f t="shared" si="3"/>
        <v>17.0570953</v>
      </c>
      <c r="K1011" s="16">
        <f t="shared" si="4"/>
        <v>1206.887095</v>
      </c>
      <c r="L1011" s="16">
        <f t="shared" si="5"/>
        <v>1172.772905</v>
      </c>
      <c r="N1011" s="17" t="str">
        <f t="shared" si="6"/>
        <v>T</v>
      </c>
      <c r="O1011" s="17" t="str">
        <f t="shared" si="7"/>
        <v>F</v>
      </c>
      <c r="P1011" s="8">
        <f t="shared" si="8"/>
        <v>1</v>
      </c>
      <c r="R1011" s="17" t="str">
        <f t="shared" si="9"/>
        <v>F</v>
      </c>
      <c r="S1011" s="3" t="str">
        <f t="shared" si="10"/>
        <v>T</v>
      </c>
      <c r="T1011" s="8">
        <f t="shared" si="11"/>
        <v>0</v>
      </c>
      <c r="V1011" s="4">
        <f t="shared" si="12"/>
        <v>1</v>
      </c>
      <c r="W1011" s="8">
        <f t="shared" si="13"/>
        <v>-40</v>
      </c>
      <c r="X1011" s="8">
        <f t="shared" si="14"/>
        <v>40</v>
      </c>
      <c r="Y1011" s="8">
        <f t="shared" si="15"/>
        <v>754.37</v>
      </c>
    </row>
    <row r="1012">
      <c r="A1012" s="2">
        <v>1005.0</v>
      </c>
      <c r="B1012" s="15">
        <f>IFERROR(__xludf.DUMMYFUNCTION("""COMPUTED_VALUE"""),43860.64583333333)</f>
        <v>43860.64583</v>
      </c>
      <c r="C1012" s="8">
        <f>IFERROR(__xludf.DUMMYFUNCTION("""COMPUTED_VALUE"""),2415.0)</f>
        <v>2415</v>
      </c>
      <c r="E1012" s="15">
        <f>IFERROR(__xludf.DUMMYFUNCTION("""COMPUTED_VALUE"""),43860.64583333333)</f>
        <v>43860.64583</v>
      </c>
      <c r="F1012" s="8">
        <f>IFERROR(__xludf.DUMMYFUNCTION("""COMPUTED_VALUE"""),1226.05)</f>
        <v>1226.05</v>
      </c>
      <c r="H1012" s="4">
        <f t="shared" si="1"/>
        <v>1188.95</v>
      </c>
      <c r="I1012" s="16">
        <f t="shared" si="2"/>
        <v>1190.91</v>
      </c>
      <c r="J1012" s="16">
        <f t="shared" si="3"/>
        <v>16.72783608</v>
      </c>
      <c r="K1012" s="16">
        <f t="shared" si="4"/>
        <v>1207.637836</v>
      </c>
      <c r="L1012" s="16">
        <f t="shared" si="5"/>
        <v>1174.182164</v>
      </c>
      <c r="N1012" s="17" t="str">
        <f t="shared" si="6"/>
        <v>F</v>
      </c>
      <c r="O1012" s="17" t="str">
        <f t="shared" si="7"/>
        <v>F</v>
      </c>
      <c r="P1012" s="8">
        <f t="shared" si="8"/>
        <v>1</v>
      </c>
      <c r="R1012" s="17" t="str">
        <f t="shared" si="9"/>
        <v>F</v>
      </c>
      <c r="S1012" s="3" t="str">
        <f t="shared" si="10"/>
        <v>T</v>
      </c>
      <c r="T1012" s="8">
        <f t="shared" si="11"/>
        <v>0</v>
      </c>
      <c r="V1012" s="4">
        <f t="shared" si="12"/>
        <v>1</v>
      </c>
      <c r="W1012" s="8">
        <f t="shared" si="13"/>
        <v>20.55</v>
      </c>
      <c r="X1012" s="8">
        <f t="shared" si="14"/>
        <v>20.55</v>
      </c>
      <c r="Y1012" s="8">
        <f t="shared" si="15"/>
        <v>774.92</v>
      </c>
    </row>
    <row r="1013">
      <c r="A1013" s="2">
        <v>1006.0</v>
      </c>
      <c r="B1013" s="15">
        <f>IFERROR(__xludf.DUMMYFUNCTION("""COMPUTED_VALUE"""),43861.64583333333)</f>
        <v>43861.64583</v>
      </c>
      <c r="C1013" s="8">
        <f>IFERROR(__xludf.DUMMYFUNCTION("""COMPUTED_VALUE"""),2414.0)</f>
        <v>2414</v>
      </c>
      <c r="E1013" s="15">
        <f>IFERROR(__xludf.DUMMYFUNCTION("""COMPUTED_VALUE"""),43861.64583333333)</f>
        <v>43861.64583</v>
      </c>
      <c r="F1013" s="8">
        <f>IFERROR(__xludf.DUMMYFUNCTION("""COMPUTED_VALUE"""),1226.3)</f>
        <v>1226.3</v>
      </c>
      <c r="H1013" s="4">
        <f t="shared" si="1"/>
        <v>1187.7</v>
      </c>
      <c r="I1013" s="16">
        <f t="shared" si="2"/>
        <v>1187.21</v>
      </c>
      <c r="J1013" s="16">
        <f t="shared" si="3"/>
        <v>14.38186358</v>
      </c>
      <c r="K1013" s="16">
        <f t="shared" si="4"/>
        <v>1201.591864</v>
      </c>
      <c r="L1013" s="16">
        <f t="shared" si="5"/>
        <v>1172.828136</v>
      </c>
      <c r="N1013" s="17" t="str">
        <f t="shared" si="6"/>
        <v>F</v>
      </c>
      <c r="O1013" s="17" t="str">
        <f t="shared" si="7"/>
        <v>T</v>
      </c>
      <c r="P1013" s="8">
        <f t="shared" si="8"/>
        <v>0</v>
      </c>
      <c r="R1013" s="17" t="str">
        <f t="shared" si="9"/>
        <v>F</v>
      </c>
      <c r="S1013" s="3" t="str">
        <f t="shared" si="10"/>
        <v>F</v>
      </c>
      <c r="T1013" s="8">
        <f t="shared" si="11"/>
        <v>0</v>
      </c>
      <c r="V1013" s="4">
        <f t="shared" si="12"/>
        <v>0</v>
      </c>
      <c r="W1013" s="8">
        <f t="shared" si="13"/>
        <v>-1.25</v>
      </c>
      <c r="X1013" s="8">
        <f t="shared" si="14"/>
        <v>-1.25</v>
      </c>
      <c r="Y1013" s="8">
        <f t="shared" si="15"/>
        <v>773.67</v>
      </c>
    </row>
    <row r="1014">
      <c r="A1014" s="2">
        <v>1007.0</v>
      </c>
      <c r="B1014" s="15">
        <f>IFERROR(__xludf.DUMMYFUNCTION("""COMPUTED_VALUE"""),43862.70833333333)</f>
        <v>43862.70833</v>
      </c>
      <c r="C1014" s="8">
        <f>IFERROR(__xludf.DUMMYFUNCTION("""COMPUTED_VALUE"""),2257.8)</f>
        <v>2257.8</v>
      </c>
      <c r="E1014" s="15">
        <f>IFERROR(__xludf.DUMMYFUNCTION("""COMPUTED_VALUE"""),43862.70833333333)</f>
        <v>43862.70833</v>
      </c>
      <c r="F1014" s="8">
        <f>IFERROR(__xludf.DUMMYFUNCTION("""COMPUTED_VALUE"""),1199.75)</f>
        <v>1199.75</v>
      </c>
      <c r="H1014" s="4">
        <f t="shared" si="1"/>
        <v>1058.05</v>
      </c>
      <c r="I1014" s="16">
        <f t="shared" si="2"/>
        <v>1162.3</v>
      </c>
      <c r="J1014" s="16">
        <f t="shared" si="3"/>
        <v>59.97054485</v>
      </c>
      <c r="K1014" s="16">
        <f t="shared" si="4"/>
        <v>1222.270545</v>
      </c>
      <c r="L1014" s="16">
        <f t="shared" si="5"/>
        <v>1102.329455</v>
      </c>
      <c r="N1014" s="17" t="str">
        <f t="shared" si="6"/>
        <v>T</v>
      </c>
      <c r="O1014" s="17" t="str">
        <f t="shared" si="7"/>
        <v>F</v>
      </c>
      <c r="P1014" s="8">
        <f t="shared" si="8"/>
        <v>1</v>
      </c>
      <c r="R1014" s="17" t="str">
        <f t="shared" si="9"/>
        <v>F</v>
      </c>
      <c r="S1014" s="3" t="str">
        <f t="shared" si="10"/>
        <v>T</v>
      </c>
      <c r="T1014" s="8">
        <f t="shared" si="11"/>
        <v>0</v>
      </c>
      <c r="V1014" s="4">
        <f t="shared" si="12"/>
        <v>1</v>
      </c>
      <c r="W1014" s="8">
        <f t="shared" si="13"/>
        <v>-129.65</v>
      </c>
      <c r="X1014" s="8">
        <f t="shared" si="14"/>
        <v>0</v>
      </c>
      <c r="Y1014" s="8">
        <f t="shared" si="15"/>
        <v>773.67</v>
      </c>
    </row>
    <row r="1015">
      <c r="A1015" s="2">
        <v>1008.0</v>
      </c>
      <c r="B1015" s="15">
        <f>IFERROR(__xludf.DUMMYFUNCTION("""COMPUTED_VALUE"""),43864.64583333333)</f>
        <v>43864.64583</v>
      </c>
      <c r="C1015" s="8">
        <f>IFERROR(__xludf.DUMMYFUNCTION("""COMPUTED_VALUE"""),2259.75)</f>
        <v>2259.75</v>
      </c>
      <c r="E1015" s="15">
        <f>IFERROR(__xludf.DUMMYFUNCTION("""COMPUTED_VALUE"""),43864.64583333333)</f>
        <v>43864.64583</v>
      </c>
      <c r="F1015" s="8">
        <f>IFERROR(__xludf.DUMMYFUNCTION("""COMPUTED_VALUE"""),1192.8)</f>
        <v>1192.8</v>
      </c>
      <c r="H1015" s="4">
        <f t="shared" si="1"/>
        <v>1066.95</v>
      </c>
      <c r="I1015" s="16">
        <f t="shared" si="2"/>
        <v>1134.01</v>
      </c>
      <c r="J1015" s="16">
        <f t="shared" si="3"/>
        <v>65.86094632</v>
      </c>
      <c r="K1015" s="16">
        <f t="shared" si="4"/>
        <v>1199.870946</v>
      </c>
      <c r="L1015" s="16">
        <f t="shared" si="5"/>
        <v>1068.149054</v>
      </c>
      <c r="N1015" s="17" t="str">
        <f t="shared" si="6"/>
        <v>T</v>
      </c>
      <c r="O1015" s="17" t="str">
        <f t="shared" si="7"/>
        <v>F</v>
      </c>
      <c r="P1015" s="8">
        <f t="shared" si="8"/>
        <v>1</v>
      </c>
      <c r="R1015" s="17" t="str">
        <f t="shared" si="9"/>
        <v>F</v>
      </c>
      <c r="S1015" s="3" t="str">
        <f t="shared" si="10"/>
        <v>T</v>
      </c>
      <c r="T1015" s="8">
        <f t="shared" si="11"/>
        <v>0</v>
      </c>
      <c r="V1015" s="4">
        <f t="shared" si="12"/>
        <v>1</v>
      </c>
      <c r="W1015" s="8">
        <f t="shared" si="13"/>
        <v>8.9</v>
      </c>
      <c r="X1015" s="8">
        <f t="shared" si="14"/>
        <v>8.9</v>
      </c>
      <c r="Y1015" s="8">
        <f t="shared" si="15"/>
        <v>782.57</v>
      </c>
    </row>
    <row r="1016">
      <c r="A1016" s="2">
        <v>1009.0</v>
      </c>
      <c r="B1016" s="15">
        <f>IFERROR(__xludf.DUMMYFUNCTION("""COMPUTED_VALUE"""),43865.64583333333)</f>
        <v>43865.64583</v>
      </c>
      <c r="C1016" s="8">
        <f>IFERROR(__xludf.DUMMYFUNCTION("""COMPUTED_VALUE"""),2345.95)</f>
        <v>2345.95</v>
      </c>
      <c r="E1016" s="15">
        <f>IFERROR(__xludf.DUMMYFUNCTION("""COMPUTED_VALUE"""),43865.64583333333)</f>
        <v>43865.64583</v>
      </c>
      <c r="F1016" s="8">
        <f>IFERROR(__xludf.DUMMYFUNCTION("""COMPUTED_VALUE"""),1229.8)</f>
        <v>1229.8</v>
      </c>
      <c r="H1016" s="4">
        <f t="shared" si="1"/>
        <v>1116.15</v>
      </c>
      <c r="I1016" s="16">
        <f t="shared" si="2"/>
        <v>1123.56</v>
      </c>
      <c r="J1016" s="16">
        <f t="shared" si="3"/>
        <v>63.12874147</v>
      </c>
      <c r="K1016" s="16">
        <f t="shared" si="4"/>
        <v>1186.688741</v>
      </c>
      <c r="L1016" s="16">
        <f t="shared" si="5"/>
        <v>1060.431259</v>
      </c>
      <c r="N1016" s="17" t="str">
        <f t="shared" si="6"/>
        <v>F</v>
      </c>
      <c r="O1016" s="17" t="str">
        <f t="shared" si="7"/>
        <v>F</v>
      </c>
      <c r="P1016" s="8">
        <f t="shared" si="8"/>
        <v>1</v>
      </c>
      <c r="R1016" s="17" t="str">
        <f t="shared" si="9"/>
        <v>F</v>
      </c>
      <c r="S1016" s="3" t="str">
        <f t="shared" si="10"/>
        <v>T</v>
      </c>
      <c r="T1016" s="8">
        <f t="shared" si="11"/>
        <v>0</v>
      </c>
      <c r="V1016" s="4">
        <f t="shared" si="12"/>
        <v>1</v>
      </c>
      <c r="W1016" s="8">
        <f t="shared" si="13"/>
        <v>49.2</v>
      </c>
      <c r="X1016" s="8">
        <f t="shared" si="14"/>
        <v>49.2</v>
      </c>
      <c r="Y1016" s="8">
        <f t="shared" si="15"/>
        <v>831.77</v>
      </c>
    </row>
    <row r="1017">
      <c r="A1017" s="2">
        <v>1010.0</v>
      </c>
      <c r="B1017" s="15">
        <f>IFERROR(__xludf.DUMMYFUNCTION("""COMPUTED_VALUE"""),43866.64583333333)</f>
        <v>43866.64583</v>
      </c>
      <c r="C1017" s="8">
        <f>IFERROR(__xludf.DUMMYFUNCTION("""COMPUTED_VALUE"""),2391.65)</f>
        <v>2391.65</v>
      </c>
      <c r="E1017" s="15">
        <f>IFERROR(__xludf.DUMMYFUNCTION("""COMPUTED_VALUE"""),43866.64583333333)</f>
        <v>43866.64583</v>
      </c>
      <c r="F1017" s="8">
        <f>IFERROR(__xludf.DUMMYFUNCTION("""COMPUTED_VALUE"""),1244.65)</f>
        <v>1244.65</v>
      </c>
      <c r="H1017" s="4">
        <f t="shared" si="1"/>
        <v>1147</v>
      </c>
      <c r="I1017" s="16">
        <f t="shared" si="2"/>
        <v>1115.17</v>
      </c>
      <c r="J1017" s="16">
        <f t="shared" si="3"/>
        <v>54.45771984</v>
      </c>
      <c r="K1017" s="16">
        <f t="shared" si="4"/>
        <v>1169.62772</v>
      </c>
      <c r="L1017" s="16">
        <f t="shared" si="5"/>
        <v>1060.71228</v>
      </c>
      <c r="N1017" s="17" t="str">
        <f t="shared" si="6"/>
        <v>F</v>
      </c>
      <c r="O1017" s="17" t="str">
        <f t="shared" si="7"/>
        <v>T</v>
      </c>
      <c r="P1017" s="8">
        <f t="shared" si="8"/>
        <v>0</v>
      </c>
      <c r="R1017" s="17" t="str">
        <f t="shared" si="9"/>
        <v>F</v>
      </c>
      <c r="S1017" s="3" t="str">
        <f t="shared" si="10"/>
        <v>F</v>
      </c>
      <c r="T1017" s="8">
        <f t="shared" si="11"/>
        <v>0</v>
      </c>
      <c r="V1017" s="4">
        <f t="shared" si="12"/>
        <v>0</v>
      </c>
      <c r="W1017" s="8">
        <f t="shared" si="13"/>
        <v>30.85</v>
      </c>
      <c r="X1017" s="8">
        <f t="shared" si="14"/>
        <v>30.85</v>
      </c>
      <c r="Y1017" s="8">
        <f t="shared" si="15"/>
        <v>862.62</v>
      </c>
    </row>
    <row r="1018">
      <c r="A1018" s="2">
        <v>1011.0</v>
      </c>
      <c r="B1018" s="15">
        <f>IFERROR(__xludf.DUMMYFUNCTION("""COMPUTED_VALUE"""),43867.64583333333)</f>
        <v>43867.64583</v>
      </c>
      <c r="C1018" s="8">
        <f>IFERROR(__xludf.DUMMYFUNCTION("""COMPUTED_VALUE"""),2436.45)</f>
        <v>2436.45</v>
      </c>
      <c r="E1018" s="15">
        <f>IFERROR(__xludf.DUMMYFUNCTION("""COMPUTED_VALUE"""),43867.64583333333)</f>
        <v>43867.64583</v>
      </c>
      <c r="F1018" s="8">
        <f>IFERROR(__xludf.DUMMYFUNCTION("""COMPUTED_VALUE"""),1239.8)</f>
        <v>1239.8</v>
      </c>
      <c r="H1018" s="4">
        <f t="shared" si="1"/>
        <v>1196.65</v>
      </c>
      <c r="I1018" s="16">
        <f t="shared" si="2"/>
        <v>1116.96</v>
      </c>
      <c r="J1018" s="16">
        <f t="shared" si="3"/>
        <v>57.49987391</v>
      </c>
      <c r="K1018" s="16">
        <f t="shared" si="4"/>
        <v>1174.459874</v>
      </c>
      <c r="L1018" s="16">
        <f t="shared" si="5"/>
        <v>1059.460126</v>
      </c>
      <c r="N1018" s="17" t="str">
        <f t="shared" si="6"/>
        <v>F</v>
      </c>
      <c r="O1018" s="17" t="str">
        <f t="shared" si="7"/>
        <v>T</v>
      </c>
      <c r="P1018" s="8">
        <f t="shared" si="8"/>
        <v>0</v>
      </c>
      <c r="R1018" s="17" t="str">
        <f t="shared" si="9"/>
        <v>T</v>
      </c>
      <c r="S1018" s="3" t="str">
        <f t="shared" si="10"/>
        <v>F</v>
      </c>
      <c r="T1018" s="8">
        <f t="shared" si="11"/>
        <v>-1</v>
      </c>
      <c r="V1018" s="4">
        <f t="shared" si="12"/>
        <v>-1</v>
      </c>
      <c r="W1018" s="8">
        <f t="shared" si="13"/>
        <v>49.65</v>
      </c>
      <c r="X1018" s="8">
        <f t="shared" si="14"/>
        <v>0</v>
      </c>
      <c r="Y1018" s="8">
        <f t="shared" si="15"/>
        <v>862.62</v>
      </c>
    </row>
    <row r="1019">
      <c r="A1019" s="2">
        <v>1012.0</v>
      </c>
      <c r="B1019" s="15">
        <f>IFERROR(__xludf.DUMMYFUNCTION("""COMPUTED_VALUE"""),43868.64583333333)</f>
        <v>43868.64583</v>
      </c>
      <c r="C1019" s="8">
        <f>IFERROR(__xludf.DUMMYFUNCTION("""COMPUTED_VALUE"""),2405.65)</f>
        <v>2405.65</v>
      </c>
      <c r="E1019" s="15">
        <f>IFERROR(__xludf.DUMMYFUNCTION("""COMPUTED_VALUE"""),43868.64583333333)</f>
        <v>43868.64583</v>
      </c>
      <c r="F1019" s="8">
        <f>IFERROR(__xludf.DUMMYFUNCTION("""COMPUTED_VALUE"""),1242.2)</f>
        <v>1242.2</v>
      </c>
      <c r="H1019" s="4">
        <f t="shared" si="1"/>
        <v>1163.45</v>
      </c>
      <c r="I1019" s="16">
        <f t="shared" si="2"/>
        <v>1138.04</v>
      </c>
      <c r="J1019" s="16">
        <f t="shared" si="3"/>
        <v>49.2291631</v>
      </c>
      <c r="K1019" s="16">
        <f t="shared" si="4"/>
        <v>1187.269163</v>
      </c>
      <c r="L1019" s="16">
        <f t="shared" si="5"/>
        <v>1088.810837</v>
      </c>
      <c r="N1019" s="17" t="str">
        <f t="shared" si="6"/>
        <v>F</v>
      </c>
      <c r="O1019" s="17" t="str">
        <f t="shared" si="7"/>
        <v>T</v>
      </c>
      <c r="P1019" s="8">
        <f t="shared" si="8"/>
        <v>0</v>
      </c>
      <c r="R1019" s="17" t="str">
        <f t="shared" si="9"/>
        <v>F</v>
      </c>
      <c r="S1019" s="3" t="str">
        <f t="shared" si="10"/>
        <v>F</v>
      </c>
      <c r="T1019" s="8">
        <f t="shared" si="11"/>
        <v>-1</v>
      </c>
      <c r="V1019" s="4">
        <f t="shared" si="12"/>
        <v>-1</v>
      </c>
      <c r="W1019" s="8">
        <f t="shared" si="13"/>
        <v>-33.2</v>
      </c>
      <c r="X1019" s="8">
        <f t="shared" si="14"/>
        <v>33.2</v>
      </c>
      <c r="Y1019" s="8">
        <f t="shared" si="15"/>
        <v>895.82</v>
      </c>
    </row>
    <row r="1020">
      <c r="A1020" s="2">
        <v>1013.0</v>
      </c>
      <c r="B1020" s="15">
        <f>IFERROR(__xludf.DUMMYFUNCTION("""COMPUTED_VALUE"""),43871.64583333333)</f>
        <v>43871.64583</v>
      </c>
      <c r="C1020" s="8">
        <f>IFERROR(__xludf.DUMMYFUNCTION("""COMPUTED_VALUE"""),2414.3)</f>
        <v>2414.3</v>
      </c>
      <c r="E1020" s="15">
        <f>IFERROR(__xludf.DUMMYFUNCTION("""COMPUTED_VALUE"""),43871.64583333333)</f>
        <v>43871.64583</v>
      </c>
      <c r="F1020" s="8">
        <f>IFERROR(__xludf.DUMMYFUNCTION("""COMPUTED_VALUE"""),1240.3)</f>
        <v>1240.3</v>
      </c>
      <c r="H1020" s="4">
        <f t="shared" si="1"/>
        <v>1174</v>
      </c>
      <c r="I1020" s="16">
        <f t="shared" si="2"/>
        <v>1159.45</v>
      </c>
      <c r="J1020" s="16">
        <f t="shared" si="3"/>
        <v>30.1721519</v>
      </c>
      <c r="K1020" s="16">
        <f t="shared" si="4"/>
        <v>1189.622152</v>
      </c>
      <c r="L1020" s="16">
        <f t="shared" si="5"/>
        <v>1129.277848</v>
      </c>
      <c r="N1020" s="17" t="str">
        <f t="shared" si="6"/>
        <v>F</v>
      </c>
      <c r="O1020" s="17" t="str">
        <f t="shared" si="7"/>
        <v>T</v>
      </c>
      <c r="P1020" s="8">
        <f t="shared" si="8"/>
        <v>0</v>
      </c>
      <c r="R1020" s="17" t="str">
        <f t="shared" si="9"/>
        <v>F</v>
      </c>
      <c r="S1020" s="3" t="str">
        <f t="shared" si="10"/>
        <v>F</v>
      </c>
      <c r="T1020" s="8">
        <f t="shared" si="11"/>
        <v>-1</v>
      </c>
      <c r="V1020" s="4">
        <f t="shared" si="12"/>
        <v>-1</v>
      </c>
      <c r="W1020" s="8">
        <f t="shared" si="13"/>
        <v>10.55</v>
      </c>
      <c r="X1020" s="8">
        <f t="shared" si="14"/>
        <v>-10.55</v>
      </c>
      <c r="Y1020" s="8">
        <f t="shared" si="15"/>
        <v>885.27</v>
      </c>
    </row>
    <row r="1021">
      <c r="A1021" s="2">
        <v>1014.0</v>
      </c>
      <c r="B1021" s="15">
        <f>IFERROR(__xludf.DUMMYFUNCTION("""COMPUTED_VALUE"""),43872.64583333333)</f>
        <v>43872.64583</v>
      </c>
      <c r="C1021" s="8">
        <f>IFERROR(__xludf.DUMMYFUNCTION("""COMPUTED_VALUE"""),2435.15)</f>
        <v>2435.15</v>
      </c>
      <c r="E1021" s="15">
        <f>IFERROR(__xludf.DUMMYFUNCTION("""COMPUTED_VALUE"""),43872.64583333333)</f>
        <v>43872.64583</v>
      </c>
      <c r="F1021" s="8">
        <f>IFERROR(__xludf.DUMMYFUNCTION("""COMPUTED_VALUE"""),1240.6)</f>
        <v>1240.6</v>
      </c>
      <c r="H1021" s="4">
        <f t="shared" si="1"/>
        <v>1194.55</v>
      </c>
      <c r="I1021" s="16">
        <f t="shared" si="2"/>
        <v>1175.13</v>
      </c>
      <c r="J1021" s="16">
        <f t="shared" si="3"/>
        <v>21.03118518</v>
      </c>
      <c r="K1021" s="16">
        <f t="shared" si="4"/>
        <v>1196.161185</v>
      </c>
      <c r="L1021" s="16">
        <f t="shared" si="5"/>
        <v>1154.098815</v>
      </c>
      <c r="N1021" s="17" t="str">
        <f t="shared" si="6"/>
        <v>F</v>
      </c>
      <c r="O1021" s="17" t="str">
        <f t="shared" si="7"/>
        <v>T</v>
      </c>
      <c r="P1021" s="8">
        <f t="shared" si="8"/>
        <v>0</v>
      </c>
      <c r="R1021" s="17" t="str">
        <f t="shared" si="9"/>
        <v>F</v>
      </c>
      <c r="S1021" s="3" t="str">
        <f t="shared" si="10"/>
        <v>F</v>
      </c>
      <c r="T1021" s="8">
        <f t="shared" si="11"/>
        <v>-1</v>
      </c>
      <c r="V1021" s="4">
        <f t="shared" si="12"/>
        <v>-1</v>
      </c>
      <c r="W1021" s="8">
        <f t="shared" si="13"/>
        <v>20.55</v>
      </c>
      <c r="X1021" s="8">
        <f t="shared" si="14"/>
        <v>-20.55</v>
      </c>
      <c r="Y1021" s="8">
        <f t="shared" si="15"/>
        <v>864.72</v>
      </c>
    </row>
    <row r="1022">
      <c r="A1022" s="2">
        <v>1015.0</v>
      </c>
      <c r="B1022" s="15">
        <f>IFERROR(__xludf.DUMMYFUNCTION("""COMPUTED_VALUE"""),43873.64583333333)</f>
        <v>43873.64583</v>
      </c>
      <c r="C1022" s="8">
        <f>IFERROR(__xludf.DUMMYFUNCTION("""COMPUTED_VALUE"""),2437.6)</f>
        <v>2437.6</v>
      </c>
      <c r="E1022" s="15">
        <f>IFERROR(__xludf.DUMMYFUNCTION("""COMPUTED_VALUE"""),43873.64583333333)</f>
        <v>43873.64583</v>
      </c>
      <c r="F1022" s="8">
        <f>IFERROR(__xludf.DUMMYFUNCTION("""COMPUTED_VALUE"""),1249.0)</f>
        <v>1249</v>
      </c>
      <c r="H1022" s="4">
        <f t="shared" si="1"/>
        <v>1188.6</v>
      </c>
      <c r="I1022" s="16">
        <f t="shared" si="2"/>
        <v>1183.45</v>
      </c>
      <c r="J1022" s="16">
        <f t="shared" si="3"/>
        <v>14.25898839</v>
      </c>
      <c r="K1022" s="16">
        <f t="shared" si="4"/>
        <v>1197.708988</v>
      </c>
      <c r="L1022" s="16">
        <f t="shared" si="5"/>
        <v>1169.191012</v>
      </c>
      <c r="N1022" s="17" t="str">
        <f t="shared" si="6"/>
        <v>F</v>
      </c>
      <c r="O1022" s="17" t="str">
        <f t="shared" si="7"/>
        <v>T</v>
      </c>
      <c r="P1022" s="8">
        <f t="shared" si="8"/>
        <v>0</v>
      </c>
      <c r="R1022" s="17" t="str">
        <f t="shared" si="9"/>
        <v>F</v>
      </c>
      <c r="S1022" s="3" t="str">
        <f t="shared" si="10"/>
        <v>F</v>
      </c>
      <c r="T1022" s="8">
        <f t="shared" si="11"/>
        <v>-1</v>
      </c>
      <c r="V1022" s="4">
        <f t="shared" si="12"/>
        <v>-1</v>
      </c>
      <c r="W1022" s="8">
        <f t="shared" si="13"/>
        <v>-5.95</v>
      </c>
      <c r="X1022" s="8">
        <f t="shared" si="14"/>
        <v>5.95</v>
      </c>
      <c r="Y1022" s="8">
        <f t="shared" si="15"/>
        <v>870.67</v>
      </c>
    </row>
    <row r="1023">
      <c r="A1023" s="2">
        <v>1016.0</v>
      </c>
      <c r="B1023" s="15">
        <f>IFERROR(__xludf.DUMMYFUNCTION("""COMPUTED_VALUE"""),43874.64583333333)</f>
        <v>43874.64583</v>
      </c>
      <c r="C1023" s="8">
        <f>IFERROR(__xludf.DUMMYFUNCTION("""COMPUTED_VALUE"""),2403.65)</f>
        <v>2403.65</v>
      </c>
      <c r="E1023" s="15">
        <f>IFERROR(__xludf.DUMMYFUNCTION("""COMPUTED_VALUE"""),43874.64583333333)</f>
        <v>43874.64583</v>
      </c>
      <c r="F1023" s="8">
        <f>IFERROR(__xludf.DUMMYFUNCTION("""COMPUTED_VALUE"""),1241.4)</f>
        <v>1241.4</v>
      </c>
      <c r="H1023" s="4">
        <f t="shared" si="1"/>
        <v>1162.25</v>
      </c>
      <c r="I1023" s="16">
        <f t="shared" si="2"/>
        <v>1176.57</v>
      </c>
      <c r="J1023" s="16">
        <f t="shared" si="3"/>
        <v>14.59283214</v>
      </c>
      <c r="K1023" s="16">
        <f t="shared" si="4"/>
        <v>1191.162832</v>
      </c>
      <c r="L1023" s="16">
        <f t="shared" si="5"/>
        <v>1161.977168</v>
      </c>
      <c r="N1023" s="17" t="str">
        <f t="shared" si="6"/>
        <v>F</v>
      </c>
      <c r="O1023" s="17" t="str">
        <f t="shared" si="7"/>
        <v>F</v>
      </c>
      <c r="P1023" s="8">
        <f t="shared" si="8"/>
        <v>0</v>
      </c>
      <c r="R1023" s="17" t="str">
        <f t="shared" si="9"/>
        <v>F</v>
      </c>
      <c r="S1023" s="3" t="str">
        <f t="shared" si="10"/>
        <v>T</v>
      </c>
      <c r="T1023" s="8">
        <f t="shared" si="11"/>
        <v>0</v>
      </c>
      <c r="V1023" s="4">
        <f t="shared" si="12"/>
        <v>0</v>
      </c>
      <c r="W1023" s="8">
        <f t="shared" si="13"/>
        <v>-26.35</v>
      </c>
      <c r="X1023" s="8">
        <f t="shared" si="14"/>
        <v>26.35</v>
      </c>
      <c r="Y1023" s="8">
        <f t="shared" si="15"/>
        <v>897.02</v>
      </c>
    </row>
    <row r="1024">
      <c r="A1024" s="2">
        <v>1017.0</v>
      </c>
      <c r="B1024" s="15">
        <f>IFERROR(__xludf.DUMMYFUNCTION("""COMPUTED_VALUE"""),43875.64583333333)</f>
        <v>43875.64583</v>
      </c>
      <c r="C1024" s="8">
        <f>IFERROR(__xludf.DUMMYFUNCTION("""COMPUTED_VALUE"""),2401.75)</f>
        <v>2401.75</v>
      </c>
      <c r="E1024" s="15">
        <f>IFERROR(__xludf.DUMMYFUNCTION("""COMPUTED_VALUE"""),43875.64583333333)</f>
        <v>43875.64583</v>
      </c>
      <c r="F1024" s="8">
        <f>IFERROR(__xludf.DUMMYFUNCTION("""COMPUTED_VALUE"""),1219.35)</f>
        <v>1219.35</v>
      </c>
      <c r="H1024" s="4">
        <f t="shared" si="1"/>
        <v>1182.4</v>
      </c>
      <c r="I1024" s="16">
        <f t="shared" si="2"/>
        <v>1180.36</v>
      </c>
      <c r="J1024" s="16">
        <f t="shared" si="3"/>
        <v>12.66725108</v>
      </c>
      <c r="K1024" s="16">
        <f t="shared" si="4"/>
        <v>1193.027251</v>
      </c>
      <c r="L1024" s="16">
        <f t="shared" si="5"/>
        <v>1167.692749</v>
      </c>
      <c r="N1024" s="17" t="str">
        <f t="shared" si="6"/>
        <v>F</v>
      </c>
      <c r="O1024" s="17" t="str">
        <f t="shared" si="7"/>
        <v>T</v>
      </c>
      <c r="P1024" s="8">
        <f t="shared" si="8"/>
        <v>0</v>
      </c>
      <c r="R1024" s="17" t="str">
        <f t="shared" si="9"/>
        <v>F</v>
      </c>
      <c r="S1024" s="3" t="str">
        <f t="shared" si="10"/>
        <v>F</v>
      </c>
      <c r="T1024" s="8">
        <f t="shared" si="11"/>
        <v>0</v>
      </c>
      <c r="V1024" s="4">
        <f t="shared" si="12"/>
        <v>0</v>
      </c>
      <c r="W1024" s="8">
        <f t="shared" si="13"/>
        <v>20.15</v>
      </c>
      <c r="X1024" s="8">
        <f t="shared" si="14"/>
        <v>0</v>
      </c>
      <c r="Y1024" s="8">
        <f t="shared" si="15"/>
        <v>897.02</v>
      </c>
    </row>
    <row r="1025">
      <c r="A1025" s="2">
        <v>1018.0</v>
      </c>
      <c r="B1025" s="15">
        <f>IFERROR(__xludf.DUMMYFUNCTION("""COMPUTED_VALUE"""),43878.64583333333)</f>
        <v>43878.64583</v>
      </c>
      <c r="C1025" s="8">
        <f>IFERROR(__xludf.DUMMYFUNCTION("""COMPUTED_VALUE"""),2350.25)</f>
        <v>2350.25</v>
      </c>
      <c r="E1025" s="15">
        <f>IFERROR(__xludf.DUMMYFUNCTION("""COMPUTED_VALUE"""),43878.64583333333)</f>
        <v>43878.64583</v>
      </c>
      <c r="F1025" s="8">
        <f>IFERROR(__xludf.DUMMYFUNCTION("""COMPUTED_VALUE"""),1217.15)</f>
        <v>1217.15</v>
      </c>
      <c r="H1025" s="4">
        <f t="shared" si="1"/>
        <v>1133.1</v>
      </c>
      <c r="I1025" s="16">
        <f t="shared" si="2"/>
        <v>1172.18</v>
      </c>
      <c r="J1025" s="16">
        <f t="shared" si="3"/>
        <v>25.00166494</v>
      </c>
      <c r="K1025" s="16">
        <f t="shared" si="4"/>
        <v>1197.181665</v>
      </c>
      <c r="L1025" s="16">
        <f t="shared" si="5"/>
        <v>1147.178335</v>
      </c>
      <c r="N1025" s="17" t="str">
        <f t="shared" si="6"/>
        <v>T</v>
      </c>
      <c r="O1025" s="17" t="str">
        <f t="shared" si="7"/>
        <v>F</v>
      </c>
      <c r="P1025" s="8">
        <f t="shared" si="8"/>
        <v>1</v>
      </c>
      <c r="R1025" s="17" t="str">
        <f t="shared" si="9"/>
        <v>F</v>
      </c>
      <c r="S1025" s="3" t="str">
        <f t="shared" si="10"/>
        <v>T</v>
      </c>
      <c r="T1025" s="8">
        <f t="shared" si="11"/>
        <v>0</v>
      </c>
      <c r="V1025" s="4">
        <f t="shared" si="12"/>
        <v>1</v>
      </c>
      <c r="W1025" s="8">
        <f t="shared" si="13"/>
        <v>-49.3</v>
      </c>
      <c r="X1025" s="8">
        <f t="shared" si="14"/>
        <v>0</v>
      </c>
      <c r="Y1025" s="8">
        <f t="shared" si="15"/>
        <v>897.02</v>
      </c>
    </row>
    <row r="1026">
      <c r="A1026" s="2">
        <v>1019.0</v>
      </c>
      <c r="B1026" s="15">
        <f>IFERROR(__xludf.DUMMYFUNCTION("""COMPUTED_VALUE"""),43879.64583333333)</f>
        <v>43879.64583</v>
      </c>
      <c r="C1026" s="8">
        <f>IFERROR(__xludf.DUMMYFUNCTION("""COMPUTED_VALUE"""),2318.8)</f>
        <v>2318.8</v>
      </c>
      <c r="E1026" s="15">
        <f>IFERROR(__xludf.DUMMYFUNCTION("""COMPUTED_VALUE"""),43879.64583333333)</f>
        <v>43879.64583</v>
      </c>
      <c r="F1026" s="8">
        <f>IFERROR(__xludf.DUMMYFUNCTION("""COMPUTED_VALUE"""),1213.25)</f>
        <v>1213.25</v>
      </c>
      <c r="H1026" s="4">
        <f t="shared" si="1"/>
        <v>1105.55</v>
      </c>
      <c r="I1026" s="16">
        <f t="shared" si="2"/>
        <v>1154.38</v>
      </c>
      <c r="J1026" s="16">
        <f t="shared" si="3"/>
        <v>34.83989452</v>
      </c>
      <c r="K1026" s="16">
        <f t="shared" si="4"/>
        <v>1189.219895</v>
      </c>
      <c r="L1026" s="16">
        <f t="shared" si="5"/>
        <v>1119.540105</v>
      </c>
      <c r="N1026" s="17" t="str">
        <f t="shared" si="6"/>
        <v>T</v>
      </c>
      <c r="O1026" s="17" t="str">
        <f t="shared" si="7"/>
        <v>F</v>
      </c>
      <c r="P1026" s="8">
        <f t="shared" si="8"/>
        <v>1</v>
      </c>
      <c r="R1026" s="17" t="str">
        <f t="shared" si="9"/>
        <v>F</v>
      </c>
      <c r="S1026" s="3" t="str">
        <f t="shared" si="10"/>
        <v>T</v>
      </c>
      <c r="T1026" s="8">
        <f t="shared" si="11"/>
        <v>0</v>
      </c>
      <c r="V1026" s="4">
        <f t="shared" si="12"/>
        <v>1</v>
      </c>
      <c r="W1026" s="8">
        <f t="shared" si="13"/>
        <v>-27.55</v>
      </c>
      <c r="X1026" s="8">
        <f t="shared" si="14"/>
        <v>-27.55</v>
      </c>
      <c r="Y1026" s="8">
        <f t="shared" si="15"/>
        <v>869.47</v>
      </c>
    </row>
    <row r="1027">
      <c r="A1027" s="2">
        <v>1020.0</v>
      </c>
      <c r="B1027" s="15">
        <f>IFERROR(__xludf.DUMMYFUNCTION("""COMPUTED_VALUE"""),43880.64583333333)</f>
        <v>43880.64583</v>
      </c>
      <c r="C1027" s="8">
        <f>IFERROR(__xludf.DUMMYFUNCTION("""COMPUTED_VALUE"""),2377.25)</f>
        <v>2377.25</v>
      </c>
      <c r="E1027" s="15">
        <f>IFERROR(__xludf.DUMMYFUNCTION("""COMPUTED_VALUE"""),43880.64583333333)</f>
        <v>43880.64583</v>
      </c>
      <c r="F1027" s="8">
        <f>IFERROR(__xludf.DUMMYFUNCTION("""COMPUTED_VALUE"""),1227.2)</f>
        <v>1227.2</v>
      </c>
      <c r="H1027" s="4">
        <f t="shared" si="1"/>
        <v>1150.05</v>
      </c>
      <c r="I1027" s="16">
        <f t="shared" si="2"/>
        <v>1146.67</v>
      </c>
      <c r="J1027" s="16">
        <f t="shared" si="3"/>
        <v>29.17958619</v>
      </c>
      <c r="K1027" s="16">
        <f t="shared" si="4"/>
        <v>1175.849586</v>
      </c>
      <c r="L1027" s="16">
        <f t="shared" si="5"/>
        <v>1117.490414</v>
      </c>
      <c r="N1027" s="17" t="str">
        <f t="shared" si="6"/>
        <v>F</v>
      </c>
      <c r="O1027" s="17" t="str">
        <f t="shared" si="7"/>
        <v>T</v>
      </c>
      <c r="P1027" s="8">
        <f t="shared" si="8"/>
        <v>0</v>
      </c>
      <c r="R1027" s="17" t="str">
        <f t="shared" si="9"/>
        <v>F</v>
      </c>
      <c r="S1027" s="3" t="str">
        <f t="shared" si="10"/>
        <v>F</v>
      </c>
      <c r="T1027" s="8">
        <f t="shared" si="11"/>
        <v>0</v>
      </c>
      <c r="V1027" s="4">
        <f t="shared" si="12"/>
        <v>0</v>
      </c>
      <c r="W1027" s="8">
        <f t="shared" si="13"/>
        <v>44.5</v>
      </c>
      <c r="X1027" s="8">
        <f t="shared" si="14"/>
        <v>44.5</v>
      </c>
      <c r="Y1027" s="8">
        <f t="shared" si="15"/>
        <v>913.97</v>
      </c>
    </row>
    <row r="1028">
      <c r="A1028" s="2">
        <v>1021.0</v>
      </c>
      <c r="B1028" s="15">
        <f>IFERROR(__xludf.DUMMYFUNCTION("""COMPUTED_VALUE"""),43881.64583333333)</f>
        <v>43881.64583</v>
      </c>
      <c r="C1028" s="8">
        <f>IFERROR(__xludf.DUMMYFUNCTION("""COMPUTED_VALUE"""),2369.5)</f>
        <v>2369.5</v>
      </c>
      <c r="E1028" s="15">
        <f>IFERROR(__xludf.DUMMYFUNCTION("""COMPUTED_VALUE"""),43881.64583333333)</f>
        <v>43881.64583</v>
      </c>
      <c r="F1028" s="8">
        <f>IFERROR(__xludf.DUMMYFUNCTION("""COMPUTED_VALUE"""),1217.1)</f>
        <v>1217.1</v>
      </c>
      <c r="H1028" s="4">
        <f t="shared" si="1"/>
        <v>1152.4</v>
      </c>
      <c r="I1028" s="16">
        <f t="shared" si="2"/>
        <v>1144.7</v>
      </c>
      <c r="J1028" s="16">
        <f t="shared" si="3"/>
        <v>28.18015703</v>
      </c>
      <c r="K1028" s="16">
        <f t="shared" si="4"/>
        <v>1172.880157</v>
      </c>
      <c r="L1028" s="16">
        <f t="shared" si="5"/>
        <v>1116.519843</v>
      </c>
      <c r="N1028" s="17" t="str">
        <f t="shared" si="6"/>
        <v>F</v>
      </c>
      <c r="O1028" s="17" t="str">
        <f t="shared" si="7"/>
        <v>T</v>
      </c>
      <c r="P1028" s="8">
        <f t="shared" si="8"/>
        <v>0</v>
      </c>
      <c r="R1028" s="17" t="str">
        <f t="shared" si="9"/>
        <v>F</v>
      </c>
      <c r="S1028" s="3" t="str">
        <f t="shared" si="10"/>
        <v>F</v>
      </c>
      <c r="T1028" s="8">
        <f t="shared" si="11"/>
        <v>0</v>
      </c>
      <c r="V1028" s="4">
        <f t="shared" si="12"/>
        <v>0</v>
      </c>
      <c r="W1028" s="8">
        <f t="shared" si="13"/>
        <v>2.35</v>
      </c>
      <c r="X1028" s="8">
        <f t="shared" si="14"/>
        <v>0</v>
      </c>
      <c r="Y1028" s="8">
        <f t="shared" si="15"/>
        <v>913.97</v>
      </c>
    </row>
    <row r="1029">
      <c r="A1029" s="2">
        <v>1022.0</v>
      </c>
      <c r="B1029" s="15">
        <f>IFERROR(__xludf.DUMMYFUNCTION("""COMPUTED_VALUE"""),43885.64583333333)</f>
        <v>43885.64583</v>
      </c>
      <c r="C1029" s="8">
        <f>IFERROR(__xludf.DUMMYFUNCTION("""COMPUTED_VALUE"""),2292.3)</f>
        <v>2292.3</v>
      </c>
      <c r="E1029" s="15">
        <f>IFERROR(__xludf.DUMMYFUNCTION("""COMPUTED_VALUE"""),43885.64583333333)</f>
        <v>43885.64583</v>
      </c>
      <c r="F1029" s="8">
        <f>IFERROR(__xludf.DUMMYFUNCTION("""COMPUTED_VALUE"""),1209.95)</f>
        <v>1209.95</v>
      </c>
      <c r="H1029" s="4">
        <f t="shared" si="1"/>
        <v>1082.35</v>
      </c>
      <c r="I1029" s="16">
        <f t="shared" si="2"/>
        <v>1124.69</v>
      </c>
      <c r="J1029" s="16">
        <f t="shared" si="3"/>
        <v>30.16917715</v>
      </c>
      <c r="K1029" s="16">
        <f t="shared" si="4"/>
        <v>1154.859177</v>
      </c>
      <c r="L1029" s="16">
        <f t="shared" si="5"/>
        <v>1094.520823</v>
      </c>
      <c r="N1029" s="17" t="str">
        <f t="shared" si="6"/>
        <v>T</v>
      </c>
      <c r="O1029" s="17" t="str">
        <f t="shared" si="7"/>
        <v>F</v>
      </c>
      <c r="P1029" s="8">
        <f t="shared" si="8"/>
        <v>1</v>
      </c>
      <c r="R1029" s="17" t="str">
        <f t="shared" si="9"/>
        <v>F</v>
      </c>
      <c r="S1029" s="3" t="str">
        <f t="shared" si="10"/>
        <v>T</v>
      </c>
      <c r="T1029" s="8">
        <f t="shared" si="11"/>
        <v>0</v>
      </c>
      <c r="V1029" s="4">
        <f t="shared" si="12"/>
        <v>1</v>
      </c>
      <c r="W1029" s="8">
        <f t="shared" si="13"/>
        <v>-70.05</v>
      </c>
      <c r="X1029" s="8">
        <f t="shared" si="14"/>
        <v>0</v>
      </c>
      <c r="Y1029" s="8">
        <f t="shared" si="15"/>
        <v>913.97</v>
      </c>
    </row>
    <row r="1030">
      <c r="A1030" s="2">
        <v>1023.0</v>
      </c>
      <c r="B1030" s="15">
        <f>IFERROR(__xludf.DUMMYFUNCTION("""COMPUTED_VALUE"""),43886.64583333333)</f>
        <v>43886.64583</v>
      </c>
      <c r="C1030" s="8">
        <f>IFERROR(__xludf.DUMMYFUNCTION("""COMPUTED_VALUE"""),2302.6)</f>
        <v>2302.6</v>
      </c>
      <c r="E1030" s="15">
        <f>IFERROR(__xludf.DUMMYFUNCTION("""COMPUTED_VALUE"""),43886.64583333333)</f>
        <v>43886.64583</v>
      </c>
      <c r="F1030" s="8">
        <f>IFERROR(__xludf.DUMMYFUNCTION("""COMPUTED_VALUE"""),1200.3)</f>
        <v>1200.3</v>
      </c>
      <c r="H1030" s="4">
        <f t="shared" si="1"/>
        <v>1102.3</v>
      </c>
      <c r="I1030" s="16">
        <f t="shared" si="2"/>
        <v>1118.53</v>
      </c>
      <c r="J1030" s="16">
        <f t="shared" si="3"/>
        <v>31.15113561</v>
      </c>
      <c r="K1030" s="16">
        <f t="shared" si="4"/>
        <v>1149.681136</v>
      </c>
      <c r="L1030" s="16">
        <f t="shared" si="5"/>
        <v>1087.378864</v>
      </c>
      <c r="N1030" s="17" t="str">
        <f t="shared" si="6"/>
        <v>F</v>
      </c>
      <c r="O1030" s="17" t="str">
        <f t="shared" si="7"/>
        <v>F</v>
      </c>
      <c r="P1030" s="8">
        <f t="shared" si="8"/>
        <v>1</v>
      </c>
      <c r="R1030" s="17" t="str">
        <f t="shared" si="9"/>
        <v>F</v>
      </c>
      <c r="S1030" s="3" t="str">
        <f t="shared" si="10"/>
        <v>T</v>
      </c>
      <c r="T1030" s="8">
        <f t="shared" si="11"/>
        <v>0</v>
      </c>
      <c r="V1030" s="4">
        <f t="shared" si="12"/>
        <v>1</v>
      </c>
      <c r="W1030" s="8">
        <f t="shared" si="13"/>
        <v>19.95</v>
      </c>
      <c r="X1030" s="8">
        <f t="shared" si="14"/>
        <v>19.95</v>
      </c>
      <c r="Y1030" s="8">
        <f t="shared" si="15"/>
        <v>933.92</v>
      </c>
    </row>
    <row r="1031">
      <c r="A1031" s="2">
        <v>1024.0</v>
      </c>
      <c r="B1031" s="15">
        <f>IFERROR(__xludf.DUMMYFUNCTION("""COMPUTED_VALUE"""),43887.64583333333)</f>
        <v>43887.64583</v>
      </c>
      <c r="C1031" s="8">
        <f>IFERROR(__xludf.DUMMYFUNCTION("""COMPUTED_VALUE"""),2281.45)</f>
        <v>2281.45</v>
      </c>
      <c r="E1031" s="15">
        <f>IFERROR(__xludf.DUMMYFUNCTION("""COMPUTED_VALUE"""),43887.64583333333)</f>
        <v>43887.64583</v>
      </c>
      <c r="F1031" s="8">
        <f>IFERROR(__xludf.DUMMYFUNCTION("""COMPUTED_VALUE"""),1199.25)</f>
        <v>1199.25</v>
      </c>
      <c r="H1031" s="4">
        <f t="shared" si="1"/>
        <v>1082.2</v>
      </c>
      <c r="I1031" s="16">
        <f t="shared" si="2"/>
        <v>1113.86</v>
      </c>
      <c r="J1031" s="16">
        <f t="shared" si="3"/>
        <v>35.08531388</v>
      </c>
      <c r="K1031" s="16">
        <f t="shared" si="4"/>
        <v>1148.945314</v>
      </c>
      <c r="L1031" s="16">
        <f t="shared" si="5"/>
        <v>1078.774686</v>
      </c>
      <c r="N1031" s="17" t="str">
        <f t="shared" si="6"/>
        <v>F</v>
      </c>
      <c r="O1031" s="17" t="str">
        <f t="shared" si="7"/>
        <v>F</v>
      </c>
      <c r="P1031" s="8">
        <f t="shared" si="8"/>
        <v>1</v>
      </c>
      <c r="R1031" s="17" t="str">
        <f t="shared" si="9"/>
        <v>F</v>
      </c>
      <c r="S1031" s="3" t="str">
        <f t="shared" si="10"/>
        <v>T</v>
      </c>
      <c r="T1031" s="8">
        <f t="shared" si="11"/>
        <v>0</v>
      </c>
      <c r="V1031" s="4">
        <f t="shared" si="12"/>
        <v>1</v>
      </c>
      <c r="W1031" s="8">
        <f t="shared" si="13"/>
        <v>-20.1</v>
      </c>
      <c r="X1031" s="8">
        <f t="shared" si="14"/>
        <v>-20.1</v>
      </c>
      <c r="Y1031" s="8">
        <f t="shared" si="15"/>
        <v>913.82</v>
      </c>
    </row>
    <row r="1032">
      <c r="A1032" s="2">
        <v>1025.0</v>
      </c>
      <c r="B1032" s="15">
        <f>IFERROR(__xludf.DUMMYFUNCTION("""COMPUTED_VALUE"""),43888.64583333333)</f>
        <v>43888.64583</v>
      </c>
      <c r="C1032" s="8">
        <f>IFERROR(__xludf.DUMMYFUNCTION("""COMPUTED_VALUE"""),2272.2)</f>
        <v>2272.2</v>
      </c>
      <c r="E1032" s="15">
        <f>IFERROR(__xludf.DUMMYFUNCTION("""COMPUTED_VALUE"""),43888.64583333333)</f>
        <v>43888.64583</v>
      </c>
      <c r="F1032" s="8">
        <f>IFERROR(__xludf.DUMMYFUNCTION("""COMPUTED_VALUE"""),1199.45)</f>
        <v>1199.45</v>
      </c>
      <c r="H1032" s="4">
        <f t="shared" si="1"/>
        <v>1072.75</v>
      </c>
      <c r="I1032" s="16">
        <f t="shared" si="2"/>
        <v>1098.4</v>
      </c>
      <c r="J1032" s="16">
        <f t="shared" si="3"/>
        <v>32.05142353</v>
      </c>
      <c r="K1032" s="16">
        <f t="shared" si="4"/>
        <v>1130.451424</v>
      </c>
      <c r="L1032" s="16">
        <f t="shared" si="5"/>
        <v>1066.348576</v>
      </c>
      <c r="N1032" s="17" t="str">
        <f t="shared" si="6"/>
        <v>F</v>
      </c>
      <c r="O1032" s="17" t="str">
        <f t="shared" si="7"/>
        <v>F</v>
      </c>
      <c r="P1032" s="8">
        <f t="shared" si="8"/>
        <v>1</v>
      </c>
      <c r="R1032" s="17" t="str">
        <f t="shared" si="9"/>
        <v>F</v>
      </c>
      <c r="S1032" s="3" t="str">
        <f t="shared" si="10"/>
        <v>T</v>
      </c>
      <c r="T1032" s="8">
        <f t="shared" si="11"/>
        <v>0</v>
      </c>
      <c r="V1032" s="4">
        <f t="shared" si="12"/>
        <v>1</v>
      </c>
      <c r="W1032" s="8">
        <f t="shared" si="13"/>
        <v>-9.45</v>
      </c>
      <c r="X1032" s="8">
        <f t="shared" si="14"/>
        <v>-9.45</v>
      </c>
      <c r="Y1032" s="8">
        <f t="shared" si="15"/>
        <v>904.37</v>
      </c>
    </row>
    <row r="1033">
      <c r="A1033" s="2">
        <v>1026.0</v>
      </c>
      <c r="B1033" s="15">
        <f>IFERROR(__xludf.DUMMYFUNCTION("""COMPUTED_VALUE"""),43889.64583333333)</f>
        <v>43889.64583</v>
      </c>
      <c r="C1033" s="8">
        <f>IFERROR(__xludf.DUMMYFUNCTION("""COMPUTED_VALUE"""),2175.75)</f>
        <v>2175.75</v>
      </c>
      <c r="E1033" s="15">
        <f>IFERROR(__xludf.DUMMYFUNCTION("""COMPUTED_VALUE"""),43889.64583333333)</f>
        <v>43889.64583</v>
      </c>
      <c r="F1033" s="8">
        <f>IFERROR(__xludf.DUMMYFUNCTION("""COMPUTED_VALUE"""),1177.65)</f>
        <v>1177.65</v>
      </c>
      <c r="H1033" s="4">
        <f t="shared" si="1"/>
        <v>998.1</v>
      </c>
      <c r="I1033" s="16">
        <f t="shared" si="2"/>
        <v>1067.54</v>
      </c>
      <c r="J1033" s="16">
        <f t="shared" si="3"/>
        <v>40.28513063</v>
      </c>
      <c r="K1033" s="16">
        <f t="shared" si="4"/>
        <v>1107.825131</v>
      </c>
      <c r="L1033" s="16">
        <f t="shared" si="5"/>
        <v>1027.254869</v>
      </c>
      <c r="N1033" s="17" t="str">
        <f t="shared" si="6"/>
        <v>T</v>
      </c>
      <c r="O1033" s="17" t="str">
        <f t="shared" si="7"/>
        <v>F</v>
      </c>
      <c r="P1033" s="8">
        <f t="shared" si="8"/>
        <v>1</v>
      </c>
      <c r="R1033" s="17" t="str">
        <f t="shared" si="9"/>
        <v>F</v>
      </c>
      <c r="S1033" s="3" t="str">
        <f t="shared" si="10"/>
        <v>T</v>
      </c>
      <c r="T1033" s="8">
        <f t="shared" si="11"/>
        <v>0</v>
      </c>
      <c r="V1033" s="4">
        <f t="shared" si="12"/>
        <v>1</v>
      </c>
      <c r="W1033" s="8">
        <f t="shared" si="13"/>
        <v>-74.65</v>
      </c>
      <c r="X1033" s="8">
        <f t="shared" si="14"/>
        <v>-74.65</v>
      </c>
      <c r="Y1033" s="8">
        <f t="shared" si="15"/>
        <v>829.72</v>
      </c>
    </row>
    <row r="1034">
      <c r="A1034" s="2">
        <v>1027.0</v>
      </c>
      <c r="B1034" s="15">
        <f>IFERROR(__xludf.DUMMYFUNCTION("""COMPUTED_VALUE"""),43892.64583333333)</f>
        <v>43892.64583</v>
      </c>
      <c r="C1034" s="8">
        <f>IFERROR(__xludf.DUMMYFUNCTION("""COMPUTED_VALUE"""),2179.65)</f>
        <v>2179.65</v>
      </c>
      <c r="E1034" s="15">
        <f>IFERROR(__xludf.DUMMYFUNCTION("""COMPUTED_VALUE"""),43892.64583333333)</f>
        <v>43892.64583</v>
      </c>
      <c r="F1034" s="8">
        <f>IFERROR(__xludf.DUMMYFUNCTION("""COMPUTED_VALUE"""),1179.6)</f>
        <v>1179.6</v>
      </c>
      <c r="H1034" s="4">
        <f t="shared" si="1"/>
        <v>1000.05</v>
      </c>
      <c r="I1034" s="16">
        <f t="shared" si="2"/>
        <v>1051.08</v>
      </c>
      <c r="J1034" s="16">
        <f t="shared" si="3"/>
        <v>48.66331524</v>
      </c>
      <c r="K1034" s="16">
        <f t="shared" si="4"/>
        <v>1099.743315</v>
      </c>
      <c r="L1034" s="16">
        <f t="shared" si="5"/>
        <v>1002.416685</v>
      </c>
      <c r="N1034" s="17" t="str">
        <f t="shared" si="6"/>
        <v>T</v>
      </c>
      <c r="O1034" s="17" t="str">
        <f t="shared" si="7"/>
        <v>F</v>
      </c>
      <c r="P1034" s="8">
        <f t="shared" si="8"/>
        <v>1</v>
      </c>
      <c r="R1034" s="17" t="str">
        <f t="shared" si="9"/>
        <v>F</v>
      </c>
      <c r="S1034" s="3" t="str">
        <f t="shared" si="10"/>
        <v>T</v>
      </c>
      <c r="T1034" s="8">
        <f t="shared" si="11"/>
        <v>0</v>
      </c>
      <c r="V1034" s="4">
        <f t="shared" si="12"/>
        <v>1</v>
      </c>
      <c r="W1034" s="8">
        <f t="shared" si="13"/>
        <v>1.95</v>
      </c>
      <c r="X1034" s="8">
        <f t="shared" si="14"/>
        <v>1.95</v>
      </c>
      <c r="Y1034" s="8">
        <f t="shared" si="15"/>
        <v>831.67</v>
      </c>
    </row>
    <row r="1035">
      <c r="A1035" s="2">
        <v>1028.0</v>
      </c>
      <c r="B1035" s="15">
        <f>IFERROR(__xludf.DUMMYFUNCTION("""COMPUTED_VALUE"""),43893.64583333333)</f>
        <v>43893.64583</v>
      </c>
      <c r="C1035" s="8">
        <f>IFERROR(__xludf.DUMMYFUNCTION("""COMPUTED_VALUE"""),2191.4)</f>
        <v>2191.4</v>
      </c>
      <c r="E1035" s="15">
        <f>IFERROR(__xludf.DUMMYFUNCTION("""COMPUTED_VALUE"""),43893.64583333333)</f>
        <v>43893.64583</v>
      </c>
      <c r="F1035" s="8">
        <f>IFERROR(__xludf.DUMMYFUNCTION("""COMPUTED_VALUE"""),1181.8)</f>
        <v>1181.8</v>
      </c>
      <c r="H1035" s="4">
        <f t="shared" si="1"/>
        <v>1009.6</v>
      </c>
      <c r="I1035" s="16">
        <f t="shared" si="2"/>
        <v>1032.54</v>
      </c>
      <c r="J1035" s="16">
        <f t="shared" si="3"/>
        <v>41.3851332</v>
      </c>
      <c r="K1035" s="16">
        <f t="shared" si="4"/>
        <v>1073.925133</v>
      </c>
      <c r="L1035" s="16">
        <f t="shared" si="5"/>
        <v>991.1548668</v>
      </c>
      <c r="N1035" s="17" t="str">
        <f t="shared" si="6"/>
        <v>F</v>
      </c>
      <c r="O1035" s="17" t="str">
        <f t="shared" si="7"/>
        <v>F</v>
      </c>
      <c r="P1035" s="8">
        <f t="shared" si="8"/>
        <v>1</v>
      </c>
      <c r="R1035" s="17" t="str">
        <f t="shared" si="9"/>
        <v>F</v>
      </c>
      <c r="S1035" s="3" t="str">
        <f t="shared" si="10"/>
        <v>T</v>
      </c>
      <c r="T1035" s="8">
        <f t="shared" si="11"/>
        <v>0</v>
      </c>
      <c r="V1035" s="4">
        <f t="shared" si="12"/>
        <v>1</v>
      </c>
      <c r="W1035" s="8">
        <f t="shared" si="13"/>
        <v>9.55</v>
      </c>
      <c r="X1035" s="8">
        <f t="shared" si="14"/>
        <v>9.55</v>
      </c>
      <c r="Y1035" s="8">
        <f t="shared" si="15"/>
        <v>841.22</v>
      </c>
    </row>
    <row r="1036">
      <c r="A1036" s="2">
        <v>1029.0</v>
      </c>
      <c r="B1036" s="15">
        <f>IFERROR(__xludf.DUMMYFUNCTION("""COMPUTED_VALUE"""),43894.64583333333)</f>
        <v>43894.64583</v>
      </c>
      <c r="C1036" s="8">
        <f>IFERROR(__xludf.DUMMYFUNCTION("""COMPUTED_VALUE"""),2206.05)</f>
        <v>2206.05</v>
      </c>
      <c r="E1036" s="15">
        <f>IFERROR(__xludf.DUMMYFUNCTION("""COMPUTED_VALUE"""),43894.64583333333)</f>
        <v>43894.64583</v>
      </c>
      <c r="F1036" s="8">
        <f>IFERROR(__xludf.DUMMYFUNCTION("""COMPUTED_VALUE"""),1148.85)</f>
        <v>1148.85</v>
      </c>
      <c r="H1036" s="4">
        <f t="shared" si="1"/>
        <v>1057.2</v>
      </c>
      <c r="I1036" s="16">
        <f t="shared" si="2"/>
        <v>1027.54</v>
      </c>
      <c r="J1036" s="16">
        <f t="shared" si="3"/>
        <v>34.88522968</v>
      </c>
      <c r="K1036" s="16">
        <f t="shared" si="4"/>
        <v>1062.42523</v>
      </c>
      <c r="L1036" s="16">
        <f t="shared" si="5"/>
        <v>992.6547703</v>
      </c>
      <c r="N1036" s="17" t="str">
        <f t="shared" si="6"/>
        <v>F</v>
      </c>
      <c r="O1036" s="17" t="str">
        <f t="shared" si="7"/>
        <v>T</v>
      </c>
      <c r="P1036" s="8">
        <f t="shared" si="8"/>
        <v>0</v>
      </c>
      <c r="R1036" s="17" t="str">
        <f t="shared" si="9"/>
        <v>F</v>
      </c>
      <c r="S1036" s="3" t="str">
        <f t="shared" si="10"/>
        <v>F</v>
      </c>
      <c r="T1036" s="8">
        <f t="shared" si="11"/>
        <v>0</v>
      </c>
      <c r="V1036" s="4">
        <f t="shared" si="12"/>
        <v>0</v>
      </c>
      <c r="W1036" s="8">
        <f t="shared" si="13"/>
        <v>47.6</v>
      </c>
      <c r="X1036" s="8">
        <f t="shared" si="14"/>
        <v>47.6</v>
      </c>
      <c r="Y1036" s="8">
        <f t="shared" si="15"/>
        <v>888.82</v>
      </c>
    </row>
    <row r="1037">
      <c r="A1037" s="2">
        <v>1030.0</v>
      </c>
      <c r="B1037" s="15">
        <f>IFERROR(__xludf.DUMMYFUNCTION("""COMPUTED_VALUE"""),43895.64583333333)</f>
        <v>43895.64583</v>
      </c>
      <c r="C1037" s="8">
        <f>IFERROR(__xludf.DUMMYFUNCTION("""COMPUTED_VALUE"""),2195.05)</f>
        <v>2195.05</v>
      </c>
      <c r="E1037" s="15">
        <f>IFERROR(__xludf.DUMMYFUNCTION("""COMPUTED_VALUE"""),43895.64583333333)</f>
        <v>43895.64583</v>
      </c>
      <c r="F1037" s="8">
        <f>IFERROR(__xludf.DUMMYFUNCTION("""COMPUTED_VALUE"""),1151.35)</f>
        <v>1151.35</v>
      </c>
      <c r="H1037" s="4">
        <f t="shared" si="1"/>
        <v>1043.7</v>
      </c>
      <c r="I1037" s="16">
        <f t="shared" si="2"/>
        <v>1021.73</v>
      </c>
      <c r="J1037" s="16">
        <f t="shared" si="3"/>
        <v>27.00156477</v>
      </c>
      <c r="K1037" s="16">
        <f t="shared" si="4"/>
        <v>1048.731565</v>
      </c>
      <c r="L1037" s="16">
        <f t="shared" si="5"/>
        <v>994.7284352</v>
      </c>
      <c r="N1037" s="17" t="str">
        <f t="shared" si="6"/>
        <v>F</v>
      </c>
      <c r="O1037" s="17" t="str">
        <f t="shared" si="7"/>
        <v>T</v>
      </c>
      <c r="P1037" s="8">
        <f t="shared" si="8"/>
        <v>0</v>
      </c>
      <c r="R1037" s="17" t="str">
        <f t="shared" si="9"/>
        <v>F</v>
      </c>
      <c r="S1037" s="3" t="str">
        <f t="shared" si="10"/>
        <v>F</v>
      </c>
      <c r="T1037" s="8">
        <f t="shared" si="11"/>
        <v>0</v>
      </c>
      <c r="V1037" s="4">
        <f t="shared" si="12"/>
        <v>0</v>
      </c>
      <c r="W1037" s="8">
        <f t="shared" si="13"/>
        <v>-13.5</v>
      </c>
      <c r="X1037" s="8">
        <f t="shared" si="14"/>
        <v>0</v>
      </c>
      <c r="Y1037" s="8">
        <f t="shared" si="15"/>
        <v>888.82</v>
      </c>
    </row>
    <row r="1038">
      <c r="A1038" s="2">
        <v>1031.0</v>
      </c>
      <c r="B1038" s="15">
        <f>IFERROR(__xludf.DUMMYFUNCTION("""COMPUTED_VALUE"""),43896.64583333333)</f>
        <v>43896.64583</v>
      </c>
      <c r="C1038" s="8">
        <f>IFERROR(__xludf.DUMMYFUNCTION("""COMPUTED_VALUE"""),2109.45)</f>
        <v>2109.45</v>
      </c>
      <c r="E1038" s="15">
        <f>IFERROR(__xludf.DUMMYFUNCTION("""COMPUTED_VALUE"""),43896.64583333333)</f>
        <v>43896.64583</v>
      </c>
      <c r="F1038" s="8">
        <f>IFERROR(__xludf.DUMMYFUNCTION("""COMPUTED_VALUE"""),1134.9)</f>
        <v>1134.9</v>
      </c>
      <c r="H1038" s="4">
        <f t="shared" si="1"/>
        <v>974.55</v>
      </c>
      <c r="I1038" s="16">
        <f t="shared" si="2"/>
        <v>1017.02</v>
      </c>
      <c r="J1038" s="16">
        <f t="shared" si="3"/>
        <v>33.44021905</v>
      </c>
      <c r="K1038" s="16">
        <f t="shared" si="4"/>
        <v>1050.460219</v>
      </c>
      <c r="L1038" s="16">
        <f t="shared" si="5"/>
        <v>983.579781</v>
      </c>
      <c r="N1038" s="17" t="str">
        <f t="shared" si="6"/>
        <v>T</v>
      </c>
      <c r="O1038" s="17" t="str">
        <f t="shared" si="7"/>
        <v>F</v>
      </c>
      <c r="P1038" s="8">
        <f t="shared" si="8"/>
        <v>1</v>
      </c>
      <c r="R1038" s="17" t="str">
        <f t="shared" si="9"/>
        <v>F</v>
      </c>
      <c r="S1038" s="3" t="str">
        <f t="shared" si="10"/>
        <v>T</v>
      </c>
      <c r="T1038" s="8">
        <f t="shared" si="11"/>
        <v>0</v>
      </c>
      <c r="V1038" s="4">
        <f t="shared" si="12"/>
        <v>1</v>
      </c>
      <c r="W1038" s="8">
        <f t="shared" si="13"/>
        <v>-69.15</v>
      </c>
      <c r="X1038" s="8">
        <f t="shared" si="14"/>
        <v>0</v>
      </c>
      <c r="Y1038" s="8">
        <f t="shared" si="15"/>
        <v>888.82</v>
      </c>
    </row>
    <row r="1039">
      <c r="A1039" s="2">
        <v>1032.0</v>
      </c>
      <c r="B1039" s="15">
        <f>IFERROR(__xludf.DUMMYFUNCTION("""COMPUTED_VALUE"""),43899.64583333333)</f>
        <v>43899.64583</v>
      </c>
      <c r="C1039" s="8">
        <f>IFERROR(__xludf.DUMMYFUNCTION("""COMPUTED_VALUE"""),2027.9)</f>
        <v>2027.9</v>
      </c>
      <c r="E1039" s="15">
        <f>IFERROR(__xludf.DUMMYFUNCTION("""COMPUTED_VALUE"""),43899.64583333333)</f>
        <v>43899.64583</v>
      </c>
      <c r="F1039" s="8">
        <f>IFERROR(__xludf.DUMMYFUNCTION("""COMPUTED_VALUE"""),1107.3)</f>
        <v>1107.3</v>
      </c>
      <c r="H1039" s="4">
        <f t="shared" si="1"/>
        <v>920.6</v>
      </c>
      <c r="I1039" s="16">
        <f t="shared" si="2"/>
        <v>1001.13</v>
      </c>
      <c r="J1039" s="16">
        <f t="shared" si="3"/>
        <v>55.27062511</v>
      </c>
      <c r="K1039" s="16">
        <f t="shared" si="4"/>
        <v>1056.400625</v>
      </c>
      <c r="L1039" s="16">
        <f t="shared" si="5"/>
        <v>945.8593749</v>
      </c>
      <c r="N1039" s="17" t="str">
        <f t="shared" si="6"/>
        <v>T</v>
      </c>
      <c r="O1039" s="17" t="str">
        <f t="shared" si="7"/>
        <v>F</v>
      </c>
      <c r="P1039" s="8">
        <f t="shared" si="8"/>
        <v>1</v>
      </c>
      <c r="R1039" s="17" t="str">
        <f t="shared" si="9"/>
        <v>F</v>
      </c>
      <c r="S1039" s="3" t="str">
        <f t="shared" si="10"/>
        <v>T</v>
      </c>
      <c r="T1039" s="8">
        <f t="shared" si="11"/>
        <v>0</v>
      </c>
      <c r="V1039" s="4">
        <f t="shared" si="12"/>
        <v>1</v>
      </c>
      <c r="W1039" s="8">
        <f t="shared" si="13"/>
        <v>-53.95</v>
      </c>
      <c r="X1039" s="8">
        <f t="shared" si="14"/>
        <v>-53.95</v>
      </c>
      <c r="Y1039" s="8">
        <f t="shared" si="15"/>
        <v>834.87</v>
      </c>
    </row>
    <row r="1040">
      <c r="A1040" s="2">
        <v>1033.0</v>
      </c>
      <c r="B1040" s="15">
        <f>IFERROR(__xludf.DUMMYFUNCTION("""COMPUTED_VALUE"""),43901.64583333333)</f>
        <v>43901.64583</v>
      </c>
      <c r="C1040" s="8">
        <f>IFERROR(__xludf.DUMMYFUNCTION("""COMPUTED_VALUE"""),2036.25)</f>
        <v>2036.25</v>
      </c>
      <c r="E1040" s="15">
        <f>IFERROR(__xludf.DUMMYFUNCTION("""COMPUTED_VALUE"""),43901.64583333333)</f>
        <v>43901.64583</v>
      </c>
      <c r="F1040" s="8">
        <f>IFERROR(__xludf.DUMMYFUNCTION("""COMPUTED_VALUE"""),1113.8)</f>
        <v>1113.8</v>
      </c>
      <c r="H1040" s="4">
        <f t="shared" si="1"/>
        <v>922.45</v>
      </c>
      <c r="I1040" s="16">
        <f t="shared" si="2"/>
        <v>983.7</v>
      </c>
      <c r="J1040" s="16">
        <f t="shared" si="3"/>
        <v>64.84432319</v>
      </c>
      <c r="K1040" s="16">
        <f t="shared" si="4"/>
        <v>1048.544323</v>
      </c>
      <c r="L1040" s="16">
        <f t="shared" si="5"/>
        <v>918.8556768</v>
      </c>
      <c r="N1040" s="17" t="str">
        <f t="shared" si="6"/>
        <v>F</v>
      </c>
      <c r="O1040" s="17" t="str">
        <f t="shared" si="7"/>
        <v>F</v>
      </c>
      <c r="P1040" s="8">
        <f t="shared" si="8"/>
        <v>1</v>
      </c>
      <c r="R1040" s="17" t="str">
        <f t="shared" si="9"/>
        <v>F</v>
      </c>
      <c r="S1040" s="3" t="str">
        <f t="shared" si="10"/>
        <v>T</v>
      </c>
      <c r="T1040" s="8">
        <f t="shared" si="11"/>
        <v>0</v>
      </c>
      <c r="V1040" s="4">
        <f t="shared" si="12"/>
        <v>1</v>
      </c>
      <c r="W1040" s="8">
        <f t="shared" si="13"/>
        <v>1.85</v>
      </c>
      <c r="X1040" s="8">
        <f t="shared" si="14"/>
        <v>1.85</v>
      </c>
      <c r="Y1040" s="8">
        <f t="shared" si="15"/>
        <v>836.72</v>
      </c>
    </row>
    <row r="1041">
      <c r="A1041" s="2">
        <v>1034.0</v>
      </c>
      <c r="B1041" s="15">
        <f>IFERROR(__xludf.DUMMYFUNCTION("""COMPUTED_VALUE"""),43902.64583333333)</f>
        <v>43902.64583</v>
      </c>
      <c r="C1041" s="8">
        <f>IFERROR(__xludf.DUMMYFUNCTION("""COMPUTED_VALUE"""),1875.7)</f>
        <v>1875.7</v>
      </c>
      <c r="E1041" s="15">
        <f>IFERROR(__xludf.DUMMYFUNCTION("""COMPUTED_VALUE"""),43902.64583333333)</f>
        <v>43902.64583</v>
      </c>
      <c r="F1041" s="8">
        <f>IFERROR(__xludf.DUMMYFUNCTION("""COMPUTED_VALUE"""),1021.3)</f>
        <v>1021.3</v>
      </c>
      <c r="H1041" s="4">
        <f t="shared" si="1"/>
        <v>854.4</v>
      </c>
      <c r="I1041" s="16">
        <f t="shared" si="2"/>
        <v>943.14</v>
      </c>
      <c r="J1041" s="16">
        <f t="shared" si="3"/>
        <v>70.55107547</v>
      </c>
      <c r="K1041" s="16">
        <f t="shared" si="4"/>
        <v>1013.691075</v>
      </c>
      <c r="L1041" s="16">
        <f t="shared" si="5"/>
        <v>872.5889245</v>
      </c>
      <c r="N1041" s="17" t="str">
        <f t="shared" si="6"/>
        <v>T</v>
      </c>
      <c r="O1041" s="17" t="str">
        <f t="shared" si="7"/>
        <v>F</v>
      </c>
      <c r="P1041" s="8">
        <f t="shared" si="8"/>
        <v>1</v>
      </c>
      <c r="R1041" s="17" t="str">
        <f t="shared" si="9"/>
        <v>F</v>
      </c>
      <c r="S1041" s="3" t="str">
        <f t="shared" si="10"/>
        <v>T</v>
      </c>
      <c r="T1041" s="8">
        <f t="shared" si="11"/>
        <v>0</v>
      </c>
      <c r="V1041" s="4">
        <f t="shared" si="12"/>
        <v>1</v>
      </c>
      <c r="W1041" s="8">
        <f t="shared" si="13"/>
        <v>-68.05</v>
      </c>
      <c r="X1041" s="8">
        <f t="shared" si="14"/>
        <v>-68.05</v>
      </c>
      <c r="Y1041" s="8">
        <f t="shared" si="15"/>
        <v>768.67</v>
      </c>
    </row>
    <row r="1042">
      <c r="A1042" s="2">
        <v>1035.0</v>
      </c>
      <c r="B1042" s="15">
        <f>IFERROR(__xludf.DUMMYFUNCTION("""COMPUTED_VALUE"""),43903.64583333333)</f>
        <v>43903.64583</v>
      </c>
      <c r="C1042" s="8">
        <f>IFERROR(__xludf.DUMMYFUNCTION("""COMPUTED_VALUE"""),2066.8)</f>
        <v>2066.8</v>
      </c>
      <c r="E1042" s="15">
        <f>IFERROR(__xludf.DUMMYFUNCTION("""COMPUTED_VALUE"""),43903.64583333333)</f>
        <v>43903.64583</v>
      </c>
      <c r="F1042" s="8">
        <f>IFERROR(__xludf.DUMMYFUNCTION("""COMPUTED_VALUE"""),1069.8)</f>
        <v>1069.8</v>
      </c>
      <c r="H1042" s="4">
        <f t="shared" si="1"/>
        <v>997</v>
      </c>
      <c r="I1042" s="16">
        <f t="shared" si="2"/>
        <v>933.8</v>
      </c>
      <c r="J1042" s="16">
        <f t="shared" si="3"/>
        <v>55.36746563</v>
      </c>
      <c r="K1042" s="16">
        <f t="shared" si="4"/>
        <v>989.1674656</v>
      </c>
      <c r="L1042" s="16">
        <f t="shared" si="5"/>
        <v>878.4325344</v>
      </c>
      <c r="N1042" s="17" t="str">
        <f t="shared" si="6"/>
        <v>F</v>
      </c>
      <c r="O1042" s="17" t="str">
        <f t="shared" si="7"/>
        <v>T</v>
      </c>
      <c r="P1042" s="8">
        <f t="shared" si="8"/>
        <v>0</v>
      </c>
      <c r="R1042" s="17" t="str">
        <f t="shared" si="9"/>
        <v>T</v>
      </c>
      <c r="S1042" s="3" t="str">
        <f t="shared" si="10"/>
        <v>F</v>
      </c>
      <c r="T1042" s="8">
        <f t="shared" si="11"/>
        <v>-1</v>
      </c>
      <c r="V1042" s="4">
        <f t="shared" si="12"/>
        <v>-1</v>
      </c>
      <c r="W1042" s="8">
        <f t="shared" si="13"/>
        <v>142.6</v>
      </c>
      <c r="X1042" s="8">
        <f t="shared" si="14"/>
        <v>142.6</v>
      </c>
      <c r="Y1042" s="8">
        <f t="shared" si="15"/>
        <v>911.27</v>
      </c>
    </row>
    <row r="1043">
      <c r="A1043" s="2">
        <v>1036.0</v>
      </c>
      <c r="B1043" s="15">
        <f>IFERROR(__xludf.DUMMYFUNCTION("""COMPUTED_VALUE"""),43906.64583333333)</f>
        <v>43906.64583</v>
      </c>
      <c r="C1043" s="8">
        <f>IFERROR(__xludf.DUMMYFUNCTION("""COMPUTED_VALUE"""),1841.75)</f>
        <v>1841.75</v>
      </c>
      <c r="E1043" s="15">
        <f>IFERROR(__xludf.DUMMYFUNCTION("""COMPUTED_VALUE"""),43906.64583333333)</f>
        <v>43906.64583</v>
      </c>
      <c r="F1043" s="8">
        <f>IFERROR(__xludf.DUMMYFUNCTION("""COMPUTED_VALUE"""),999.5)</f>
        <v>999.5</v>
      </c>
      <c r="H1043" s="4">
        <f t="shared" si="1"/>
        <v>842.25</v>
      </c>
      <c r="I1043" s="16">
        <f t="shared" si="2"/>
        <v>907.34</v>
      </c>
      <c r="J1043" s="16">
        <f t="shared" si="3"/>
        <v>62.21416037</v>
      </c>
      <c r="K1043" s="16">
        <f t="shared" si="4"/>
        <v>969.5541604</v>
      </c>
      <c r="L1043" s="16">
        <f t="shared" si="5"/>
        <v>845.1258396</v>
      </c>
      <c r="N1043" s="17" t="str">
        <f t="shared" si="6"/>
        <v>T</v>
      </c>
      <c r="O1043" s="17" t="str">
        <f t="shared" si="7"/>
        <v>F</v>
      </c>
      <c r="P1043" s="8">
        <f t="shared" si="8"/>
        <v>1</v>
      </c>
      <c r="R1043" s="17" t="str">
        <f t="shared" si="9"/>
        <v>F</v>
      </c>
      <c r="S1043" s="3" t="str">
        <f t="shared" si="10"/>
        <v>T</v>
      </c>
      <c r="T1043" s="8">
        <f t="shared" si="11"/>
        <v>0</v>
      </c>
      <c r="V1043" s="4">
        <f t="shared" si="12"/>
        <v>1</v>
      </c>
      <c r="W1043" s="8">
        <f t="shared" si="13"/>
        <v>-154.75</v>
      </c>
      <c r="X1043" s="8">
        <f t="shared" si="14"/>
        <v>154.75</v>
      </c>
      <c r="Y1043" s="8">
        <f t="shared" si="15"/>
        <v>1066.02</v>
      </c>
    </row>
    <row r="1044">
      <c r="A1044" s="2">
        <v>1037.0</v>
      </c>
      <c r="B1044" s="15">
        <f>IFERROR(__xludf.DUMMYFUNCTION("""COMPUTED_VALUE"""),43907.64583333333)</f>
        <v>43907.64583</v>
      </c>
      <c r="C1044" s="8">
        <f>IFERROR(__xludf.DUMMYFUNCTION("""COMPUTED_VALUE"""),1755.8)</f>
        <v>1755.8</v>
      </c>
      <c r="E1044" s="15">
        <f>IFERROR(__xludf.DUMMYFUNCTION("""COMPUTED_VALUE"""),43907.64583333333)</f>
        <v>43907.64583</v>
      </c>
      <c r="F1044" s="8">
        <f>IFERROR(__xludf.DUMMYFUNCTION("""COMPUTED_VALUE"""),975.1)</f>
        <v>975.1</v>
      </c>
      <c r="H1044" s="4">
        <f t="shared" si="1"/>
        <v>780.7</v>
      </c>
      <c r="I1044" s="16">
        <f t="shared" si="2"/>
        <v>879.36</v>
      </c>
      <c r="J1044" s="16">
        <f t="shared" si="3"/>
        <v>82.80982279</v>
      </c>
      <c r="K1044" s="16">
        <f t="shared" si="4"/>
        <v>962.1698228</v>
      </c>
      <c r="L1044" s="16">
        <f t="shared" si="5"/>
        <v>796.5501772</v>
      </c>
      <c r="N1044" s="17" t="str">
        <f t="shared" si="6"/>
        <v>T</v>
      </c>
      <c r="O1044" s="17" t="str">
        <f t="shared" si="7"/>
        <v>F</v>
      </c>
      <c r="P1044" s="8">
        <f t="shared" si="8"/>
        <v>1</v>
      </c>
      <c r="R1044" s="17" t="str">
        <f t="shared" si="9"/>
        <v>F</v>
      </c>
      <c r="S1044" s="3" t="str">
        <f t="shared" si="10"/>
        <v>T</v>
      </c>
      <c r="T1044" s="8">
        <f t="shared" si="11"/>
        <v>0</v>
      </c>
      <c r="V1044" s="4">
        <f t="shared" si="12"/>
        <v>1</v>
      </c>
      <c r="W1044" s="8">
        <f t="shared" si="13"/>
        <v>-61.55</v>
      </c>
      <c r="X1044" s="8">
        <f t="shared" si="14"/>
        <v>-61.55</v>
      </c>
      <c r="Y1044" s="8">
        <f t="shared" si="15"/>
        <v>1004.47</v>
      </c>
    </row>
    <row r="1045">
      <c r="A1045" s="2">
        <v>1038.0</v>
      </c>
      <c r="B1045" s="15">
        <f>IFERROR(__xludf.DUMMYFUNCTION("""COMPUTED_VALUE"""),43908.64583333333)</f>
        <v>43908.64583</v>
      </c>
      <c r="C1045" s="8">
        <f>IFERROR(__xludf.DUMMYFUNCTION("""COMPUTED_VALUE"""),1622.55)</f>
        <v>1622.55</v>
      </c>
      <c r="E1045" s="15">
        <f>IFERROR(__xludf.DUMMYFUNCTION("""COMPUTED_VALUE"""),43908.64583333333)</f>
        <v>43908.64583</v>
      </c>
      <c r="F1045" s="8">
        <f>IFERROR(__xludf.DUMMYFUNCTION("""COMPUTED_VALUE"""),876.9)</f>
        <v>876.9</v>
      </c>
      <c r="H1045" s="4">
        <f t="shared" si="1"/>
        <v>745.65</v>
      </c>
      <c r="I1045" s="16">
        <f t="shared" si="2"/>
        <v>844</v>
      </c>
      <c r="J1045" s="16">
        <f t="shared" si="3"/>
        <v>96.43629374</v>
      </c>
      <c r="K1045" s="16">
        <f t="shared" si="4"/>
        <v>940.4362937</v>
      </c>
      <c r="L1045" s="16">
        <f t="shared" si="5"/>
        <v>747.5637063</v>
      </c>
      <c r="N1045" s="17" t="str">
        <f t="shared" si="6"/>
        <v>T</v>
      </c>
      <c r="O1045" s="17" t="str">
        <f t="shared" si="7"/>
        <v>F</v>
      </c>
      <c r="P1045" s="8">
        <f t="shared" si="8"/>
        <v>1</v>
      </c>
      <c r="R1045" s="17" t="str">
        <f t="shared" si="9"/>
        <v>F</v>
      </c>
      <c r="S1045" s="3" t="str">
        <f t="shared" si="10"/>
        <v>T</v>
      </c>
      <c r="T1045" s="8">
        <f t="shared" si="11"/>
        <v>0</v>
      </c>
      <c r="V1045" s="4">
        <f t="shared" si="12"/>
        <v>1</v>
      </c>
      <c r="W1045" s="8">
        <f t="shared" si="13"/>
        <v>-35.05</v>
      </c>
      <c r="X1045" s="8">
        <f t="shared" si="14"/>
        <v>-35.05</v>
      </c>
      <c r="Y1045" s="8">
        <f t="shared" si="15"/>
        <v>969.42</v>
      </c>
    </row>
    <row r="1046">
      <c r="A1046" s="2">
        <v>1039.0</v>
      </c>
      <c r="B1046" s="15">
        <f>IFERROR(__xludf.DUMMYFUNCTION("""COMPUTED_VALUE"""),43909.64583333333)</f>
        <v>43909.64583</v>
      </c>
      <c r="C1046" s="8">
        <f>IFERROR(__xludf.DUMMYFUNCTION("""COMPUTED_VALUE"""),1617.6)</f>
        <v>1617.6</v>
      </c>
      <c r="E1046" s="15">
        <f>IFERROR(__xludf.DUMMYFUNCTION("""COMPUTED_VALUE"""),43909.64583333333)</f>
        <v>43909.64583</v>
      </c>
      <c r="F1046" s="8">
        <f>IFERROR(__xludf.DUMMYFUNCTION("""COMPUTED_VALUE"""),895.55)</f>
        <v>895.55</v>
      </c>
      <c r="H1046" s="4">
        <f t="shared" si="1"/>
        <v>722.05</v>
      </c>
      <c r="I1046" s="16">
        <f t="shared" si="2"/>
        <v>817.53</v>
      </c>
      <c r="J1046" s="16">
        <f t="shared" si="3"/>
        <v>110.0683572</v>
      </c>
      <c r="K1046" s="16">
        <f t="shared" si="4"/>
        <v>927.5983572</v>
      </c>
      <c r="L1046" s="16">
        <f t="shared" si="5"/>
        <v>707.4616428</v>
      </c>
      <c r="N1046" s="17" t="str">
        <f t="shared" si="6"/>
        <v>F</v>
      </c>
      <c r="O1046" s="17" t="str">
        <f t="shared" si="7"/>
        <v>F</v>
      </c>
      <c r="P1046" s="8">
        <f t="shared" si="8"/>
        <v>1</v>
      </c>
      <c r="R1046" s="17" t="str">
        <f t="shared" si="9"/>
        <v>F</v>
      </c>
      <c r="S1046" s="3" t="str">
        <f t="shared" si="10"/>
        <v>T</v>
      </c>
      <c r="T1046" s="8">
        <f t="shared" si="11"/>
        <v>0</v>
      </c>
      <c r="V1046" s="4">
        <f t="shared" si="12"/>
        <v>1</v>
      </c>
      <c r="W1046" s="8">
        <f t="shared" si="13"/>
        <v>-23.6</v>
      </c>
      <c r="X1046" s="8">
        <f t="shared" si="14"/>
        <v>-23.6</v>
      </c>
      <c r="Y1046" s="8">
        <f t="shared" si="15"/>
        <v>945.82</v>
      </c>
    </row>
    <row r="1047">
      <c r="A1047" s="2">
        <v>1040.0</v>
      </c>
      <c r="B1047" s="15">
        <f>IFERROR(__xludf.DUMMYFUNCTION("""COMPUTED_VALUE"""),43910.64583333333)</f>
        <v>43910.64583</v>
      </c>
      <c r="C1047" s="8">
        <f>IFERROR(__xludf.DUMMYFUNCTION("""COMPUTED_VALUE"""),1753.95)</f>
        <v>1753.95</v>
      </c>
      <c r="E1047" s="15">
        <f>IFERROR(__xludf.DUMMYFUNCTION("""COMPUTED_VALUE"""),43910.64583333333)</f>
        <v>43910.64583</v>
      </c>
      <c r="F1047" s="8">
        <f>IFERROR(__xludf.DUMMYFUNCTION("""COMPUTED_VALUE"""),882.85)</f>
        <v>882.85</v>
      </c>
      <c r="H1047" s="4">
        <f t="shared" si="1"/>
        <v>871.1</v>
      </c>
      <c r="I1047" s="16">
        <f t="shared" si="2"/>
        <v>792.35</v>
      </c>
      <c r="J1047" s="16">
        <f t="shared" si="3"/>
        <v>63.14719907</v>
      </c>
      <c r="K1047" s="16">
        <f t="shared" si="4"/>
        <v>855.4971991</v>
      </c>
      <c r="L1047" s="16">
        <f t="shared" si="5"/>
        <v>729.2028009</v>
      </c>
      <c r="N1047" s="17" t="str">
        <f t="shared" si="6"/>
        <v>F</v>
      </c>
      <c r="O1047" s="17" t="str">
        <f t="shared" si="7"/>
        <v>T</v>
      </c>
      <c r="P1047" s="8">
        <f t="shared" si="8"/>
        <v>0</v>
      </c>
      <c r="R1047" s="17" t="str">
        <f t="shared" si="9"/>
        <v>T</v>
      </c>
      <c r="S1047" s="3" t="str">
        <f t="shared" si="10"/>
        <v>F</v>
      </c>
      <c r="T1047" s="8">
        <f t="shared" si="11"/>
        <v>-1</v>
      </c>
      <c r="V1047" s="4">
        <f t="shared" si="12"/>
        <v>-1</v>
      </c>
      <c r="W1047" s="8">
        <f t="shared" si="13"/>
        <v>149.05</v>
      </c>
      <c r="X1047" s="8">
        <f t="shared" si="14"/>
        <v>149.05</v>
      </c>
      <c r="Y1047" s="8">
        <f t="shared" si="15"/>
        <v>1094.87</v>
      </c>
    </row>
    <row r="1048">
      <c r="A1048" s="2">
        <v>1041.0</v>
      </c>
      <c r="B1048" s="15">
        <f>IFERROR(__xludf.DUMMYFUNCTION("""COMPUTED_VALUE"""),43913.64583333333)</f>
        <v>43913.64583</v>
      </c>
      <c r="C1048" s="8">
        <f>IFERROR(__xludf.DUMMYFUNCTION("""COMPUTED_VALUE"""),1520.7)</f>
        <v>1520.7</v>
      </c>
      <c r="E1048" s="15">
        <f>IFERROR(__xludf.DUMMYFUNCTION("""COMPUTED_VALUE"""),43913.64583333333)</f>
        <v>43913.64583</v>
      </c>
      <c r="F1048" s="8">
        <f>IFERROR(__xludf.DUMMYFUNCTION("""COMPUTED_VALUE"""),771.55)</f>
        <v>771.55</v>
      </c>
      <c r="H1048" s="4">
        <f t="shared" si="1"/>
        <v>749.15</v>
      </c>
      <c r="I1048" s="16">
        <f t="shared" si="2"/>
        <v>773.73</v>
      </c>
      <c r="J1048" s="16">
        <f t="shared" si="3"/>
        <v>58.29447444</v>
      </c>
      <c r="K1048" s="16">
        <f t="shared" si="4"/>
        <v>832.0244744</v>
      </c>
      <c r="L1048" s="16">
        <f t="shared" si="5"/>
        <v>715.4355256</v>
      </c>
      <c r="N1048" s="17" t="str">
        <f t="shared" si="6"/>
        <v>F</v>
      </c>
      <c r="O1048" s="17" t="str">
        <f t="shared" si="7"/>
        <v>F</v>
      </c>
      <c r="P1048" s="8">
        <f t="shared" si="8"/>
        <v>0</v>
      </c>
      <c r="R1048" s="17" t="str">
        <f t="shared" si="9"/>
        <v>F</v>
      </c>
      <c r="S1048" s="3" t="str">
        <f t="shared" si="10"/>
        <v>T</v>
      </c>
      <c r="T1048" s="8">
        <f t="shared" si="11"/>
        <v>0</v>
      </c>
      <c r="V1048" s="4">
        <f t="shared" si="12"/>
        <v>0</v>
      </c>
      <c r="W1048" s="8">
        <f t="shared" si="13"/>
        <v>-121.95</v>
      </c>
      <c r="X1048" s="8">
        <f t="shared" si="14"/>
        <v>121.95</v>
      </c>
      <c r="Y1048" s="8">
        <f t="shared" si="15"/>
        <v>1216.82</v>
      </c>
    </row>
    <row r="1049">
      <c r="A1049" s="2">
        <v>1042.0</v>
      </c>
      <c r="B1049" s="15">
        <f>IFERROR(__xludf.DUMMYFUNCTION("""COMPUTED_VALUE"""),43914.64583333333)</f>
        <v>43914.64583</v>
      </c>
      <c r="C1049" s="8">
        <f>IFERROR(__xludf.DUMMYFUNCTION("""COMPUTED_VALUE"""),1505.1)</f>
        <v>1505.1</v>
      </c>
      <c r="E1049" s="15">
        <f>IFERROR(__xludf.DUMMYFUNCTION("""COMPUTED_VALUE"""),43914.64583333333)</f>
        <v>43914.64583</v>
      </c>
      <c r="F1049" s="8">
        <f>IFERROR(__xludf.DUMMYFUNCTION("""COMPUTED_VALUE"""),767.7)</f>
        <v>767.7</v>
      </c>
      <c r="H1049" s="4">
        <f t="shared" si="1"/>
        <v>737.4</v>
      </c>
      <c r="I1049" s="16">
        <f t="shared" si="2"/>
        <v>765.07</v>
      </c>
      <c r="J1049" s="16">
        <f t="shared" si="3"/>
        <v>60.18573959</v>
      </c>
      <c r="K1049" s="16">
        <f t="shared" si="4"/>
        <v>825.2557396</v>
      </c>
      <c r="L1049" s="16">
        <f t="shared" si="5"/>
        <v>704.8842604</v>
      </c>
      <c r="N1049" s="17" t="str">
        <f t="shared" si="6"/>
        <v>F</v>
      </c>
      <c r="O1049" s="17" t="str">
        <f t="shared" si="7"/>
        <v>F</v>
      </c>
      <c r="P1049" s="8">
        <f t="shared" si="8"/>
        <v>0</v>
      </c>
      <c r="R1049" s="17" t="str">
        <f t="shared" si="9"/>
        <v>F</v>
      </c>
      <c r="S1049" s="3" t="str">
        <f t="shared" si="10"/>
        <v>T</v>
      </c>
      <c r="T1049" s="8">
        <f t="shared" si="11"/>
        <v>0</v>
      </c>
      <c r="V1049" s="4">
        <f t="shared" si="12"/>
        <v>0</v>
      </c>
      <c r="W1049" s="8">
        <f t="shared" si="13"/>
        <v>-11.75</v>
      </c>
      <c r="X1049" s="8">
        <f t="shared" si="14"/>
        <v>0</v>
      </c>
      <c r="Y1049" s="8">
        <f t="shared" si="15"/>
        <v>1216.82</v>
      </c>
    </row>
    <row r="1050">
      <c r="A1050" s="2">
        <v>1043.0</v>
      </c>
      <c r="B1050" s="15">
        <f>IFERROR(__xludf.DUMMYFUNCTION("""COMPUTED_VALUE"""),43915.64583333333)</f>
        <v>43915.64583</v>
      </c>
      <c r="C1050" s="8">
        <f>IFERROR(__xludf.DUMMYFUNCTION("""COMPUTED_VALUE"""),1646.05)</f>
        <v>1646.05</v>
      </c>
      <c r="E1050" s="15">
        <f>IFERROR(__xludf.DUMMYFUNCTION("""COMPUTED_VALUE"""),43915.64583333333)</f>
        <v>43915.64583</v>
      </c>
      <c r="F1050" s="8">
        <f>IFERROR(__xludf.DUMMYFUNCTION("""COMPUTED_VALUE"""),856.75)</f>
        <v>856.75</v>
      </c>
      <c r="H1050" s="4">
        <f t="shared" si="1"/>
        <v>789.3</v>
      </c>
      <c r="I1050" s="16">
        <f t="shared" si="2"/>
        <v>773.8</v>
      </c>
      <c r="J1050" s="16">
        <f t="shared" si="3"/>
        <v>59.82930929</v>
      </c>
      <c r="K1050" s="16">
        <f t="shared" si="4"/>
        <v>833.6293093</v>
      </c>
      <c r="L1050" s="16">
        <f t="shared" si="5"/>
        <v>713.9706907</v>
      </c>
      <c r="N1050" s="17" t="str">
        <f t="shared" si="6"/>
        <v>F</v>
      </c>
      <c r="O1050" s="17" t="str">
        <f t="shared" si="7"/>
        <v>T</v>
      </c>
      <c r="P1050" s="8">
        <f t="shared" si="8"/>
        <v>0</v>
      </c>
      <c r="R1050" s="17" t="str">
        <f t="shared" si="9"/>
        <v>F</v>
      </c>
      <c r="S1050" s="3" t="str">
        <f t="shared" si="10"/>
        <v>F</v>
      </c>
      <c r="T1050" s="8">
        <f t="shared" si="11"/>
        <v>0</v>
      </c>
      <c r="V1050" s="4">
        <f t="shared" si="12"/>
        <v>0</v>
      </c>
      <c r="W1050" s="8">
        <f t="shared" si="13"/>
        <v>51.9</v>
      </c>
      <c r="X1050" s="8">
        <f t="shared" si="14"/>
        <v>0</v>
      </c>
      <c r="Y1050" s="8">
        <f t="shared" si="15"/>
        <v>1216.82</v>
      </c>
    </row>
    <row r="1051">
      <c r="A1051" s="2">
        <v>1044.0</v>
      </c>
      <c r="B1051" s="15">
        <f>IFERROR(__xludf.DUMMYFUNCTION("""COMPUTED_VALUE"""),43916.64583333333)</f>
        <v>43916.64583</v>
      </c>
      <c r="C1051" s="8">
        <f>IFERROR(__xludf.DUMMYFUNCTION("""COMPUTED_VALUE"""),1733.25)</f>
        <v>1733.25</v>
      </c>
      <c r="E1051" s="15">
        <f>IFERROR(__xludf.DUMMYFUNCTION("""COMPUTED_VALUE"""),43916.64583333333)</f>
        <v>43916.64583</v>
      </c>
      <c r="F1051" s="8">
        <f>IFERROR(__xludf.DUMMYFUNCTION("""COMPUTED_VALUE"""),901.1)</f>
        <v>901.1</v>
      </c>
      <c r="H1051" s="4">
        <f t="shared" si="1"/>
        <v>832.15</v>
      </c>
      <c r="I1051" s="16">
        <f t="shared" si="2"/>
        <v>795.82</v>
      </c>
      <c r="J1051" s="16">
        <f t="shared" si="3"/>
        <v>56.17037253</v>
      </c>
      <c r="K1051" s="16">
        <f t="shared" si="4"/>
        <v>851.9903725</v>
      </c>
      <c r="L1051" s="16">
        <f t="shared" si="5"/>
        <v>739.6496275</v>
      </c>
      <c r="N1051" s="17" t="str">
        <f t="shared" si="6"/>
        <v>F</v>
      </c>
      <c r="O1051" s="17" t="str">
        <f t="shared" si="7"/>
        <v>T</v>
      </c>
      <c r="P1051" s="8">
        <f t="shared" si="8"/>
        <v>0</v>
      </c>
      <c r="R1051" s="17" t="str">
        <f t="shared" si="9"/>
        <v>F</v>
      </c>
      <c r="S1051" s="3" t="str">
        <f t="shared" si="10"/>
        <v>F</v>
      </c>
      <c r="T1051" s="8">
        <f t="shared" si="11"/>
        <v>0</v>
      </c>
      <c r="V1051" s="4">
        <f t="shared" si="12"/>
        <v>0</v>
      </c>
      <c r="W1051" s="8">
        <f t="shared" si="13"/>
        <v>42.85</v>
      </c>
      <c r="X1051" s="8">
        <f t="shared" si="14"/>
        <v>0</v>
      </c>
      <c r="Y1051" s="8">
        <f t="shared" si="15"/>
        <v>1216.82</v>
      </c>
    </row>
    <row r="1052">
      <c r="A1052" s="2">
        <v>1045.0</v>
      </c>
      <c r="B1052" s="15">
        <f>IFERROR(__xludf.DUMMYFUNCTION("""COMPUTED_VALUE"""),43917.64583333333)</f>
        <v>43917.64583</v>
      </c>
      <c r="C1052" s="8">
        <f>IFERROR(__xludf.DUMMYFUNCTION("""COMPUTED_VALUE"""),1754.0)</f>
        <v>1754</v>
      </c>
      <c r="E1052" s="15">
        <f>IFERROR(__xludf.DUMMYFUNCTION("""COMPUTED_VALUE"""),43917.64583333333)</f>
        <v>43917.64583</v>
      </c>
      <c r="F1052" s="8">
        <f>IFERROR(__xludf.DUMMYFUNCTION("""COMPUTED_VALUE"""),904.45)</f>
        <v>904.45</v>
      </c>
      <c r="H1052" s="4">
        <f t="shared" si="1"/>
        <v>849.55</v>
      </c>
      <c r="I1052" s="16">
        <f t="shared" si="2"/>
        <v>791.51</v>
      </c>
      <c r="J1052" s="16">
        <f t="shared" si="3"/>
        <v>49.3644533</v>
      </c>
      <c r="K1052" s="16">
        <f t="shared" si="4"/>
        <v>840.8744533</v>
      </c>
      <c r="L1052" s="16">
        <f t="shared" si="5"/>
        <v>742.1455467</v>
      </c>
      <c r="N1052" s="17" t="str">
        <f t="shared" si="6"/>
        <v>F</v>
      </c>
      <c r="O1052" s="17" t="str">
        <f t="shared" si="7"/>
        <v>T</v>
      </c>
      <c r="P1052" s="8">
        <f t="shared" si="8"/>
        <v>0</v>
      </c>
      <c r="R1052" s="17" t="str">
        <f t="shared" si="9"/>
        <v>T</v>
      </c>
      <c r="S1052" s="3" t="str">
        <f t="shared" si="10"/>
        <v>F</v>
      </c>
      <c r="T1052" s="8">
        <f t="shared" si="11"/>
        <v>-1</v>
      </c>
      <c r="V1052" s="4">
        <f t="shared" si="12"/>
        <v>-1</v>
      </c>
      <c r="W1052" s="8">
        <f t="shared" si="13"/>
        <v>17.4</v>
      </c>
      <c r="X1052" s="8">
        <f t="shared" si="14"/>
        <v>0</v>
      </c>
      <c r="Y1052" s="8">
        <f t="shared" si="15"/>
        <v>1216.82</v>
      </c>
    </row>
    <row r="1053">
      <c r="A1053" s="2">
        <v>1046.0</v>
      </c>
      <c r="B1053" s="15">
        <f>IFERROR(__xludf.DUMMYFUNCTION("""COMPUTED_VALUE"""),43920.64583333333)</f>
        <v>43920.64583</v>
      </c>
      <c r="C1053" s="8">
        <f>IFERROR(__xludf.DUMMYFUNCTION("""COMPUTED_VALUE"""),1558.75)</f>
        <v>1558.75</v>
      </c>
      <c r="E1053" s="15">
        <f>IFERROR(__xludf.DUMMYFUNCTION("""COMPUTED_VALUE"""),43920.64583333333)</f>
        <v>43920.64583</v>
      </c>
      <c r="F1053" s="8">
        <f>IFERROR(__xludf.DUMMYFUNCTION("""COMPUTED_VALUE"""),831.65)</f>
        <v>831.65</v>
      </c>
      <c r="H1053" s="4">
        <f t="shared" si="1"/>
        <v>727.1</v>
      </c>
      <c r="I1053" s="16">
        <f t="shared" si="2"/>
        <v>787.1</v>
      </c>
      <c r="J1053" s="16">
        <f t="shared" si="3"/>
        <v>54.78237627</v>
      </c>
      <c r="K1053" s="16">
        <f t="shared" si="4"/>
        <v>841.8823763</v>
      </c>
      <c r="L1053" s="16">
        <f t="shared" si="5"/>
        <v>732.3176237</v>
      </c>
      <c r="N1053" s="17" t="str">
        <f t="shared" si="6"/>
        <v>T</v>
      </c>
      <c r="O1053" s="17" t="str">
        <f t="shared" si="7"/>
        <v>F</v>
      </c>
      <c r="P1053" s="8">
        <f t="shared" si="8"/>
        <v>1</v>
      </c>
      <c r="R1053" s="17" t="str">
        <f t="shared" si="9"/>
        <v>F</v>
      </c>
      <c r="S1053" s="3" t="str">
        <f t="shared" si="10"/>
        <v>T</v>
      </c>
      <c r="T1053" s="8">
        <f t="shared" si="11"/>
        <v>0</v>
      </c>
      <c r="V1053" s="4">
        <f t="shared" si="12"/>
        <v>1</v>
      </c>
      <c r="W1053" s="8">
        <f t="shared" si="13"/>
        <v>-122.45</v>
      </c>
      <c r="X1053" s="8">
        <f t="shared" si="14"/>
        <v>122.45</v>
      </c>
      <c r="Y1053" s="8">
        <f t="shared" si="15"/>
        <v>1339.27</v>
      </c>
    </row>
    <row r="1054">
      <c r="A1054" s="2">
        <v>1047.0</v>
      </c>
      <c r="B1054" s="15">
        <f>IFERROR(__xludf.DUMMYFUNCTION("""COMPUTED_VALUE"""),43921.64583333333)</f>
        <v>43921.64583</v>
      </c>
      <c r="C1054" s="8">
        <f>IFERROR(__xludf.DUMMYFUNCTION("""COMPUTED_VALUE"""),1633.1)</f>
        <v>1633.1</v>
      </c>
      <c r="E1054" s="15">
        <f>IFERROR(__xludf.DUMMYFUNCTION("""COMPUTED_VALUE"""),43921.64583333333)</f>
        <v>43921.64583</v>
      </c>
      <c r="F1054" s="8">
        <f>IFERROR(__xludf.DUMMYFUNCTION("""COMPUTED_VALUE"""),861.9)</f>
        <v>861.9</v>
      </c>
      <c r="H1054" s="4">
        <f t="shared" si="1"/>
        <v>771.2</v>
      </c>
      <c r="I1054" s="16">
        <f t="shared" si="2"/>
        <v>793.86</v>
      </c>
      <c r="J1054" s="16">
        <f t="shared" si="3"/>
        <v>48.8842178</v>
      </c>
      <c r="K1054" s="16">
        <f t="shared" si="4"/>
        <v>842.7442178</v>
      </c>
      <c r="L1054" s="16">
        <f t="shared" si="5"/>
        <v>744.9757822</v>
      </c>
      <c r="N1054" s="17" t="str">
        <f t="shared" si="6"/>
        <v>F</v>
      </c>
      <c r="O1054" s="17" t="str">
        <f t="shared" si="7"/>
        <v>F</v>
      </c>
      <c r="P1054" s="8">
        <f t="shared" si="8"/>
        <v>1</v>
      </c>
      <c r="R1054" s="17" t="str">
        <f t="shared" si="9"/>
        <v>F</v>
      </c>
      <c r="S1054" s="3" t="str">
        <f t="shared" si="10"/>
        <v>T</v>
      </c>
      <c r="T1054" s="8">
        <f t="shared" si="11"/>
        <v>0</v>
      </c>
      <c r="V1054" s="4">
        <f t="shared" si="12"/>
        <v>1</v>
      </c>
      <c r="W1054" s="8">
        <f t="shared" si="13"/>
        <v>44.1</v>
      </c>
      <c r="X1054" s="8">
        <f t="shared" si="14"/>
        <v>44.1</v>
      </c>
      <c r="Y1054" s="8">
        <f t="shared" si="15"/>
        <v>1383.37</v>
      </c>
    </row>
    <row r="1055">
      <c r="A1055" s="2">
        <v>1048.0</v>
      </c>
      <c r="B1055" s="15">
        <f>IFERROR(__xludf.DUMMYFUNCTION("""COMPUTED_VALUE"""),43922.64583333333)</f>
        <v>43922.64583</v>
      </c>
      <c r="C1055" s="8">
        <f>IFERROR(__xludf.DUMMYFUNCTION("""COMPUTED_VALUE"""),1583.5)</f>
        <v>1583.5</v>
      </c>
      <c r="E1055" s="15">
        <f>IFERROR(__xludf.DUMMYFUNCTION("""COMPUTED_VALUE"""),43922.64583333333)</f>
        <v>43922.64583</v>
      </c>
      <c r="F1055" s="8">
        <f>IFERROR(__xludf.DUMMYFUNCTION("""COMPUTED_VALUE"""),829.65)</f>
        <v>829.65</v>
      </c>
      <c r="H1055" s="4">
        <f t="shared" si="1"/>
        <v>753.85</v>
      </c>
      <c r="I1055" s="16">
        <f t="shared" si="2"/>
        <v>786.77</v>
      </c>
      <c r="J1055" s="16">
        <f t="shared" si="3"/>
        <v>52.17119176</v>
      </c>
      <c r="K1055" s="16">
        <f t="shared" si="4"/>
        <v>838.9411918</v>
      </c>
      <c r="L1055" s="16">
        <f t="shared" si="5"/>
        <v>734.5988082</v>
      </c>
      <c r="N1055" s="17" t="str">
        <f t="shared" si="6"/>
        <v>F</v>
      </c>
      <c r="O1055" s="17" t="str">
        <f t="shared" si="7"/>
        <v>F</v>
      </c>
      <c r="P1055" s="8">
        <f t="shared" si="8"/>
        <v>1</v>
      </c>
      <c r="R1055" s="17" t="str">
        <f t="shared" si="9"/>
        <v>F</v>
      </c>
      <c r="S1055" s="3" t="str">
        <f t="shared" si="10"/>
        <v>T</v>
      </c>
      <c r="T1055" s="8">
        <f t="shared" si="11"/>
        <v>0</v>
      </c>
      <c r="V1055" s="4">
        <f t="shared" si="12"/>
        <v>1</v>
      </c>
      <c r="W1055" s="8">
        <f t="shared" si="13"/>
        <v>-17.35</v>
      </c>
      <c r="X1055" s="8">
        <f t="shared" si="14"/>
        <v>-17.35</v>
      </c>
      <c r="Y1055" s="8">
        <f t="shared" si="15"/>
        <v>1366.02</v>
      </c>
    </row>
    <row r="1056">
      <c r="A1056" s="2">
        <v>1049.0</v>
      </c>
      <c r="B1056" s="15">
        <f>IFERROR(__xludf.DUMMYFUNCTION("""COMPUTED_VALUE"""),43924.64583333333)</f>
        <v>43924.64583</v>
      </c>
      <c r="C1056" s="8">
        <f>IFERROR(__xludf.DUMMYFUNCTION("""COMPUTED_VALUE"""),1499.55)</f>
        <v>1499.55</v>
      </c>
      <c r="E1056" s="15">
        <f>IFERROR(__xludf.DUMMYFUNCTION("""COMPUTED_VALUE"""),43924.64583333333)</f>
        <v>43924.64583</v>
      </c>
      <c r="F1056" s="8">
        <f>IFERROR(__xludf.DUMMYFUNCTION("""COMPUTED_VALUE"""),813.85)</f>
        <v>813.85</v>
      </c>
      <c r="H1056" s="4">
        <f t="shared" si="1"/>
        <v>685.7</v>
      </c>
      <c r="I1056" s="16">
        <f t="shared" si="2"/>
        <v>757.48</v>
      </c>
      <c r="J1056" s="16">
        <f t="shared" si="3"/>
        <v>60.73222579</v>
      </c>
      <c r="K1056" s="16">
        <f t="shared" si="4"/>
        <v>818.2122258</v>
      </c>
      <c r="L1056" s="16">
        <f t="shared" si="5"/>
        <v>696.7477742</v>
      </c>
      <c r="N1056" s="17" t="str">
        <f t="shared" si="6"/>
        <v>T</v>
      </c>
      <c r="O1056" s="17" t="str">
        <f t="shared" si="7"/>
        <v>F</v>
      </c>
      <c r="P1056" s="8">
        <f t="shared" si="8"/>
        <v>1</v>
      </c>
      <c r="R1056" s="17" t="str">
        <f t="shared" si="9"/>
        <v>F</v>
      </c>
      <c r="S1056" s="3" t="str">
        <f t="shared" si="10"/>
        <v>T</v>
      </c>
      <c r="T1056" s="8">
        <f t="shared" si="11"/>
        <v>0</v>
      </c>
      <c r="V1056" s="4">
        <f t="shared" si="12"/>
        <v>1</v>
      </c>
      <c r="W1056" s="8">
        <f t="shared" si="13"/>
        <v>-68.15</v>
      </c>
      <c r="X1056" s="8">
        <f t="shared" si="14"/>
        <v>-68.15</v>
      </c>
      <c r="Y1056" s="8">
        <f t="shared" si="15"/>
        <v>1297.87</v>
      </c>
    </row>
    <row r="1057">
      <c r="A1057" s="2">
        <v>1050.0</v>
      </c>
      <c r="B1057" s="15">
        <f>IFERROR(__xludf.DUMMYFUNCTION("""COMPUTED_VALUE"""),43928.64583333333)</f>
        <v>43928.64583</v>
      </c>
      <c r="C1057" s="8">
        <f>IFERROR(__xludf.DUMMYFUNCTION("""COMPUTED_VALUE"""),1555.15)</f>
        <v>1555.15</v>
      </c>
      <c r="E1057" s="15">
        <f>IFERROR(__xludf.DUMMYFUNCTION("""COMPUTED_VALUE"""),43928.64583333333)</f>
        <v>43928.64583</v>
      </c>
      <c r="F1057" s="8">
        <f>IFERROR(__xludf.DUMMYFUNCTION("""COMPUTED_VALUE"""),896.1)</f>
        <v>896.1</v>
      </c>
      <c r="H1057" s="4">
        <f t="shared" si="1"/>
        <v>659.05</v>
      </c>
      <c r="I1057" s="16">
        <f t="shared" si="2"/>
        <v>719.38</v>
      </c>
      <c r="J1057" s="16">
        <f t="shared" si="3"/>
        <v>46.65603659</v>
      </c>
      <c r="K1057" s="16">
        <f t="shared" si="4"/>
        <v>766.0360366</v>
      </c>
      <c r="L1057" s="16">
        <f t="shared" si="5"/>
        <v>672.7239634</v>
      </c>
      <c r="N1057" s="17" t="str">
        <f t="shared" si="6"/>
        <v>T</v>
      </c>
      <c r="O1057" s="17" t="str">
        <f t="shared" si="7"/>
        <v>F</v>
      </c>
      <c r="P1057" s="8">
        <f t="shared" si="8"/>
        <v>1</v>
      </c>
      <c r="R1057" s="17" t="str">
        <f t="shared" si="9"/>
        <v>F</v>
      </c>
      <c r="S1057" s="3" t="str">
        <f t="shared" si="10"/>
        <v>T</v>
      </c>
      <c r="T1057" s="8">
        <f t="shared" si="11"/>
        <v>0</v>
      </c>
      <c r="V1057" s="4">
        <f t="shared" si="12"/>
        <v>1</v>
      </c>
      <c r="W1057" s="8">
        <f t="shared" si="13"/>
        <v>-26.65</v>
      </c>
      <c r="X1057" s="8">
        <f t="shared" si="14"/>
        <v>-26.65</v>
      </c>
      <c r="Y1057" s="8">
        <f t="shared" si="15"/>
        <v>1271.22</v>
      </c>
    </row>
    <row r="1058">
      <c r="A1058" s="2">
        <v>1051.0</v>
      </c>
      <c r="B1058" s="15">
        <f>IFERROR(__xludf.DUMMYFUNCTION("""COMPUTED_VALUE"""),43929.64583333333)</f>
        <v>43929.64583</v>
      </c>
      <c r="C1058" s="8">
        <f>IFERROR(__xludf.DUMMYFUNCTION("""COMPUTED_VALUE"""),1558.8)</f>
        <v>1558.8</v>
      </c>
      <c r="E1058" s="15">
        <f>IFERROR(__xludf.DUMMYFUNCTION("""COMPUTED_VALUE"""),43929.64583333333)</f>
        <v>43929.64583</v>
      </c>
      <c r="F1058" s="8">
        <f>IFERROR(__xludf.DUMMYFUNCTION("""COMPUTED_VALUE"""),888.9)</f>
        <v>888.9</v>
      </c>
      <c r="H1058" s="4">
        <f t="shared" si="1"/>
        <v>669.9</v>
      </c>
      <c r="I1058" s="16">
        <f t="shared" si="2"/>
        <v>707.94</v>
      </c>
      <c r="J1058" s="16">
        <f t="shared" si="3"/>
        <v>51.09169942</v>
      </c>
      <c r="K1058" s="16">
        <f t="shared" si="4"/>
        <v>759.0316994</v>
      </c>
      <c r="L1058" s="16">
        <f t="shared" si="5"/>
        <v>656.8483006</v>
      </c>
      <c r="N1058" s="17" t="str">
        <f t="shared" si="6"/>
        <v>F</v>
      </c>
      <c r="O1058" s="17" t="str">
        <f t="shared" si="7"/>
        <v>F</v>
      </c>
      <c r="P1058" s="8">
        <f t="shared" si="8"/>
        <v>1</v>
      </c>
      <c r="R1058" s="17" t="str">
        <f t="shared" si="9"/>
        <v>F</v>
      </c>
      <c r="S1058" s="3" t="str">
        <f t="shared" si="10"/>
        <v>T</v>
      </c>
      <c r="T1058" s="8">
        <f t="shared" si="11"/>
        <v>0</v>
      </c>
      <c r="V1058" s="4">
        <f t="shared" si="12"/>
        <v>1</v>
      </c>
      <c r="W1058" s="8">
        <f t="shared" si="13"/>
        <v>10.85</v>
      </c>
      <c r="X1058" s="8">
        <f t="shared" si="14"/>
        <v>10.85</v>
      </c>
      <c r="Y1058" s="8">
        <f t="shared" si="15"/>
        <v>1282.07</v>
      </c>
    </row>
    <row r="1059">
      <c r="A1059" s="2">
        <v>1052.0</v>
      </c>
      <c r="B1059" s="15">
        <f>IFERROR(__xludf.DUMMYFUNCTION("""COMPUTED_VALUE"""),43930.64583333333)</f>
        <v>43930.64583</v>
      </c>
      <c r="C1059" s="8">
        <f>IFERROR(__xludf.DUMMYFUNCTION("""COMPUTED_VALUE"""),1703.1)</f>
        <v>1703.1</v>
      </c>
      <c r="E1059" s="15">
        <f>IFERROR(__xludf.DUMMYFUNCTION("""COMPUTED_VALUE"""),43930.64583333333)</f>
        <v>43930.64583</v>
      </c>
      <c r="F1059" s="8">
        <f>IFERROR(__xludf.DUMMYFUNCTION("""COMPUTED_VALUE"""),925.05)</f>
        <v>925.05</v>
      </c>
      <c r="H1059" s="4">
        <f t="shared" si="1"/>
        <v>778.05</v>
      </c>
      <c r="I1059" s="16">
        <f t="shared" si="2"/>
        <v>709.31</v>
      </c>
      <c r="J1059" s="16">
        <f t="shared" si="3"/>
        <v>53.25797358</v>
      </c>
      <c r="K1059" s="16">
        <f t="shared" si="4"/>
        <v>762.5679736</v>
      </c>
      <c r="L1059" s="16">
        <f t="shared" si="5"/>
        <v>656.0520264</v>
      </c>
      <c r="N1059" s="17" t="str">
        <f t="shared" si="6"/>
        <v>F</v>
      </c>
      <c r="O1059" s="17" t="str">
        <f t="shared" si="7"/>
        <v>T</v>
      </c>
      <c r="P1059" s="8">
        <f t="shared" si="8"/>
        <v>0</v>
      </c>
      <c r="R1059" s="17" t="str">
        <f t="shared" si="9"/>
        <v>T</v>
      </c>
      <c r="S1059" s="3" t="str">
        <f t="shared" si="10"/>
        <v>F</v>
      </c>
      <c r="T1059" s="8">
        <f t="shared" si="11"/>
        <v>-1</v>
      </c>
      <c r="V1059" s="4">
        <f t="shared" si="12"/>
        <v>-1</v>
      </c>
      <c r="W1059" s="8">
        <f t="shared" si="13"/>
        <v>108.15</v>
      </c>
      <c r="X1059" s="8">
        <f t="shared" si="14"/>
        <v>108.15</v>
      </c>
      <c r="Y1059" s="8">
        <f t="shared" si="15"/>
        <v>1390.22</v>
      </c>
    </row>
    <row r="1060">
      <c r="A1060" s="2">
        <v>1053.0</v>
      </c>
      <c r="B1060" s="15">
        <f>IFERROR(__xludf.DUMMYFUNCTION("""COMPUTED_VALUE"""),43934.64583333333)</f>
        <v>43934.64583</v>
      </c>
      <c r="C1060" s="8">
        <f>IFERROR(__xludf.DUMMYFUNCTION("""COMPUTED_VALUE"""),1655.2)</f>
        <v>1655.2</v>
      </c>
      <c r="E1060" s="15">
        <f>IFERROR(__xludf.DUMMYFUNCTION("""COMPUTED_VALUE"""),43934.64583333333)</f>
        <v>43934.64583</v>
      </c>
      <c r="F1060" s="8">
        <f>IFERROR(__xludf.DUMMYFUNCTION("""COMPUTED_VALUE"""),895.35)</f>
        <v>895.35</v>
      </c>
      <c r="H1060" s="4">
        <f t="shared" si="1"/>
        <v>759.85</v>
      </c>
      <c r="I1060" s="16">
        <f t="shared" si="2"/>
        <v>710.51</v>
      </c>
      <c r="J1060" s="16">
        <f t="shared" si="3"/>
        <v>54.56401516</v>
      </c>
      <c r="K1060" s="16">
        <f t="shared" si="4"/>
        <v>765.0740152</v>
      </c>
      <c r="L1060" s="16">
        <f t="shared" si="5"/>
        <v>655.9459848</v>
      </c>
      <c r="N1060" s="17" t="str">
        <f t="shared" si="6"/>
        <v>F</v>
      </c>
      <c r="O1060" s="17" t="str">
        <f t="shared" si="7"/>
        <v>T</v>
      </c>
      <c r="P1060" s="8">
        <f t="shared" si="8"/>
        <v>0</v>
      </c>
      <c r="R1060" s="17" t="str">
        <f t="shared" si="9"/>
        <v>F</v>
      </c>
      <c r="S1060" s="3" t="str">
        <f t="shared" si="10"/>
        <v>F</v>
      </c>
      <c r="T1060" s="8">
        <f t="shared" si="11"/>
        <v>-1</v>
      </c>
      <c r="V1060" s="4">
        <f t="shared" si="12"/>
        <v>-1</v>
      </c>
      <c r="W1060" s="8">
        <f t="shared" si="13"/>
        <v>-18.2</v>
      </c>
      <c r="X1060" s="8">
        <f t="shared" si="14"/>
        <v>18.2</v>
      </c>
      <c r="Y1060" s="8">
        <f t="shared" si="15"/>
        <v>1408.42</v>
      </c>
    </row>
    <row r="1061">
      <c r="A1061" s="2">
        <v>1054.0</v>
      </c>
      <c r="B1061" s="15">
        <f>IFERROR(__xludf.DUMMYFUNCTION("""COMPUTED_VALUE"""),43936.64583333333)</f>
        <v>43936.64583</v>
      </c>
      <c r="C1061" s="8">
        <f>IFERROR(__xludf.DUMMYFUNCTION("""COMPUTED_VALUE"""),1596.3)</f>
        <v>1596.3</v>
      </c>
      <c r="E1061" s="15">
        <f>IFERROR(__xludf.DUMMYFUNCTION("""COMPUTED_VALUE"""),43936.64583333333)</f>
        <v>43936.64583</v>
      </c>
      <c r="F1061" s="8">
        <f>IFERROR(__xludf.DUMMYFUNCTION("""COMPUTED_VALUE"""),863.3)</f>
        <v>863.3</v>
      </c>
      <c r="H1061" s="4">
        <f t="shared" si="1"/>
        <v>733</v>
      </c>
      <c r="I1061" s="16">
        <f t="shared" si="2"/>
        <v>719.97</v>
      </c>
      <c r="J1061" s="16">
        <f t="shared" si="3"/>
        <v>53.27225591</v>
      </c>
      <c r="K1061" s="16">
        <f t="shared" si="4"/>
        <v>773.2422559</v>
      </c>
      <c r="L1061" s="16">
        <f t="shared" si="5"/>
        <v>666.6977441</v>
      </c>
      <c r="N1061" s="17" t="str">
        <f t="shared" si="6"/>
        <v>F</v>
      </c>
      <c r="O1061" s="17" t="str">
        <f t="shared" si="7"/>
        <v>T</v>
      </c>
      <c r="P1061" s="8">
        <f t="shared" si="8"/>
        <v>0</v>
      </c>
      <c r="R1061" s="17" t="str">
        <f t="shared" si="9"/>
        <v>F</v>
      </c>
      <c r="S1061" s="3" t="str">
        <f t="shared" si="10"/>
        <v>F</v>
      </c>
      <c r="T1061" s="8">
        <f t="shared" si="11"/>
        <v>-1</v>
      </c>
      <c r="V1061" s="4">
        <f t="shared" si="12"/>
        <v>-1</v>
      </c>
      <c r="W1061" s="8">
        <f t="shared" si="13"/>
        <v>-26.85</v>
      </c>
      <c r="X1061" s="8">
        <f t="shared" si="14"/>
        <v>26.85</v>
      </c>
      <c r="Y1061" s="8">
        <f t="shared" si="15"/>
        <v>1435.27</v>
      </c>
    </row>
    <row r="1062">
      <c r="A1062" s="2">
        <v>1055.0</v>
      </c>
      <c r="B1062" s="15">
        <f>IFERROR(__xludf.DUMMYFUNCTION("""COMPUTED_VALUE"""),43937.64583333333)</f>
        <v>43937.64583</v>
      </c>
      <c r="C1062" s="8">
        <f>IFERROR(__xludf.DUMMYFUNCTION("""COMPUTED_VALUE"""),1625.75)</f>
        <v>1625.75</v>
      </c>
      <c r="E1062" s="15">
        <f>IFERROR(__xludf.DUMMYFUNCTION("""COMPUTED_VALUE"""),43937.64583333333)</f>
        <v>43937.64583</v>
      </c>
      <c r="F1062" s="8">
        <f>IFERROR(__xludf.DUMMYFUNCTION("""COMPUTED_VALUE"""),879.75)</f>
        <v>879.75</v>
      </c>
      <c r="H1062" s="4">
        <f t="shared" si="1"/>
        <v>746</v>
      </c>
      <c r="I1062" s="16">
        <f t="shared" si="2"/>
        <v>737.36</v>
      </c>
      <c r="J1062" s="16">
        <f t="shared" si="3"/>
        <v>41.24920302</v>
      </c>
      <c r="K1062" s="16">
        <f t="shared" si="4"/>
        <v>778.609203</v>
      </c>
      <c r="L1062" s="16">
        <f t="shared" si="5"/>
        <v>696.110797</v>
      </c>
      <c r="N1062" s="17" t="str">
        <f t="shared" si="6"/>
        <v>F</v>
      </c>
      <c r="O1062" s="17" t="str">
        <f t="shared" si="7"/>
        <v>T</v>
      </c>
      <c r="P1062" s="8">
        <f t="shared" si="8"/>
        <v>0</v>
      </c>
      <c r="R1062" s="17" t="str">
        <f t="shared" si="9"/>
        <v>F</v>
      </c>
      <c r="S1062" s="3" t="str">
        <f t="shared" si="10"/>
        <v>F</v>
      </c>
      <c r="T1062" s="8">
        <f t="shared" si="11"/>
        <v>-1</v>
      </c>
      <c r="V1062" s="4">
        <f t="shared" si="12"/>
        <v>-1</v>
      </c>
      <c r="W1062" s="8">
        <f t="shared" si="13"/>
        <v>13</v>
      </c>
      <c r="X1062" s="8">
        <f t="shared" si="14"/>
        <v>-13</v>
      </c>
      <c r="Y1062" s="8">
        <f t="shared" si="15"/>
        <v>1422.27</v>
      </c>
    </row>
    <row r="1063">
      <c r="A1063" s="2">
        <v>1056.0</v>
      </c>
      <c r="B1063" s="15">
        <f>IFERROR(__xludf.DUMMYFUNCTION("""COMPUTED_VALUE"""),43938.64583333333)</f>
        <v>43938.64583</v>
      </c>
      <c r="C1063" s="8">
        <f>IFERROR(__xludf.DUMMYFUNCTION("""COMPUTED_VALUE"""),1680.6)</f>
        <v>1680.6</v>
      </c>
      <c r="E1063" s="15">
        <f>IFERROR(__xludf.DUMMYFUNCTION("""COMPUTED_VALUE"""),43938.64583333333)</f>
        <v>43938.64583</v>
      </c>
      <c r="F1063" s="8">
        <f>IFERROR(__xludf.DUMMYFUNCTION("""COMPUTED_VALUE"""),910.3)</f>
        <v>910.3</v>
      </c>
      <c r="H1063" s="4">
        <f t="shared" si="1"/>
        <v>770.3</v>
      </c>
      <c r="I1063" s="16">
        <f t="shared" si="2"/>
        <v>757.44</v>
      </c>
      <c r="J1063" s="16">
        <f t="shared" si="3"/>
        <v>18.19441535</v>
      </c>
      <c r="K1063" s="16">
        <f t="shared" si="4"/>
        <v>775.6344154</v>
      </c>
      <c r="L1063" s="16">
        <f t="shared" si="5"/>
        <v>739.2455846</v>
      </c>
      <c r="N1063" s="17" t="str">
        <f t="shared" si="6"/>
        <v>F</v>
      </c>
      <c r="O1063" s="17" t="str">
        <f t="shared" si="7"/>
        <v>T</v>
      </c>
      <c r="P1063" s="8">
        <f t="shared" si="8"/>
        <v>0</v>
      </c>
      <c r="R1063" s="17" t="str">
        <f t="shared" si="9"/>
        <v>F</v>
      </c>
      <c r="S1063" s="3" t="str">
        <f t="shared" si="10"/>
        <v>F</v>
      </c>
      <c r="T1063" s="8">
        <f t="shared" si="11"/>
        <v>-1</v>
      </c>
      <c r="V1063" s="4">
        <f t="shared" si="12"/>
        <v>-1</v>
      </c>
      <c r="W1063" s="8">
        <f t="shared" si="13"/>
        <v>24.3</v>
      </c>
      <c r="X1063" s="8">
        <f t="shared" si="14"/>
        <v>-24.3</v>
      </c>
      <c r="Y1063" s="8">
        <f t="shared" si="15"/>
        <v>1397.97</v>
      </c>
    </row>
    <row r="1064">
      <c r="A1064" s="2">
        <v>1057.0</v>
      </c>
      <c r="B1064" s="15">
        <f>IFERROR(__xludf.DUMMYFUNCTION("""COMPUTED_VALUE"""),43941.64583333333)</f>
        <v>43941.64583</v>
      </c>
      <c r="C1064" s="8">
        <f>IFERROR(__xludf.DUMMYFUNCTION("""COMPUTED_VALUE"""),1727.7)</f>
        <v>1727.7</v>
      </c>
      <c r="E1064" s="15">
        <f>IFERROR(__xludf.DUMMYFUNCTION("""COMPUTED_VALUE"""),43941.64583333333)</f>
        <v>43941.64583</v>
      </c>
      <c r="F1064" s="8">
        <f>IFERROR(__xludf.DUMMYFUNCTION("""COMPUTED_VALUE"""),944.85)</f>
        <v>944.85</v>
      </c>
      <c r="H1064" s="4">
        <f t="shared" si="1"/>
        <v>782.85</v>
      </c>
      <c r="I1064" s="16">
        <f t="shared" si="2"/>
        <v>758.4</v>
      </c>
      <c r="J1064" s="16">
        <f t="shared" si="3"/>
        <v>19.62418788</v>
      </c>
      <c r="K1064" s="16">
        <f t="shared" si="4"/>
        <v>778.0241879</v>
      </c>
      <c r="L1064" s="16">
        <f t="shared" si="5"/>
        <v>738.7758121</v>
      </c>
      <c r="N1064" s="17" t="str">
        <f t="shared" si="6"/>
        <v>F</v>
      </c>
      <c r="O1064" s="17" t="str">
        <f t="shared" si="7"/>
        <v>T</v>
      </c>
      <c r="P1064" s="8">
        <f t="shared" si="8"/>
        <v>0</v>
      </c>
      <c r="R1064" s="17" t="str">
        <f t="shared" si="9"/>
        <v>T</v>
      </c>
      <c r="S1064" s="3" t="str">
        <f t="shared" si="10"/>
        <v>F</v>
      </c>
      <c r="T1064" s="8">
        <f t="shared" si="11"/>
        <v>-1</v>
      </c>
      <c r="V1064" s="4">
        <f t="shared" si="12"/>
        <v>-1</v>
      </c>
      <c r="W1064" s="8">
        <f t="shared" si="13"/>
        <v>12.55</v>
      </c>
      <c r="X1064" s="8">
        <f t="shared" si="14"/>
        <v>-12.55</v>
      </c>
      <c r="Y1064" s="8">
        <f t="shared" si="15"/>
        <v>1385.42</v>
      </c>
    </row>
    <row r="1065">
      <c r="A1065" s="2">
        <v>1058.0</v>
      </c>
      <c r="B1065" s="15">
        <f>IFERROR(__xludf.DUMMYFUNCTION("""COMPUTED_VALUE"""),43942.64583333333)</f>
        <v>43942.64583</v>
      </c>
      <c r="C1065" s="8">
        <f>IFERROR(__xludf.DUMMYFUNCTION("""COMPUTED_VALUE"""),1669.7)</f>
        <v>1669.7</v>
      </c>
      <c r="E1065" s="15">
        <f>IFERROR(__xludf.DUMMYFUNCTION("""COMPUTED_VALUE"""),43942.64583333333)</f>
        <v>43942.64583</v>
      </c>
      <c r="F1065" s="8">
        <f>IFERROR(__xludf.DUMMYFUNCTION("""COMPUTED_VALUE"""),921.65)</f>
        <v>921.65</v>
      </c>
      <c r="H1065" s="4">
        <f t="shared" si="1"/>
        <v>748.05</v>
      </c>
      <c r="I1065" s="16">
        <f t="shared" si="2"/>
        <v>756.04</v>
      </c>
      <c r="J1065" s="16">
        <f t="shared" si="3"/>
        <v>20.10974266</v>
      </c>
      <c r="K1065" s="16">
        <f t="shared" si="4"/>
        <v>776.1497427</v>
      </c>
      <c r="L1065" s="16">
        <f t="shared" si="5"/>
        <v>735.9302573</v>
      </c>
      <c r="N1065" s="17" t="str">
        <f t="shared" si="6"/>
        <v>F</v>
      </c>
      <c r="O1065" s="17" t="str">
        <f t="shared" si="7"/>
        <v>F</v>
      </c>
      <c r="P1065" s="8">
        <f t="shared" si="8"/>
        <v>0</v>
      </c>
      <c r="R1065" s="17" t="str">
        <f t="shared" si="9"/>
        <v>F</v>
      </c>
      <c r="S1065" s="3" t="str">
        <f t="shared" si="10"/>
        <v>T</v>
      </c>
      <c r="T1065" s="8">
        <f t="shared" si="11"/>
        <v>0</v>
      </c>
      <c r="V1065" s="4">
        <f t="shared" si="12"/>
        <v>0</v>
      </c>
      <c r="W1065" s="8">
        <f t="shared" si="13"/>
        <v>-34.8</v>
      </c>
      <c r="X1065" s="8">
        <f t="shared" si="14"/>
        <v>34.8</v>
      </c>
      <c r="Y1065" s="8">
        <f t="shared" si="15"/>
        <v>1420.22</v>
      </c>
    </row>
    <row r="1066">
      <c r="A1066" s="2">
        <v>1059.0</v>
      </c>
      <c r="B1066" s="15">
        <f>IFERROR(__xludf.DUMMYFUNCTION("""COMPUTED_VALUE"""),43943.64583333333)</f>
        <v>43943.64583</v>
      </c>
      <c r="C1066" s="8">
        <f>IFERROR(__xludf.DUMMYFUNCTION("""COMPUTED_VALUE"""),1664.15)</f>
        <v>1664.15</v>
      </c>
      <c r="E1066" s="15">
        <f>IFERROR(__xludf.DUMMYFUNCTION("""COMPUTED_VALUE"""),43943.64583333333)</f>
        <v>43943.64583</v>
      </c>
      <c r="F1066" s="8">
        <f>IFERROR(__xludf.DUMMYFUNCTION("""COMPUTED_VALUE"""),928.6)</f>
        <v>928.6</v>
      </c>
      <c r="H1066" s="4">
        <f t="shared" si="1"/>
        <v>735.55</v>
      </c>
      <c r="I1066" s="16">
        <f t="shared" si="2"/>
        <v>756.55</v>
      </c>
      <c r="J1066" s="16">
        <f t="shared" si="3"/>
        <v>19.39913014</v>
      </c>
      <c r="K1066" s="16">
        <f t="shared" si="4"/>
        <v>775.9491301</v>
      </c>
      <c r="L1066" s="16">
        <f t="shared" si="5"/>
        <v>737.1508699</v>
      </c>
      <c r="N1066" s="17" t="str">
        <f t="shared" si="6"/>
        <v>T</v>
      </c>
      <c r="O1066" s="17" t="str">
        <f t="shared" si="7"/>
        <v>F</v>
      </c>
      <c r="P1066" s="8">
        <f t="shared" si="8"/>
        <v>1</v>
      </c>
      <c r="R1066" s="17" t="str">
        <f t="shared" si="9"/>
        <v>F</v>
      </c>
      <c r="S1066" s="3" t="str">
        <f t="shared" si="10"/>
        <v>T</v>
      </c>
      <c r="T1066" s="8">
        <f t="shared" si="11"/>
        <v>0</v>
      </c>
      <c r="V1066" s="4">
        <f t="shared" si="12"/>
        <v>1</v>
      </c>
      <c r="W1066" s="8">
        <f t="shared" si="13"/>
        <v>-12.5</v>
      </c>
      <c r="X1066" s="8">
        <f t="shared" si="14"/>
        <v>0</v>
      </c>
      <c r="Y1066" s="8">
        <f t="shared" si="15"/>
        <v>1420.22</v>
      </c>
    </row>
    <row r="1067">
      <c r="A1067" s="2">
        <v>1060.0</v>
      </c>
      <c r="B1067" s="15">
        <f>IFERROR(__xludf.DUMMYFUNCTION("""COMPUTED_VALUE"""),43944.64583333333)</f>
        <v>43944.64583</v>
      </c>
      <c r="C1067" s="8">
        <f>IFERROR(__xludf.DUMMYFUNCTION("""COMPUTED_VALUE"""),1663.45)</f>
        <v>1663.45</v>
      </c>
      <c r="E1067" s="15">
        <f>IFERROR(__xludf.DUMMYFUNCTION("""COMPUTED_VALUE"""),43944.64583333333)</f>
        <v>43944.64583</v>
      </c>
      <c r="F1067" s="8">
        <f>IFERROR(__xludf.DUMMYFUNCTION("""COMPUTED_VALUE"""),954.95)</f>
        <v>954.95</v>
      </c>
      <c r="H1067" s="4">
        <f t="shared" si="1"/>
        <v>708.5</v>
      </c>
      <c r="I1067" s="16">
        <f t="shared" si="2"/>
        <v>749.05</v>
      </c>
      <c r="J1067" s="16">
        <f t="shared" si="3"/>
        <v>29.24702976</v>
      </c>
      <c r="K1067" s="16">
        <f t="shared" si="4"/>
        <v>778.2970298</v>
      </c>
      <c r="L1067" s="16">
        <f t="shared" si="5"/>
        <v>719.8029702</v>
      </c>
      <c r="N1067" s="17" t="str">
        <f t="shared" si="6"/>
        <v>T</v>
      </c>
      <c r="O1067" s="17" t="str">
        <f t="shared" si="7"/>
        <v>F</v>
      </c>
      <c r="P1067" s="8">
        <f t="shared" si="8"/>
        <v>1</v>
      </c>
      <c r="R1067" s="17" t="str">
        <f t="shared" si="9"/>
        <v>F</v>
      </c>
      <c r="S1067" s="3" t="str">
        <f t="shared" si="10"/>
        <v>T</v>
      </c>
      <c r="T1067" s="8">
        <f t="shared" si="11"/>
        <v>0</v>
      </c>
      <c r="V1067" s="4">
        <f t="shared" si="12"/>
        <v>1</v>
      </c>
      <c r="W1067" s="8">
        <f t="shared" si="13"/>
        <v>-27.05</v>
      </c>
      <c r="X1067" s="8">
        <f t="shared" si="14"/>
        <v>-27.05</v>
      </c>
      <c r="Y1067" s="8">
        <f t="shared" si="15"/>
        <v>1393.17</v>
      </c>
    </row>
    <row r="1068">
      <c r="A1068" s="2">
        <v>1061.0</v>
      </c>
      <c r="B1068" s="15">
        <f>IFERROR(__xludf.DUMMYFUNCTION("""COMPUTED_VALUE"""),43945.64583333333)</f>
        <v>43945.64583</v>
      </c>
      <c r="C1068" s="8">
        <f>IFERROR(__xludf.DUMMYFUNCTION("""COMPUTED_VALUE"""),1580.3)</f>
        <v>1580.3</v>
      </c>
      <c r="E1068" s="15">
        <f>IFERROR(__xludf.DUMMYFUNCTION("""COMPUTED_VALUE"""),43945.64583333333)</f>
        <v>43945.64583</v>
      </c>
      <c r="F1068" s="8">
        <f>IFERROR(__xludf.DUMMYFUNCTION("""COMPUTED_VALUE"""),938.05)</f>
        <v>938.05</v>
      </c>
      <c r="H1068" s="4">
        <f t="shared" si="1"/>
        <v>642.25</v>
      </c>
      <c r="I1068" s="16">
        <f t="shared" si="2"/>
        <v>723.44</v>
      </c>
      <c r="J1068" s="16">
        <f t="shared" si="3"/>
        <v>52.67084583</v>
      </c>
      <c r="K1068" s="16">
        <f t="shared" si="4"/>
        <v>776.1108458</v>
      </c>
      <c r="L1068" s="16">
        <f t="shared" si="5"/>
        <v>670.7691542</v>
      </c>
      <c r="N1068" s="17" t="str">
        <f t="shared" si="6"/>
        <v>T</v>
      </c>
      <c r="O1068" s="17" t="str">
        <f t="shared" si="7"/>
        <v>F</v>
      </c>
      <c r="P1068" s="8">
        <f t="shared" si="8"/>
        <v>1</v>
      </c>
      <c r="R1068" s="17" t="str">
        <f t="shared" si="9"/>
        <v>F</v>
      </c>
      <c r="S1068" s="3" t="str">
        <f t="shared" si="10"/>
        <v>T</v>
      </c>
      <c r="T1068" s="8">
        <f t="shared" si="11"/>
        <v>0</v>
      </c>
      <c r="V1068" s="4">
        <f t="shared" si="12"/>
        <v>1</v>
      </c>
      <c r="W1068" s="8">
        <f t="shared" si="13"/>
        <v>-66.25</v>
      </c>
      <c r="X1068" s="8">
        <f t="shared" si="14"/>
        <v>-66.25</v>
      </c>
      <c r="Y1068" s="8">
        <f t="shared" si="15"/>
        <v>1326.92</v>
      </c>
    </row>
    <row r="1069">
      <c r="A1069" s="2">
        <v>1062.0</v>
      </c>
      <c r="B1069" s="15">
        <f>IFERROR(__xludf.DUMMYFUNCTION("""COMPUTED_VALUE"""),43948.64583333333)</f>
        <v>43948.64583</v>
      </c>
      <c r="C1069" s="8">
        <f>IFERROR(__xludf.DUMMYFUNCTION("""COMPUTED_VALUE"""),1591.45)</f>
        <v>1591.45</v>
      </c>
      <c r="E1069" s="15">
        <f>IFERROR(__xludf.DUMMYFUNCTION("""COMPUTED_VALUE"""),43948.64583333333)</f>
        <v>43948.64583</v>
      </c>
      <c r="F1069" s="8">
        <f>IFERROR(__xludf.DUMMYFUNCTION("""COMPUTED_VALUE"""),929.7)</f>
        <v>929.7</v>
      </c>
      <c r="H1069" s="4">
        <f t="shared" si="1"/>
        <v>661.75</v>
      </c>
      <c r="I1069" s="16">
        <f t="shared" si="2"/>
        <v>699.22</v>
      </c>
      <c r="J1069" s="16">
        <f t="shared" si="3"/>
        <v>45.93456759</v>
      </c>
      <c r="K1069" s="16">
        <f t="shared" si="4"/>
        <v>745.1545676</v>
      </c>
      <c r="L1069" s="16">
        <f t="shared" si="5"/>
        <v>653.2854324</v>
      </c>
      <c r="N1069" s="17" t="str">
        <f t="shared" si="6"/>
        <v>F</v>
      </c>
      <c r="O1069" s="17" t="str">
        <f t="shared" si="7"/>
        <v>F</v>
      </c>
      <c r="P1069" s="8">
        <f t="shared" si="8"/>
        <v>1</v>
      </c>
      <c r="R1069" s="17" t="str">
        <f t="shared" si="9"/>
        <v>F</v>
      </c>
      <c r="S1069" s="3" t="str">
        <f t="shared" si="10"/>
        <v>T</v>
      </c>
      <c r="T1069" s="8">
        <f t="shared" si="11"/>
        <v>0</v>
      </c>
      <c r="V1069" s="4">
        <f t="shared" si="12"/>
        <v>1</v>
      </c>
      <c r="W1069" s="8">
        <f t="shared" si="13"/>
        <v>19.5</v>
      </c>
      <c r="X1069" s="8">
        <f t="shared" si="14"/>
        <v>19.5</v>
      </c>
      <c r="Y1069" s="8">
        <f t="shared" si="15"/>
        <v>1346.42</v>
      </c>
    </row>
    <row r="1070">
      <c r="A1070" s="2">
        <v>1063.0</v>
      </c>
      <c r="B1070" s="15">
        <f>IFERROR(__xludf.DUMMYFUNCTION("""COMPUTED_VALUE"""),43949.64583333333)</f>
        <v>43949.64583</v>
      </c>
      <c r="C1070" s="8">
        <f>IFERROR(__xludf.DUMMYFUNCTION("""COMPUTED_VALUE"""),1715.8)</f>
        <v>1715.8</v>
      </c>
      <c r="E1070" s="15">
        <f>IFERROR(__xludf.DUMMYFUNCTION("""COMPUTED_VALUE"""),43949.64583333333)</f>
        <v>43949.64583</v>
      </c>
      <c r="F1070" s="8">
        <f>IFERROR(__xludf.DUMMYFUNCTION("""COMPUTED_VALUE"""),931.4)</f>
        <v>931.4</v>
      </c>
      <c r="H1070" s="4">
        <f t="shared" si="1"/>
        <v>784.4</v>
      </c>
      <c r="I1070" s="16">
        <f t="shared" si="2"/>
        <v>706.49</v>
      </c>
      <c r="J1070" s="16">
        <f t="shared" si="3"/>
        <v>57.11159471</v>
      </c>
      <c r="K1070" s="16">
        <f t="shared" si="4"/>
        <v>763.6015947</v>
      </c>
      <c r="L1070" s="16">
        <f t="shared" si="5"/>
        <v>649.3784053</v>
      </c>
      <c r="N1070" s="17" t="str">
        <f t="shared" si="6"/>
        <v>F</v>
      </c>
      <c r="O1070" s="17" t="str">
        <f t="shared" si="7"/>
        <v>T</v>
      </c>
      <c r="P1070" s="8">
        <f t="shared" si="8"/>
        <v>0</v>
      </c>
      <c r="R1070" s="17" t="str">
        <f t="shared" si="9"/>
        <v>T</v>
      </c>
      <c r="S1070" s="3" t="str">
        <f t="shared" si="10"/>
        <v>F</v>
      </c>
      <c r="T1070" s="8">
        <f t="shared" si="11"/>
        <v>-1</v>
      </c>
      <c r="V1070" s="4">
        <f t="shared" si="12"/>
        <v>-1</v>
      </c>
      <c r="W1070" s="8">
        <f t="shared" si="13"/>
        <v>122.65</v>
      </c>
      <c r="X1070" s="8">
        <f t="shared" si="14"/>
        <v>122.65</v>
      </c>
      <c r="Y1070" s="8">
        <f t="shared" si="15"/>
        <v>1469.07</v>
      </c>
    </row>
    <row r="1071">
      <c r="A1071" s="2">
        <v>1064.0</v>
      </c>
      <c r="B1071" s="15">
        <f>IFERROR(__xludf.DUMMYFUNCTION("""COMPUTED_VALUE"""),43950.64583333333)</f>
        <v>43950.64583</v>
      </c>
      <c r="C1071" s="8">
        <f>IFERROR(__xludf.DUMMYFUNCTION("""COMPUTED_VALUE"""),1836.75)</f>
        <v>1836.75</v>
      </c>
      <c r="E1071" s="15">
        <f>IFERROR(__xludf.DUMMYFUNCTION("""COMPUTED_VALUE"""),43950.64583333333)</f>
        <v>43950.64583</v>
      </c>
      <c r="F1071" s="8">
        <f>IFERROR(__xludf.DUMMYFUNCTION("""COMPUTED_VALUE"""),977.1)</f>
        <v>977.1</v>
      </c>
      <c r="H1071" s="4">
        <f t="shared" si="1"/>
        <v>859.65</v>
      </c>
      <c r="I1071" s="16">
        <f t="shared" si="2"/>
        <v>731.31</v>
      </c>
      <c r="J1071" s="16">
        <f t="shared" si="3"/>
        <v>90.2500374</v>
      </c>
      <c r="K1071" s="16">
        <f t="shared" si="4"/>
        <v>821.5600374</v>
      </c>
      <c r="L1071" s="16">
        <f t="shared" si="5"/>
        <v>641.0599626</v>
      </c>
      <c r="N1071" s="17" t="str">
        <f t="shared" si="6"/>
        <v>F</v>
      </c>
      <c r="O1071" s="17" t="str">
        <f t="shared" si="7"/>
        <v>T</v>
      </c>
      <c r="P1071" s="8">
        <f t="shared" si="8"/>
        <v>0</v>
      </c>
      <c r="R1071" s="17" t="str">
        <f t="shared" si="9"/>
        <v>T</v>
      </c>
      <c r="S1071" s="3" t="str">
        <f t="shared" si="10"/>
        <v>F</v>
      </c>
      <c r="T1071" s="8">
        <f t="shared" si="11"/>
        <v>-1</v>
      </c>
      <c r="V1071" s="4">
        <f t="shared" si="12"/>
        <v>-1</v>
      </c>
      <c r="W1071" s="8">
        <f t="shared" si="13"/>
        <v>75.25</v>
      </c>
      <c r="X1071" s="8">
        <f t="shared" si="14"/>
        <v>-75.25</v>
      </c>
      <c r="Y1071" s="8">
        <f t="shared" si="15"/>
        <v>1393.82</v>
      </c>
    </row>
    <row r="1072">
      <c r="A1072" s="2">
        <v>1065.0</v>
      </c>
      <c r="B1072" s="15">
        <f>IFERROR(__xludf.DUMMYFUNCTION("""COMPUTED_VALUE"""),43951.64583333333)</f>
        <v>43951.64583</v>
      </c>
      <c r="C1072" s="8">
        <f>IFERROR(__xludf.DUMMYFUNCTION("""COMPUTED_VALUE"""),1916.0)</f>
        <v>1916</v>
      </c>
      <c r="E1072" s="15">
        <f>IFERROR(__xludf.DUMMYFUNCTION("""COMPUTED_VALUE"""),43951.64583333333)</f>
        <v>43951.64583</v>
      </c>
      <c r="F1072" s="8">
        <f>IFERROR(__xludf.DUMMYFUNCTION("""COMPUTED_VALUE"""),1001.8)</f>
        <v>1001.8</v>
      </c>
      <c r="H1072" s="4">
        <f t="shared" si="1"/>
        <v>914.2</v>
      </c>
      <c r="I1072" s="16">
        <f t="shared" si="2"/>
        <v>772.45</v>
      </c>
      <c r="J1072" s="16">
        <f t="shared" si="3"/>
        <v>119.4217683</v>
      </c>
      <c r="K1072" s="16">
        <f t="shared" si="4"/>
        <v>891.8717683</v>
      </c>
      <c r="L1072" s="16">
        <f t="shared" si="5"/>
        <v>653.0282317</v>
      </c>
      <c r="N1072" s="17" t="str">
        <f t="shared" si="6"/>
        <v>F</v>
      </c>
      <c r="O1072" s="17" t="str">
        <f t="shared" si="7"/>
        <v>T</v>
      </c>
      <c r="P1072" s="8">
        <f t="shared" si="8"/>
        <v>0</v>
      </c>
      <c r="R1072" s="17" t="str">
        <f t="shared" si="9"/>
        <v>T</v>
      </c>
      <c r="S1072" s="3" t="str">
        <f t="shared" si="10"/>
        <v>F</v>
      </c>
      <c r="T1072" s="8">
        <f t="shared" si="11"/>
        <v>-1</v>
      </c>
      <c r="V1072" s="4">
        <f t="shared" si="12"/>
        <v>-1</v>
      </c>
      <c r="W1072" s="8">
        <f t="shared" si="13"/>
        <v>54.55</v>
      </c>
      <c r="X1072" s="8">
        <f t="shared" si="14"/>
        <v>-54.55</v>
      </c>
      <c r="Y1072" s="8">
        <f t="shared" si="15"/>
        <v>1339.27</v>
      </c>
    </row>
    <row r="1073">
      <c r="A1073" s="2">
        <v>1066.0</v>
      </c>
      <c r="B1073" s="15">
        <f>IFERROR(__xludf.DUMMYFUNCTION("""COMPUTED_VALUE"""),43955.64583333333)</f>
        <v>43955.64583</v>
      </c>
      <c r="C1073" s="8">
        <f>IFERROR(__xludf.DUMMYFUNCTION("""COMPUTED_VALUE"""),1724.35)</f>
        <v>1724.35</v>
      </c>
      <c r="E1073" s="15">
        <f>IFERROR(__xludf.DUMMYFUNCTION("""COMPUTED_VALUE"""),43955.64583333333)</f>
        <v>43955.64583</v>
      </c>
      <c r="F1073" s="8">
        <f>IFERROR(__xludf.DUMMYFUNCTION("""COMPUTED_VALUE"""),923.0)</f>
        <v>923</v>
      </c>
      <c r="H1073" s="4">
        <f t="shared" si="1"/>
        <v>801.35</v>
      </c>
      <c r="I1073" s="16">
        <f t="shared" si="2"/>
        <v>804.27</v>
      </c>
      <c r="J1073" s="16">
        <f t="shared" si="3"/>
        <v>94.69271751</v>
      </c>
      <c r="K1073" s="16">
        <f t="shared" si="4"/>
        <v>898.9627175</v>
      </c>
      <c r="L1073" s="16">
        <f t="shared" si="5"/>
        <v>709.5772825</v>
      </c>
      <c r="N1073" s="17" t="str">
        <f t="shared" si="6"/>
        <v>F</v>
      </c>
      <c r="O1073" s="17" t="str">
        <f t="shared" si="7"/>
        <v>F</v>
      </c>
      <c r="P1073" s="8">
        <f t="shared" si="8"/>
        <v>0</v>
      </c>
      <c r="R1073" s="17" t="str">
        <f t="shared" si="9"/>
        <v>F</v>
      </c>
      <c r="S1073" s="3" t="str">
        <f t="shared" si="10"/>
        <v>T</v>
      </c>
      <c r="T1073" s="8">
        <f t="shared" si="11"/>
        <v>0</v>
      </c>
      <c r="V1073" s="4">
        <f t="shared" si="12"/>
        <v>0</v>
      </c>
      <c r="W1073" s="8">
        <f t="shared" si="13"/>
        <v>-112.85</v>
      </c>
      <c r="X1073" s="8">
        <f t="shared" si="14"/>
        <v>112.85</v>
      </c>
      <c r="Y1073" s="8">
        <f t="shared" si="15"/>
        <v>1452.12</v>
      </c>
    </row>
    <row r="1074">
      <c r="A1074" s="2">
        <v>1067.0</v>
      </c>
      <c r="B1074" s="15">
        <f>IFERROR(__xludf.DUMMYFUNCTION("""COMPUTED_VALUE"""),43956.64583333333)</f>
        <v>43956.64583</v>
      </c>
      <c r="C1074" s="8">
        <f>IFERROR(__xludf.DUMMYFUNCTION("""COMPUTED_VALUE"""),1689.9)</f>
        <v>1689.9</v>
      </c>
      <c r="E1074" s="15">
        <f>IFERROR(__xludf.DUMMYFUNCTION("""COMPUTED_VALUE"""),43956.64583333333)</f>
        <v>43956.64583</v>
      </c>
      <c r="F1074" s="8">
        <f>IFERROR(__xludf.DUMMYFUNCTION("""COMPUTED_VALUE"""),911.45)</f>
        <v>911.45</v>
      </c>
      <c r="H1074" s="4">
        <f t="shared" si="1"/>
        <v>778.45</v>
      </c>
      <c r="I1074" s="16">
        <f t="shared" si="2"/>
        <v>827.61</v>
      </c>
      <c r="J1074" s="16">
        <f t="shared" si="3"/>
        <v>58.08998838</v>
      </c>
      <c r="K1074" s="16">
        <f t="shared" si="4"/>
        <v>885.6999884</v>
      </c>
      <c r="L1074" s="16">
        <f t="shared" si="5"/>
        <v>769.5200116</v>
      </c>
      <c r="N1074" s="17" t="str">
        <f t="shared" si="6"/>
        <v>F</v>
      </c>
      <c r="O1074" s="17" t="str">
        <f t="shared" si="7"/>
        <v>F</v>
      </c>
      <c r="P1074" s="8">
        <f t="shared" si="8"/>
        <v>0</v>
      </c>
      <c r="R1074" s="17" t="str">
        <f t="shared" si="9"/>
        <v>F</v>
      </c>
      <c r="S1074" s="3" t="str">
        <f t="shared" si="10"/>
        <v>T</v>
      </c>
      <c r="T1074" s="8">
        <f t="shared" si="11"/>
        <v>0</v>
      </c>
      <c r="V1074" s="4">
        <f t="shared" si="12"/>
        <v>0</v>
      </c>
      <c r="W1074" s="8">
        <f t="shared" si="13"/>
        <v>-22.9</v>
      </c>
      <c r="X1074" s="8">
        <f t="shared" si="14"/>
        <v>0</v>
      </c>
      <c r="Y1074" s="8">
        <f t="shared" si="15"/>
        <v>1452.12</v>
      </c>
    </row>
    <row r="1075">
      <c r="A1075" s="2">
        <v>1068.0</v>
      </c>
      <c r="B1075" s="15">
        <f>IFERROR(__xludf.DUMMYFUNCTION("""COMPUTED_VALUE"""),43957.64583333333)</f>
        <v>43957.64583</v>
      </c>
      <c r="C1075" s="8">
        <f>IFERROR(__xludf.DUMMYFUNCTION("""COMPUTED_VALUE"""),1732.15)</f>
        <v>1732.15</v>
      </c>
      <c r="E1075" s="15">
        <f>IFERROR(__xludf.DUMMYFUNCTION("""COMPUTED_VALUE"""),43957.64583333333)</f>
        <v>43957.64583</v>
      </c>
      <c r="F1075" s="8">
        <f>IFERROR(__xludf.DUMMYFUNCTION("""COMPUTED_VALUE"""),946.4)</f>
        <v>946.4</v>
      </c>
      <c r="H1075" s="4">
        <f t="shared" si="1"/>
        <v>785.75</v>
      </c>
      <c r="I1075" s="16">
        <f t="shared" si="2"/>
        <v>827.88</v>
      </c>
      <c r="J1075" s="16">
        <f t="shared" si="3"/>
        <v>57.84154649</v>
      </c>
      <c r="K1075" s="16">
        <f t="shared" si="4"/>
        <v>885.7215465</v>
      </c>
      <c r="L1075" s="16">
        <f t="shared" si="5"/>
        <v>770.0384535</v>
      </c>
      <c r="N1075" s="17" t="str">
        <f t="shared" si="6"/>
        <v>F</v>
      </c>
      <c r="O1075" s="17" t="str">
        <f t="shared" si="7"/>
        <v>F</v>
      </c>
      <c r="P1075" s="8">
        <f t="shared" si="8"/>
        <v>0</v>
      </c>
      <c r="R1075" s="17" t="str">
        <f t="shared" si="9"/>
        <v>F</v>
      </c>
      <c r="S1075" s="3" t="str">
        <f t="shared" si="10"/>
        <v>T</v>
      </c>
      <c r="T1075" s="8">
        <f t="shared" si="11"/>
        <v>0</v>
      </c>
      <c r="V1075" s="4">
        <f t="shared" si="12"/>
        <v>0</v>
      </c>
      <c r="W1075" s="8">
        <f t="shared" si="13"/>
        <v>7.3</v>
      </c>
      <c r="X1075" s="8">
        <f t="shared" si="14"/>
        <v>0</v>
      </c>
      <c r="Y1075" s="8">
        <f t="shared" si="15"/>
        <v>1452.12</v>
      </c>
    </row>
    <row r="1076">
      <c r="A1076" s="2">
        <v>1069.0</v>
      </c>
      <c r="B1076" s="15">
        <f>IFERROR(__xludf.DUMMYFUNCTION("""COMPUTED_VALUE"""),43958.64583333333)</f>
        <v>43958.64583</v>
      </c>
      <c r="C1076" s="8">
        <f>IFERROR(__xludf.DUMMYFUNCTION("""COMPUTED_VALUE"""),1703.9)</f>
        <v>1703.9</v>
      </c>
      <c r="E1076" s="15">
        <f>IFERROR(__xludf.DUMMYFUNCTION("""COMPUTED_VALUE"""),43958.64583333333)</f>
        <v>43958.64583</v>
      </c>
      <c r="F1076" s="8">
        <f>IFERROR(__xludf.DUMMYFUNCTION("""COMPUTED_VALUE"""),925.0)</f>
        <v>925</v>
      </c>
      <c r="H1076" s="4">
        <f t="shared" si="1"/>
        <v>778.9</v>
      </c>
      <c r="I1076" s="16">
        <f t="shared" si="2"/>
        <v>811.73</v>
      </c>
      <c r="J1076" s="16">
        <f t="shared" si="3"/>
        <v>58.02622898</v>
      </c>
      <c r="K1076" s="16">
        <f t="shared" si="4"/>
        <v>869.756229</v>
      </c>
      <c r="L1076" s="16">
        <f t="shared" si="5"/>
        <v>753.703771</v>
      </c>
      <c r="N1076" s="17" t="str">
        <f t="shared" si="6"/>
        <v>F</v>
      </c>
      <c r="O1076" s="17" t="str">
        <f t="shared" si="7"/>
        <v>F</v>
      </c>
      <c r="P1076" s="8">
        <f t="shared" si="8"/>
        <v>0</v>
      </c>
      <c r="R1076" s="17" t="str">
        <f t="shared" si="9"/>
        <v>F</v>
      </c>
      <c r="S1076" s="3" t="str">
        <f t="shared" si="10"/>
        <v>T</v>
      </c>
      <c r="T1076" s="8">
        <f t="shared" si="11"/>
        <v>0</v>
      </c>
      <c r="V1076" s="4">
        <f t="shared" si="12"/>
        <v>0</v>
      </c>
      <c r="W1076" s="8">
        <f t="shared" si="13"/>
        <v>-6.85</v>
      </c>
      <c r="X1076" s="8">
        <f t="shared" si="14"/>
        <v>0</v>
      </c>
      <c r="Y1076" s="8">
        <f t="shared" si="15"/>
        <v>1452.12</v>
      </c>
    </row>
    <row r="1077">
      <c r="A1077" s="2">
        <v>1070.0</v>
      </c>
      <c r="B1077" s="15">
        <f>IFERROR(__xludf.DUMMYFUNCTION("""COMPUTED_VALUE"""),43959.64583333333)</f>
        <v>43959.64583</v>
      </c>
      <c r="C1077" s="8">
        <f>IFERROR(__xludf.DUMMYFUNCTION("""COMPUTED_VALUE"""),1689.7)</f>
        <v>1689.7</v>
      </c>
      <c r="E1077" s="15">
        <f>IFERROR(__xludf.DUMMYFUNCTION("""COMPUTED_VALUE"""),43959.64583333333)</f>
        <v>43959.64583</v>
      </c>
      <c r="F1077" s="8">
        <f>IFERROR(__xludf.DUMMYFUNCTION("""COMPUTED_VALUE"""),929.05)</f>
        <v>929.05</v>
      </c>
      <c r="H1077" s="4">
        <f t="shared" si="1"/>
        <v>760.65</v>
      </c>
      <c r="I1077" s="16">
        <f t="shared" si="2"/>
        <v>781.02</v>
      </c>
      <c r="J1077" s="16">
        <f t="shared" si="3"/>
        <v>14.67751682</v>
      </c>
      <c r="K1077" s="16">
        <f t="shared" si="4"/>
        <v>795.6975168</v>
      </c>
      <c r="L1077" s="16">
        <f t="shared" si="5"/>
        <v>766.3424832</v>
      </c>
      <c r="N1077" s="17" t="str">
        <f t="shared" si="6"/>
        <v>T</v>
      </c>
      <c r="O1077" s="17" t="str">
        <f t="shared" si="7"/>
        <v>F</v>
      </c>
      <c r="P1077" s="8">
        <f t="shared" si="8"/>
        <v>1</v>
      </c>
      <c r="R1077" s="17" t="str">
        <f t="shared" si="9"/>
        <v>F</v>
      </c>
      <c r="S1077" s="3" t="str">
        <f t="shared" si="10"/>
        <v>T</v>
      </c>
      <c r="T1077" s="8">
        <f t="shared" si="11"/>
        <v>0</v>
      </c>
      <c r="V1077" s="4">
        <f t="shared" si="12"/>
        <v>1</v>
      </c>
      <c r="W1077" s="8">
        <f t="shared" si="13"/>
        <v>-18.25</v>
      </c>
      <c r="X1077" s="8">
        <f t="shared" si="14"/>
        <v>0</v>
      </c>
      <c r="Y1077" s="8">
        <f t="shared" si="15"/>
        <v>1452.12</v>
      </c>
    </row>
    <row r="1078">
      <c r="A1078" s="2">
        <v>1071.0</v>
      </c>
      <c r="B1078" s="15">
        <f>IFERROR(__xludf.DUMMYFUNCTION("""COMPUTED_VALUE"""),43962.64583333333)</f>
        <v>43962.64583</v>
      </c>
      <c r="C1078" s="8">
        <f>IFERROR(__xludf.DUMMYFUNCTION("""COMPUTED_VALUE"""),1658.45)</f>
        <v>1658.45</v>
      </c>
      <c r="E1078" s="15">
        <f>IFERROR(__xludf.DUMMYFUNCTION("""COMPUTED_VALUE"""),43962.64583333333)</f>
        <v>43962.64583</v>
      </c>
      <c r="F1078" s="8">
        <f>IFERROR(__xludf.DUMMYFUNCTION("""COMPUTED_VALUE"""),915.8)</f>
        <v>915.8</v>
      </c>
      <c r="H1078" s="4">
        <f t="shared" si="1"/>
        <v>742.65</v>
      </c>
      <c r="I1078" s="16">
        <f t="shared" si="2"/>
        <v>769.28</v>
      </c>
      <c r="J1078" s="16">
        <f t="shared" si="3"/>
        <v>17.54656662</v>
      </c>
      <c r="K1078" s="16">
        <f t="shared" si="4"/>
        <v>786.8265666</v>
      </c>
      <c r="L1078" s="16">
        <f t="shared" si="5"/>
        <v>751.7334334</v>
      </c>
      <c r="N1078" s="17" t="str">
        <f t="shared" si="6"/>
        <v>T</v>
      </c>
      <c r="O1078" s="17" t="str">
        <f t="shared" si="7"/>
        <v>F</v>
      </c>
      <c r="P1078" s="8">
        <f t="shared" si="8"/>
        <v>1</v>
      </c>
      <c r="R1078" s="17" t="str">
        <f t="shared" si="9"/>
        <v>F</v>
      </c>
      <c r="S1078" s="3" t="str">
        <f t="shared" si="10"/>
        <v>T</v>
      </c>
      <c r="T1078" s="8">
        <f t="shared" si="11"/>
        <v>0</v>
      </c>
      <c r="V1078" s="4">
        <f t="shared" si="12"/>
        <v>1</v>
      </c>
      <c r="W1078" s="8">
        <f t="shared" si="13"/>
        <v>-18</v>
      </c>
      <c r="X1078" s="8">
        <f t="shared" si="14"/>
        <v>-18</v>
      </c>
      <c r="Y1078" s="8">
        <f t="shared" si="15"/>
        <v>1434.12</v>
      </c>
    </row>
    <row r="1079">
      <c r="A1079" s="2">
        <v>1072.0</v>
      </c>
      <c r="B1079" s="15">
        <f>IFERROR(__xludf.DUMMYFUNCTION("""COMPUTED_VALUE"""),43963.64583333333)</f>
        <v>43963.64583</v>
      </c>
      <c r="C1079" s="8">
        <f>IFERROR(__xludf.DUMMYFUNCTION("""COMPUTED_VALUE"""),1674.1)</f>
        <v>1674.1</v>
      </c>
      <c r="E1079" s="15">
        <f>IFERROR(__xludf.DUMMYFUNCTION("""COMPUTED_VALUE"""),43963.64583333333)</f>
        <v>43963.64583</v>
      </c>
      <c r="F1079" s="8">
        <f>IFERROR(__xludf.DUMMYFUNCTION("""COMPUTED_VALUE"""),901.55)</f>
        <v>901.55</v>
      </c>
      <c r="H1079" s="4">
        <f t="shared" si="1"/>
        <v>772.55</v>
      </c>
      <c r="I1079" s="16">
        <f t="shared" si="2"/>
        <v>768.1</v>
      </c>
      <c r="J1079" s="16">
        <f t="shared" si="3"/>
        <v>16.96444812</v>
      </c>
      <c r="K1079" s="16">
        <f t="shared" si="4"/>
        <v>785.0644481</v>
      </c>
      <c r="L1079" s="16">
        <f t="shared" si="5"/>
        <v>751.1355519</v>
      </c>
      <c r="N1079" s="17" t="str">
        <f t="shared" si="6"/>
        <v>F</v>
      </c>
      <c r="O1079" s="17" t="str">
        <f t="shared" si="7"/>
        <v>T</v>
      </c>
      <c r="P1079" s="8">
        <f t="shared" si="8"/>
        <v>0</v>
      </c>
      <c r="R1079" s="17" t="str">
        <f t="shared" si="9"/>
        <v>F</v>
      </c>
      <c r="S1079" s="3" t="str">
        <f t="shared" si="10"/>
        <v>F</v>
      </c>
      <c r="T1079" s="8">
        <f t="shared" si="11"/>
        <v>0</v>
      </c>
      <c r="V1079" s="4">
        <f t="shared" si="12"/>
        <v>0</v>
      </c>
      <c r="W1079" s="8">
        <f t="shared" si="13"/>
        <v>29.9</v>
      </c>
      <c r="X1079" s="8">
        <f t="shared" si="14"/>
        <v>29.9</v>
      </c>
      <c r="Y1079" s="8">
        <f t="shared" si="15"/>
        <v>1464.02</v>
      </c>
    </row>
    <row r="1080">
      <c r="A1080" s="2">
        <v>1073.0</v>
      </c>
      <c r="B1080" s="15">
        <f>IFERROR(__xludf.DUMMYFUNCTION("""COMPUTED_VALUE"""),43964.64583333333)</f>
        <v>43964.64583</v>
      </c>
      <c r="C1080" s="8">
        <f>IFERROR(__xludf.DUMMYFUNCTION("""COMPUTED_VALUE"""),1712.75)</f>
        <v>1712.75</v>
      </c>
      <c r="E1080" s="15">
        <f>IFERROR(__xludf.DUMMYFUNCTION("""COMPUTED_VALUE"""),43964.64583333333)</f>
        <v>43964.64583</v>
      </c>
      <c r="F1080" s="8">
        <f>IFERROR(__xludf.DUMMYFUNCTION("""COMPUTED_VALUE"""),927.65)</f>
        <v>927.65</v>
      </c>
      <c r="H1080" s="4">
        <f t="shared" si="1"/>
        <v>785.1</v>
      </c>
      <c r="I1080" s="16">
        <f t="shared" si="2"/>
        <v>767.97</v>
      </c>
      <c r="J1080" s="16">
        <f t="shared" si="3"/>
        <v>16.79704587</v>
      </c>
      <c r="K1080" s="16">
        <f t="shared" si="4"/>
        <v>784.7670459</v>
      </c>
      <c r="L1080" s="16">
        <f t="shared" si="5"/>
        <v>751.1729541</v>
      </c>
      <c r="N1080" s="17" t="str">
        <f t="shared" si="6"/>
        <v>F</v>
      </c>
      <c r="O1080" s="17" t="str">
        <f t="shared" si="7"/>
        <v>T</v>
      </c>
      <c r="P1080" s="8">
        <f t="shared" si="8"/>
        <v>0</v>
      </c>
      <c r="R1080" s="17" t="str">
        <f t="shared" si="9"/>
        <v>T</v>
      </c>
      <c r="S1080" s="3" t="str">
        <f t="shared" si="10"/>
        <v>F</v>
      </c>
      <c r="T1080" s="8">
        <f t="shared" si="11"/>
        <v>-1</v>
      </c>
      <c r="V1080" s="4">
        <f t="shared" si="12"/>
        <v>-1</v>
      </c>
      <c r="W1080" s="8">
        <f t="shared" si="13"/>
        <v>12.55</v>
      </c>
      <c r="X1080" s="8">
        <f t="shared" si="14"/>
        <v>0</v>
      </c>
      <c r="Y1080" s="8">
        <f t="shared" si="15"/>
        <v>1464.02</v>
      </c>
    </row>
    <row r="1081">
      <c r="A1081" s="2">
        <v>1074.0</v>
      </c>
      <c r="B1081" s="15">
        <f>IFERROR(__xludf.DUMMYFUNCTION("""COMPUTED_VALUE"""),43965.64583333333)</f>
        <v>43965.64583</v>
      </c>
      <c r="C1081" s="8">
        <f>IFERROR(__xludf.DUMMYFUNCTION("""COMPUTED_VALUE"""),1632.4)</f>
        <v>1632.4</v>
      </c>
      <c r="E1081" s="15">
        <f>IFERROR(__xludf.DUMMYFUNCTION("""COMPUTED_VALUE"""),43965.64583333333)</f>
        <v>43965.64583</v>
      </c>
      <c r="F1081" s="8">
        <f>IFERROR(__xludf.DUMMYFUNCTION("""COMPUTED_VALUE"""),893.7)</f>
        <v>893.7</v>
      </c>
      <c r="H1081" s="4">
        <f t="shared" si="1"/>
        <v>738.7</v>
      </c>
      <c r="I1081" s="16">
        <f t="shared" si="2"/>
        <v>759.93</v>
      </c>
      <c r="J1081" s="16">
        <f t="shared" si="3"/>
        <v>19.63811982</v>
      </c>
      <c r="K1081" s="16">
        <f t="shared" si="4"/>
        <v>779.5681198</v>
      </c>
      <c r="L1081" s="16">
        <f t="shared" si="5"/>
        <v>740.2918802</v>
      </c>
      <c r="N1081" s="17" t="str">
        <f t="shared" si="6"/>
        <v>T</v>
      </c>
      <c r="O1081" s="17" t="str">
        <f t="shared" si="7"/>
        <v>F</v>
      </c>
      <c r="P1081" s="8">
        <f t="shared" si="8"/>
        <v>1</v>
      </c>
      <c r="R1081" s="17" t="str">
        <f t="shared" si="9"/>
        <v>F</v>
      </c>
      <c r="S1081" s="3" t="str">
        <f t="shared" si="10"/>
        <v>T</v>
      </c>
      <c r="T1081" s="8">
        <f t="shared" si="11"/>
        <v>0</v>
      </c>
      <c r="V1081" s="4">
        <f t="shared" si="12"/>
        <v>1</v>
      </c>
      <c r="W1081" s="8">
        <f t="shared" si="13"/>
        <v>-46.4</v>
      </c>
      <c r="X1081" s="8">
        <f t="shared" si="14"/>
        <v>46.4</v>
      </c>
      <c r="Y1081" s="8">
        <f t="shared" si="15"/>
        <v>1510.42</v>
      </c>
    </row>
    <row r="1082">
      <c r="A1082" s="2">
        <v>1075.0</v>
      </c>
      <c r="B1082" s="15">
        <f>IFERROR(__xludf.DUMMYFUNCTION("""COMPUTED_VALUE"""),43966.64583333333)</f>
        <v>43966.64583</v>
      </c>
      <c r="C1082" s="8">
        <f>IFERROR(__xludf.DUMMYFUNCTION("""COMPUTED_VALUE"""),1633.8)</f>
        <v>1633.8</v>
      </c>
      <c r="E1082" s="15">
        <f>IFERROR(__xludf.DUMMYFUNCTION("""COMPUTED_VALUE"""),43966.64583333333)</f>
        <v>43966.64583</v>
      </c>
      <c r="F1082" s="8">
        <f>IFERROR(__xludf.DUMMYFUNCTION("""COMPUTED_VALUE"""),888.15)</f>
        <v>888.15</v>
      </c>
      <c r="H1082" s="4">
        <f t="shared" si="1"/>
        <v>745.65</v>
      </c>
      <c r="I1082" s="16">
        <f t="shared" si="2"/>
        <v>756.93</v>
      </c>
      <c r="J1082" s="16">
        <f t="shared" si="3"/>
        <v>20.62173004</v>
      </c>
      <c r="K1082" s="16">
        <f t="shared" si="4"/>
        <v>777.55173</v>
      </c>
      <c r="L1082" s="16">
        <f t="shared" si="5"/>
        <v>736.30827</v>
      </c>
      <c r="N1082" s="17" t="str">
        <f t="shared" si="6"/>
        <v>F</v>
      </c>
      <c r="O1082" s="17" t="str">
        <f t="shared" si="7"/>
        <v>F</v>
      </c>
      <c r="P1082" s="8">
        <f t="shared" si="8"/>
        <v>1</v>
      </c>
      <c r="R1082" s="17" t="str">
        <f t="shared" si="9"/>
        <v>F</v>
      </c>
      <c r="S1082" s="3" t="str">
        <f t="shared" si="10"/>
        <v>T</v>
      </c>
      <c r="T1082" s="8">
        <f t="shared" si="11"/>
        <v>0</v>
      </c>
      <c r="V1082" s="4">
        <f t="shared" si="12"/>
        <v>1</v>
      </c>
      <c r="W1082" s="8">
        <f t="shared" si="13"/>
        <v>6.95</v>
      </c>
      <c r="X1082" s="8">
        <f t="shared" si="14"/>
        <v>6.95</v>
      </c>
      <c r="Y1082" s="8">
        <f t="shared" si="15"/>
        <v>1517.37</v>
      </c>
    </row>
    <row r="1083">
      <c r="A1083" s="2">
        <v>1076.0</v>
      </c>
      <c r="B1083" s="15">
        <f>IFERROR(__xludf.DUMMYFUNCTION("""COMPUTED_VALUE"""),43969.64583333333)</f>
        <v>43969.64583</v>
      </c>
      <c r="C1083" s="8">
        <f>IFERROR(__xludf.DUMMYFUNCTION("""COMPUTED_VALUE"""),1512.05)</f>
        <v>1512.05</v>
      </c>
      <c r="E1083" s="15">
        <f>IFERROR(__xludf.DUMMYFUNCTION("""COMPUTED_VALUE"""),43969.64583333333)</f>
        <v>43969.64583</v>
      </c>
      <c r="F1083" s="8">
        <f>IFERROR(__xludf.DUMMYFUNCTION("""COMPUTED_VALUE"""),836.65)</f>
        <v>836.65</v>
      </c>
      <c r="H1083" s="4">
        <f t="shared" si="1"/>
        <v>675.4</v>
      </c>
      <c r="I1083" s="16">
        <f t="shared" si="2"/>
        <v>743.48</v>
      </c>
      <c r="J1083" s="16">
        <f t="shared" si="3"/>
        <v>42.54331028</v>
      </c>
      <c r="K1083" s="16">
        <f t="shared" si="4"/>
        <v>786.0233103</v>
      </c>
      <c r="L1083" s="16">
        <f t="shared" si="5"/>
        <v>700.9366897</v>
      </c>
      <c r="N1083" s="17" t="str">
        <f t="shared" si="6"/>
        <v>T</v>
      </c>
      <c r="O1083" s="17" t="str">
        <f t="shared" si="7"/>
        <v>F</v>
      </c>
      <c r="P1083" s="8">
        <f t="shared" si="8"/>
        <v>1</v>
      </c>
      <c r="R1083" s="17" t="str">
        <f t="shared" si="9"/>
        <v>F</v>
      </c>
      <c r="S1083" s="3" t="str">
        <f t="shared" si="10"/>
        <v>T</v>
      </c>
      <c r="T1083" s="8">
        <f t="shared" si="11"/>
        <v>0</v>
      </c>
      <c r="V1083" s="4">
        <f t="shared" si="12"/>
        <v>1</v>
      </c>
      <c r="W1083" s="8">
        <f t="shared" si="13"/>
        <v>-70.25</v>
      </c>
      <c r="X1083" s="8">
        <f t="shared" si="14"/>
        <v>-70.25</v>
      </c>
      <c r="Y1083" s="8">
        <f t="shared" si="15"/>
        <v>1447.12</v>
      </c>
    </row>
    <row r="1084">
      <c r="A1084" s="2">
        <v>1077.0</v>
      </c>
      <c r="B1084" s="15">
        <f>IFERROR(__xludf.DUMMYFUNCTION("""COMPUTED_VALUE"""),43970.64583333333)</f>
        <v>43970.64583</v>
      </c>
      <c r="C1084" s="8">
        <f>IFERROR(__xludf.DUMMYFUNCTION("""COMPUTED_VALUE"""),1539.85)</f>
        <v>1539.85</v>
      </c>
      <c r="E1084" s="15">
        <f>IFERROR(__xludf.DUMMYFUNCTION("""COMPUTED_VALUE"""),43970.64583333333)</f>
        <v>43970.64583</v>
      </c>
      <c r="F1084" s="8">
        <f>IFERROR(__xludf.DUMMYFUNCTION("""COMPUTED_VALUE"""),830.65)</f>
        <v>830.65</v>
      </c>
      <c r="H1084" s="4">
        <f t="shared" si="1"/>
        <v>709.2</v>
      </c>
      <c r="I1084" s="16">
        <f t="shared" si="2"/>
        <v>730.81</v>
      </c>
      <c r="J1084" s="16">
        <f t="shared" si="3"/>
        <v>41.13132018</v>
      </c>
      <c r="K1084" s="16">
        <f t="shared" si="4"/>
        <v>771.9413202</v>
      </c>
      <c r="L1084" s="16">
        <f t="shared" si="5"/>
        <v>689.6786798</v>
      </c>
      <c r="N1084" s="17" t="str">
        <f t="shared" si="6"/>
        <v>F</v>
      </c>
      <c r="O1084" s="17" t="str">
        <f t="shared" si="7"/>
        <v>F</v>
      </c>
      <c r="P1084" s="8">
        <f t="shared" si="8"/>
        <v>1</v>
      </c>
      <c r="R1084" s="17" t="str">
        <f t="shared" si="9"/>
        <v>F</v>
      </c>
      <c r="S1084" s="3" t="str">
        <f t="shared" si="10"/>
        <v>T</v>
      </c>
      <c r="T1084" s="8">
        <f t="shared" si="11"/>
        <v>0</v>
      </c>
      <c r="V1084" s="4">
        <f t="shared" si="12"/>
        <v>1</v>
      </c>
      <c r="W1084" s="8">
        <f t="shared" si="13"/>
        <v>33.8</v>
      </c>
      <c r="X1084" s="8">
        <f t="shared" si="14"/>
        <v>33.8</v>
      </c>
      <c r="Y1084" s="8">
        <f t="shared" si="15"/>
        <v>1480.92</v>
      </c>
    </row>
    <row r="1085">
      <c r="A1085" s="2">
        <v>1078.0</v>
      </c>
      <c r="B1085" s="15">
        <f>IFERROR(__xludf.DUMMYFUNCTION("""COMPUTED_VALUE"""),43971.64583333333)</f>
        <v>43971.64583</v>
      </c>
      <c r="C1085" s="8">
        <f>IFERROR(__xludf.DUMMYFUNCTION("""COMPUTED_VALUE"""),1627.0)</f>
        <v>1627</v>
      </c>
      <c r="E1085" s="15">
        <f>IFERROR(__xludf.DUMMYFUNCTION("""COMPUTED_VALUE"""),43971.64583333333)</f>
        <v>43971.64583</v>
      </c>
      <c r="F1085" s="8">
        <f>IFERROR(__xludf.DUMMYFUNCTION("""COMPUTED_VALUE"""),857.1)</f>
        <v>857.1</v>
      </c>
      <c r="H1085" s="4">
        <f t="shared" si="1"/>
        <v>769.9</v>
      </c>
      <c r="I1085" s="16">
        <f t="shared" si="2"/>
        <v>727.77</v>
      </c>
      <c r="J1085" s="16">
        <f t="shared" si="3"/>
        <v>36.40589925</v>
      </c>
      <c r="K1085" s="16">
        <f t="shared" si="4"/>
        <v>764.1758992</v>
      </c>
      <c r="L1085" s="16">
        <f t="shared" si="5"/>
        <v>691.3641008</v>
      </c>
      <c r="N1085" s="17" t="str">
        <f t="shared" si="6"/>
        <v>F</v>
      </c>
      <c r="O1085" s="17" t="str">
        <f t="shared" si="7"/>
        <v>T</v>
      </c>
      <c r="P1085" s="8">
        <f t="shared" si="8"/>
        <v>0</v>
      </c>
      <c r="R1085" s="17" t="str">
        <f t="shared" si="9"/>
        <v>T</v>
      </c>
      <c r="S1085" s="3" t="str">
        <f t="shared" si="10"/>
        <v>F</v>
      </c>
      <c r="T1085" s="8">
        <f t="shared" si="11"/>
        <v>-1</v>
      </c>
      <c r="V1085" s="4">
        <f t="shared" si="12"/>
        <v>-1</v>
      </c>
      <c r="W1085" s="8">
        <f t="shared" si="13"/>
        <v>60.7</v>
      </c>
      <c r="X1085" s="8">
        <f t="shared" si="14"/>
        <v>60.7</v>
      </c>
      <c r="Y1085" s="8">
        <f t="shared" si="15"/>
        <v>1541.62</v>
      </c>
    </row>
    <row r="1086">
      <c r="A1086" s="2">
        <v>1079.0</v>
      </c>
      <c r="B1086" s="15">
        <f>IFERROR(__xludf.DUMMYFUNCTION("""COMPUTED_VALUE"""),43972.64583333333)</f>
        <v>43972.64583</v>
      </c>
      <c r="C1086" s="8">
        <f>IFERROR(__xludf.DUMMYFUNCTION("""COMPUTED_VALUE"""),1597.3)</f>
        <v>1597.3</v>
      </c>
      <c r="E1086" s="15">
        <f>IFERROR(__xludf.DUMMYFUNCTION("""COMPUTED_VALUE"""),43972.64583333333)</f>
        <v>43972.64583</v>
      </c>
      <c r="F1086" s="8">
        <f>IFERROR(__xludf.DUMMYFUNCTION("""COMPUTED_VALUE"""),859.55)</f>
        <v>859.55</v>
      </c>
      <c r="H1086" s="4">
        <f t="shared" si="1"/>
        <v>737.75</v>
      </c>
      <c r="I1086" s="16">
        <f t="shared" si="2"/>
        <v>727.58</v>
      </c>
      <c r="J1086" s="16">
        <f t="shared" si="3"/>
        <v>36.33700937</v>
      </c>
      <c r="K1086" s="16">
        <f t="shared" si="4"/>
        <v>763.9170094</v>
      </c>
      <c r="L1086" s="16">
        <f t="shared" si="5"/>
        <v>691.2429906</v>
      </c>
      <c r="N1086" s="17" t="str">
        <f t="shared" si="6"/>
        <v>F</v>
      </c>
      <c r="O1086" s="17" t="str">
        <f t="shared" si="7"/>
        <v>T</v>
      </c>
      <c r="P1086" s="8">
        <f t="shared" si="8"/>
        <v>0</v>
      </c>
      <c r="R1086" s="17" t="str">
        <f t="shared" si="9"/>
        <v>F</v>
      </c>
      <c r="S1086" s="3" t="str">
        <f t="shared" si="10"/>
        <v>F</v>
      </c>
      <c r="T1086" s="8">
        <f t="shared" si="11"/>
        <v>-1</v>
      </c>
      <c r="V1086" s="4">
        <f t="shared" si="12"/>
        <v>-1</v>
      </c>
      <c r="W1086" s="8">
        <f t="shared" si="13"/>
        <v>-32.15</v>
      </c>
      <c r="X1086" s="8">
        <f t="shared" si="14"/>
        <v>32.15</v>
      </c>
      <c r="Y1086" s="8">
        <f t="shared" si="15"/>
        <v>1573.77</v>
      </c>
    </row>
    <row r="1087">
      <c r="A1087" s="2">
        <v>1080.0</v>
      </c>
      <c r="B1087" s="15">
        <f>IFERROR(__xludf.DUMMYFUNCTION("""COMPUTED_VALUE"""),43973.64583333333)</f>
        <v>43973.64583</v>
      </c>
      <c r="C1087" s="8">
        <f>IFERROR(__xludf.DUMMYFUNCTION("""COMPUTED_VALUE"""),1516.15)</f>
        <v>1516.15</v>
      </c>
      <c r="E1087" s="15">
        <f>IFERROR(__xludf.DUMMYFUNCTION("""COMPUTED_VALUE"""),43973.64583333333)</f>
        <v>43973.64583</v>
      </c>
      <c r="F1087" s="8">
        <f>IFERROR(__xludf.DUMMYFUNCTION("""COMPUTED_VALUE"""),838.85)</f>
        <v>838.85</v>
      </c>
      <c r="H1087" s="4">
        <f t="shared" si="1"/>
        <v>677.3</v>
      </c>
      <c r="I1087" s="16">
        <f t="shared" si="2"/>
        <v>713.91</v>
      </c>
      <c r="J1087" s="16">
        <f t="shared" si="3"/>
        <v>40.46208719</v>
      </c>
      <c r="K1087" s="16">
        <f t="shared" si="4"/>
        <v>754.3720872</v>
      </c>
      <c r="L1087" s="16">
        <f t="shared" si="5"/>
        <v>673.4479128</v>
      </c>
      <c r="N1087" s="17" t="str">
        <f t="shared" si="6"/>
        <v>F</v>
      </c>
      <c r="O1087" s="17" t="str">
        <f t="shared" si="7"/>
        <v>F</v>
      </c>
      <c r="P1087" s="8">
        <f t="shared" si="8"/>
        <v>0</v>
      </c>
      <c r="R1087" s="17" t="str">
        <f t="shared" si="9"/>
        <v>F</v>
      </c>
      <c r="S1087" s="3" t="str">
        <f t="shared" si="10"/>
        <v>T</v>
      </c>
      <c r="T1087" s="8">
        <f t="shared" si="11"/>
        <v>0</v>
      </c>
      <c r="V1087" s="4">
        <f t="shared" si="12"/>
        <v>0</v>
      </c>
      <c r="W1087" s="8">
        <f t="shared" si="13"/>
        <v>-60.45</v>
      </c>
      <c r="X1087" s="8">
        <f t="shared" si="14"/>
        <v>60.45</v>
      </c>
      <c r="Y1087" s="8">
        <f t="shared" si="15"/>
        <v>1634.22</v>
      </c>
    </row>
    <row r="1088">
      <c r="A1088" s="2">
        <v>1081.0</v>
      </c>
      <c r="B1088" s="15">
        <f>IFERROR(__xludf.DUMMYFUNCTION("""COMPUTED_VALUE"""),43977.64583333333)</f>
        <v>43977.64583</v>
      </c>
      <c r="C1088" s="8">
        <f>IFERROR(__xludf.DUMMYFUNCTION("""COMPUTED_VALUE"""),1502.15)</f>
        <v>1502.15</v>
      </c>
      <c r="E1088" s="15">
        <f>IFERROR(__xludf.DUMMYFUNCTION("""COMPUTED_VALUE"""),43977.64583333333)</f>
        <v>43977.64583</v>
      </c>
      <c r="F1088" s="8">
        <f>IFERROR(__xludf.DUMMYFUNCTION("""COMPUTED_VALUE"""),852.4)</f>
        <v>852.4</v>
      </c>
      <c r="H1088" s="4">
        <f t="shared" si="1"/>
        <v>649.75</v>
      </c>
      <c r="I1088" s="16">
        <f t="shared" si="2"/>
        <v>708.78</v>
      </c>
      <c r="J1088" s="16">
        <f t="shared" si="3"/>
        <v>47.56738116</v>
      </c>
      <c r="K1088" s="16">
        <f t="shared" si="4"/>
        <v>756.3473812</v>
      </c>
      <c r="L1088" s="16">
        <f t="shared" si="5"/>
        <v>661.2126188</v>
      </c>
      <c r="N1088" s="17" t="str">
        <f t="shared" si="6"/>
        <v>T</v>
      </c>
      <c r="O1088" s="17" t="str">
        <f t="shared" si="7"/>
        <v>F</v>
      </c>
      <c r="P1088" s="8">
        <f t="shared" si="8"/>
        <v>1</v>
      </c>
      <c r="R1088" s="17" t="str">
        <f t="shared" si="9"/>
        <v>F</v>
      </c>
      <c r="S1088" s="3" t="str">
        <f t="shared" si="10"/>
        <v>T</v>
      </c>
      <c r="T1088" s="8">
        <f t="shared" si="11"/>
        <v>0</v>
      </c>
      <c r="V1088" s="4">
        <f t="shared" si="12"/>
        <v>1</v>
      </c>
      <c r="W1088" s="8">
        <f t="shared" si="13"/>
        <v>-27.55</v>
      </c>
      <c r="X1088" s="8">
        <f t="shared" si="14"/>
        <v>0</v>
      </c>
      <c r="Y1088" s="8">
        <f t="shared" si="15"/>
        <v>1634.22</v>
      </c>
    </row>
    <row r="1089">
      <c r="A1089" s="2">
        <v>1082.0</v>
      </c>
      <c r="B1089" s="15">
        <f>IFERROR(__xludf.DUMMYFUNCTION("""COMPUTED_VALUE"""),43978.64583333333)</f>
        <v>43978.64583</v>
      </c>
      <c r="C1089" s="8">
        <f>IFERROR(__xludf.DUMMYFUNCTION("""COMPUTED_VALUE"""),1570.4)</f>
        <v>1570.4</v>
      </c>
      <c r="E1089" s="15">
        <f>IFERROR(__xludf.DUMMYFUNCTION("""COMPUTED_VALUE"""),43978.64583333333)</f>
        <v>43978.64583</v>
      </c>
      <c r="F1089" s="8">
        <f>IFERROR(__xludf.DUMMYFUNCTION("""COMPUTED_VALUE"""),903.65)</f>
        <v>903.65</v>
      </c>
      <c r="H1089" s="4">
        <f t="shared" si="1"/>
        <v>666.75</v>
      </c>
      <c r="I1089" s="16">
        <f t="shared" si="2"/>
        <v>700.29</v>
      </c>
      <c r="J1089" s="16">
        <f t="shared" si="3"/>
        <v>51.12867835</v>
      </c>
      <c r="K1089" s="16">
        <f t="shared" si="4"/>
        <v>751.4186784</v>
      </c>
      <c r="L1089" s="16">
        <f t="shared" si="5"/>
        <v>649.1613216</v>
      </c>
      <c r="N1089" s="17" t="str">
        <f t="shared" si="6"/>
        <v>F</v>
      </c>
      <c r="O1089" s="17" t="str">
        <f t="shared" si="7"/>
        <v>F</v>
      </c>
      <c r="P1089" s="8">
        <f t="shared" si="8"/>
        <v>1</v>
      </c>
      <c r="R1089" s="17" t="str">
        <f t="shared" si="9"/>
        <v>F</v>
      </c>
      <c r="S1089" s="3" t="str">
        <f t="shared" si="10"/>
        <v>T</v>
      </c>
      <c r="T1089" s="8">
        <f t="shared" si="11"/>
        <v>0</v>
      </c>
      <c r="V1089" s="4">
        <f t="shared" si="12"/>
        <v>1</v>
      </c>
      <c r="W1089" s="8">
        <f t="shared" si="13"/>
        <v>17</v>
      </c>
      <c r="X1089" s="8">
        <f t="shared" si="14"/>
        <v>17</v>
      </c>
      <c r="Y1089" s="8">
        <f t="shared" si="15"/>
        <v>1651.22</v>
      </c>
    </row>
    <row r="1090">
      <c r="A1090" s="2">
        <v>1083.0</v>
      </c>
      <c r="B1090" s="15">
        <f>IFERROR(__xludf.DUMMYFUNCTION("""COMPUTED_VALUE"""),43979.64583333333)</f>
        <v>43979.64583</v>
      </c>
      <c r="C1090" s="8">
        <f>IFERROR(__xludf.DUMMYFUNCTION("""COMPUTED_VALUE"""),1623.7)</f>
        <v>1623.7</v>
      </c>
      <c r="E1090" s="15">
        <f>IFERROR(__xludf.DUMMYFUNCTION("""COMPUTED_VALUE"""),43979.64583333333)</f>
        <v>43979.64583</v>
      </c>
      <c r="F1090" s="8">
        <f>IFERROR(__xludf.DUMMYFUNCTION("""COMPUTED_VALUE"""),945.25)</f>
        <v>945.25</v>
      </c>
      <c r="H1090" s="4">
        <f t="shared" si="1"/>
        <v>678.45</v>
      </c>
      <c r="I1090" s="16">
        <f t="shared" si="2"/>
        <v>682</v>
      </c>
      <c r="J1090" s="16">
        <f t="shared" si="3"/>
        <v>33.22416289</v>
      </c>
      <c r="K1090" s="16">
        <f t="shared" si="4"/>
        <v>715.2241629</v>
      </c>
      <c r="L1090" s="16">
        <f t="shared" si="5"/>
        <v>648.7758371</v>
      </c>
      <c r="N1090" s="17" t="str">
        <f t="shared" si="6"/>
        <v>F</v>
      </c>
      <c r="O1090" s="17" t="str">
        <f t="shared" si="7"/>
        <v>F</v>
      </c>
      <c r="P1090" s="8">
        <f t="shared" si="8"/>
        <v>1</v>
      </c>
      <c r="R1090" s="17" t="str">
        <f t="shared" si="9"/>
        <v>F</v>
      </c>
      <c r="S1090" s="3" t="str">
        <f t="shared" si="10"/>
        <v>T</v>
      </c>
      <c r="T1090" s="8">
        <f t="shared" si="11"/>
        <v>0</v>
      </c>
      <c r="V1090" s="4">
        <f t="shared" si="12"/>
        <v>1</v>
      </c>
      <c r="W1090" s="8">
        <f t="shared" si="13"/>
        <v>11.7</v>
      </c>
      <c r="X1090" s="8">
        <f t="shared" si="14"/>
        <v>11.7</v>
      </c>
      <c r="Y1090" s="8">
        <f t="shared" si="15"/>
        <v>1662.92</v>
      </c>
    </row>
    <row r="1091">
      <c r="A1091" s="2">
        <v>1084.0</v>
      </c>
      <c r="B1091" s="15">
        <f>IFERROR(__xludf.DUMMYFUNCTION("""COMPUTED_VALUE"""),43980.64583333333)</f>
        <v>43980.64583</v>
      </c>
      <c r="C1091" s="8">
        <f>IFERROR(__xludf.DUMMYFUNCTION("""COMPUTED_VALUE"""),1658.9)</f>
        <v>1658.9</v>
      </c>
      <c r="E1091" s="15">
        <f>IFERROR(__xludf.DUMMYFUNCTION("""COMPUTED_VALUE"""),43980.64583333333)</f>
        <v>43980.64583</v>
      </c>
      <c r="F1091" s="8">
        <f>IFERROR(__xludf.DUMMYFUNCTION("""COMPUTED_VALUE"""),951.65)</f>
        <v>951.65</v>
      </c>
      <c r="H1091" s="4">
        <f t="shared" si="1"/>
        <v>707.25</v>
      </c>
      <c r="I1091" s="16">
        <f t="shared" si="2"/>
        <v>675.9</v>
      </c>
      <c r="J1091" s="16">
        <f t="shared" si="3"/>
        <v>20.96920361</v>
      </c>
      <c r="K1091" s="16">
        <f t="shared" si="4"/>
        <v>696.8692036</v>
      </c>
      <c r="L1091" s="16">
        <f t="shared" si="5"/>
        <v>654.9307964</v>
      </c>
      <c r="N1091" s="17" t="str">
        <f t="shared" si="6"/>
        <v>F</v>
      </c>
      <c r="O1091" s="17" t="str">
        <f t="shared" si="7"/>
        <v>T</v>
      </c>
      <c r="P1091" s="8">
        <f t="shared" si="8"/>
        <v>0</v>
      </c>
      <c r="R1091" s="17" t="str">
        <f t="shared" si="9"/>
        <v>T</v>
      </c>
      <c r="S1091" s="3" t="str">
        <f t="shared" si="10"/>
        <v>F</v>
      </c>
      <c r="T1091" s="8">
        <f t="shared" si="11"/>
        <v>-1</v>
      </c>
      <c r="V1091" s="4">
        <f t="shared" si="12"/>
        <v>-1</v>
      </c>
      <c r="W1091" s="8">
        <f t="shared" si="13"/>
        <v>28.8</v>
      </c>
      <c r="X1091" s="8">
        <f t="shared" si="14"/>
        <v>28.8</v>
      </c>
      <c r="Y1091" s="8">
        <f t="shared" si="15"/>
        <v>1691.72</v>
      </c>
    </row>
    <row r="1092">
      <c r="A1092" s="2">
        <v>1085.0</v>
      </c>
      <c r="B1092" s="15">
        <f>IFERROR(__xludf.DUMMYFUNCTION("""COMPUTED_VALUE"""),43983.64583333333)</f>
        <v>43983.64583</v>
      </c>
      <c r="C1092" s="8">
        <f>IFERROR(__xludf.DUMMYFUNCTION("""COMPUTED_VALUE"""),1737.7)</f>
        <v>1737.7</v>
      </c>
      <c r="E1092" s="15">
        <f>IFERROR(__xludf.DUMMYFUNCTION("""COMPUTED_VALUE"""),43983.64583333333)</f>
        <v>43983.64583</v>
      </c>
      <c r="F1092" s="8">
        <f>IFERROR(__xludf.DUMMYFUNCTION("""COMPUTED_VALUE"""),987.65)</f>
        <v>987.65</v>
      </c>
      <c r="H1092" s="4">
        <f t="shared" si="1"/>
        <v>750.05</v>
      </c>
      <c r="I1092" s="16">
        <f t="shared" si="2"/>
        <v>690.45</v>
      </c>
      <c r="J1092" s="16">
        <f t="shared" si="3"/>
        <v>39.35917936</v>
      </c>
      <c r="K1092" s="16">
        <f t="shared" si="4"/>
        <v>729.8091794</v>
      </c>
      <c r="L1092" s="16">
        <f t="shared" si="5"/>
        <v>651.0908206</v>
      </c>
      <c r="N1092" s="17" t="str">
        <f t="shared" si="6"/>
        <v>F</v>
      </c>
      <c r="O1092" s="17" t="str">
        <f t="shared" si="7"/>
        <v>T</v>
      </c>
      <c r="P1092" s="8">
        <f t="shared" si="8"/>
        <v>0</v>
      </c>
      <c r="R1092" s="17" t="str">
        <f t="shared" si="9"/>
        <v>T</v>
      </c>
      <c r="S1092" s="3" t="str">
        <f t="shared" si="10"/>
        <v>F</v>
      </c>
      <c r="T1092" s="8">
        <f t="shared" si="11"/>
        <v>-1</v>
      </c>
      <c r="V1092" s="4">
        <f t="shared" si="12"/>
        <v>-1</v>
      </c>
      <c r="W1092" s="8">
        <f t="shared" si="13"/>
        <v>42.8</v>
      </c>
      <c r="X1092" s="8">
        <f t="shared" si="14"/>
        <v>-42.8</v>
      </c>
      <c r="Y1092" s="8">
        <f t="shared" si="15"/>
        <v>1648.92</v>
      </c>
    </row>
    <row r="1093">
      <c r="A1093" s="2">
        <v>1086.0</v>
      </c>
      <c r="B1093" s="15">
        <f>IFERROR(__xludf.DUMMYFUNCTION("""COMPUTED_VALUE"""),43984.64583333333)</f>
        <v>43984.64583</v>
      </c>
      <c r="C1093" s="8">
        <f>IFERROR(__xludf.DUMMYFUNCTION("""COMPUTED_VALUE"""),1813.55)</f>
        <v>1813.55</v>
      </c>
      <c r="E1093" s="15">
        <f>IFERROR(__xludf.DUMMYFUNCTION("""COMPUTED_VALUE"""),43984.64583333333)</f>
        <v>43984.64583</v>
      </c>
      <c r="F1093" s="8">
        <f>IFERROR(__xludf.DUMMYFUNCTION("""COMPUTED_VALUE"""),1001.0)</f>
        <v>1001</v>
      </c>
      <c r="H1093" s="4">
        <f t="shared" si="1"/>
        <v>812.55</v>
      </c>
      <c r="I1093" s="16">
        <f t="shared" si="2"/>
        <v>723.01</v>
      </c>
      <c r="J1093" s="16">
        <f t="shared" si="3"/>
        <v>59.47211952</v>
      </c>
      <c r="K1093" s="16">
        <f t="shared" si="4"/>
        <v>782.4821195</v>
      </c>
      <c r="L1093" s="16">
        <f t="shared" si="5"/>
        <v>663.5378805</v>
      </c>
      <c r="N1093" s="17" t="str">
        <f t="shared" si="6"/>
        <v>F</v>
      </c>
      <c r="O1093" s="17" t="str">
        <f t="shared" si="7"/>
        <v>T</v>
      </c>
      <c r="P1093" s="8">
        <f t="shared" si="8"/>
        <v>0</v>
      </c>
      <c r="R1093" s="17" t="str">
        <f t="shared" si="9"/>
        <v>T</v>
      </c>
      <c r="S1093" s="3" t="str">
        <f t="shared" si="10"/>
        <v>F</v>
      </c>
      <c r="T1093" s="8">
        <f t="shared" si="11"/>
        <v>-1</v>
      </c>
      <c r="V1093" s="4">
        <f t="shared" si="12"/>
        <v>-1</v>
      </c>
      <c r="W1093" s="8">
        <f t="shared" si="13"/>
        <v>62.5</v>
      </c>
      <c r="X1093" s="8">
        <f t="shared" si="14"/>
        <v>-62.5</v>
      </c>
      <c r="Y1093" s="8">
        <f t="shared" si="15"/>
        <v>1586.42</v>
      </c>
    </row>
    <row r="1094">
      <c r="A1094" s="2">
        <v>1087.0</v>
      </c>
      <c r="B1094" s="15">
        <f>IFERROR(__xludf.DUMMYFUNCTION("""COMPUTED_VALUE"""),43985.64583333333)</f>
        <v>43985.64583</v>
      </c>
      <c r="C1094" s="8">
        <f>IFERROR(__xludf.DUMMYFUNCTION("""COMPUTED_VALUE"""),1835.65)</f>
        <v>1835.65</v>
      </c>
      <c r="E1094" s="15">
        <f>IFERROR(__xludf.DUMMYFUNCTION("""COMPUTED_VALUE"""),43985.64583333333)</f>
        <v>43985.64583</v>
      </c>
      <c r="F1094" s="8">
        <f>IFERROR(__xludf.DUMMYFUNCTION("""COMPUTED_VALUE"""),1022.25)</f>
        <v>1022.25</v>
      </c>
      <c r="H1094" s="4">
        <f t="shared" si="1"/>
        <v>813.4</v>
      </c>
      <c r="I1094" s="16">
        <f t="shared" si="2"/>
        <v>752.34</v>
      </c>
      <c r="J1094" s="16">
        <f t="shared" si="3"/>
        <v>60.93367706</v>
      </c>
      <c r="K1094" s="16">
        <f t="shared" si="4"/>
        <v>813.2736771</v>
      </c>
      <c r="L1094" s="16">
        <f t="shared" si="5"/>
        <v>691.4063229</v>
      </c>
      <c r="N1094" s="17" t="str">
        <f t="shared" si="6"/>
        <v>F</v>
      </c>
      <c r="O1094" s="17" t="str">
        <f t="shared" si="7"/>
        <v>T</v>
      </c>
      <c r="P1094" s="8">
        <f t="shared" si="8"/>
        <v>0</v>
      </c>
      <c r="R1094" s="17" t="str">
        <f t="shared" si="9"/>
        <v>T</v>
      </c>
      <c r="S1094" s="3" t="str">
        <f t="shared" si="10"/>
        <v>F</v>
      </c>
      <c r="T1094" s="8">
        <f t="shared" si="11"/>
        <v>-1</v>
      </c>
      <c r="V1094" s="4">
        <f t="shared" si="12"/>
        <v>-1</v>
      </c>
      <c r="W1094" s="8">
        <f t="shared" si="13"/>
        <v>0.85</v>
      </c>
      <c r="X1094" s="8">
        <f t="shared" si="14"/>
        <v>-0.85</v>
      </c>
      <c r="Y1094" s="8">
        <f t="shared" si="15"/>
        <v>1585.57</v>
      </c>
    </row>
    <row r="1095">
      <c r="A1095" s="2">
        <v>1088.0</v>
      </c>
      <c r="B1095" s="15">
        <f>IFERROR(__xludf.DUMMYFUNCTION("""COMPUTED_VALUE"""),43986.64583333333)</f>
        <v>43986.64583</v>
      </c>
      <c r="C1095" s="8">
        <f>IFERROR(__xludf.DUMMYFUNCTION("""COMPUTED_VALUE"""),1764.3)</f>
        <v>1764.3</v>
      </c>
      <c r="E1095" s="15">
        <f>IFERROR(__xludf.DUMMYFUNCTION("""COMPUTED_VALUE"""),43986.64583333333)</f>
        <v>43986.64583</v>
      </c>
      <c r="F1095" s="8">
        <f>IFERROR(__xludf.DUMMYFUNCTION("""COMPUTED_VALUE"""),1001.7)</f>
        <v>1001.7</v>
      </c>
      <c r="H1095" s="4">
        <f t="shared" si="1"/>
        <v>762.6</v>
      </c>
      <c r="I1095" s="16">
        <f t="shared" si="2"/>
        <v>769.17</v>
      </c>
      <c r="J1095" s="16">
        <f t="shared" si="3"/>
        <v>44.94703272</v>
      </c>
      <c r="K1095" s="16">
        <f t="shared" si="4"/>
        <v>814.1170327</v>
      </c>
      <c r="L1095" s="16">
        <f t="shared" si="5"/>
        <v>724.2229673</v>
      </c>
      <c r="N1095" s="17" t="str">
        <f t="shared" si="6"/>
        <v>F</v>
      </c>
      <c r="O1095" s="17" t="str">
        <f t="shared" si="7"/>
        <v>F</v>
      </c>
      <c r="P1095" s="8">
        <f t="shared" si="8"/>
        <v>0</v>
      </c>
      <c r="R1095" s="17" t="str">
        <f t="shared" si="9"/>
        <v>F</v>
      </c>
      <c r="S1095" s="3" t="str">
        <f t="shared" si="10"/>
        <v>T</v>
      </c>
      <c r="T1095" s="8">
        <f t="shared" si="11"/>
        <v>0</v>
      </c>
      <c r="V1095" s="4">
        <f t="shared" si="12"/>
        <v>0</v>
      </c>
      <c r="W1095" s="8">
        <f t="shared" si="13"/>
        <v>-50.8</v>
      </c>
      <c r="X1095" s="8">
        <f t="shared" si="14"/>
        <v>50.8</v>
      </c>
      <c r="Y1095" s="8">
        <f t="shared" si="15"/>
        <v>1636.37</v>
      </c>
    </row>
    <row r="1096">
      <c r="A1096" s="2">
        <v>1089.0</v>
      </c>
      <c r="B1096" s="15">
        <f>IFERROR(__xludf.DUMMYFUNCTION("""COMPUTED_VALUE"""),43987.64583333333)</f>
        <v>43987.64583</v>
      </c>
      <c r="C1096" s="8">
        <f>IFERROR(__xludf.DUMMYFUNCTION("""COMPUTED_VALUE"""),1766.6)</f>
        <v>1766.6</v>
      </c>
      <c r="E1096" s="15">
        <f>IFERROR(__xludf.DUMMYFUNCTION("""COMPUTED_VALUE"""),43987.64583333333)</f>
        <v>43987.64583</v>
      </c>
      <c r="F1096" s="8">
        <f>IFERROR(__xludf.DUMMYFUNCTION("""COMPUTED_VALUE"""),1033.35)</f>
        <v>1033.35</v>
      </c>
      <c r="H1096" s="4">
        <f t="shared" si="1"/>
        <v>733.25</v>
      </c>
      <c r="I1096" s="16">
        <f t="shared" si="2"/>
        <v>774.37</v>
      </c>
      <c r="J1096" s="16">
        <f t="shared" si="3"/>
        <v>36.74881971</v>
      </c>
      <c r="K1096" s="16">
        <f t="shared" si="4"/>
        <v>811.1188197</v>
      </c>
      <c r="L1096" s="16">
        <f t="shared" si="5"/>
        <v>737.6211803</v>
      </c>
      <c r="N1096" s="17" t="str">
        <f t="shared" si="6"/>
        <v>T</v>
      </c>
      <c r="O1096" s="17" t="str">
        <f t="shared" si="7"/>
        <v>F</v>
      </c>
      <c r="P1096" s="8">
        <f t="shared" si="8"/>
        <v>1</v>
      </c>
      <c r="R1096" s="17" t="str">
        <f t="shared" si="9"/>
        <v>F</v>
      </c>
      <c r="S1096" s="3" t="str">
        <f t="shared" si="10"/>
        <v>T</v>
      </c>
      <c r="T1096" s="8">
        <f t="shared" si="11"/>
        <v>0</v>
      </c>
      <c r="V1096" s="4">
        <f t="shared" si="12"/>
        <v>1</v>
      </c>
      <c r="W1096" s="8">
        <f t="shared" si="13"/>
        <v>-29.35</v>
      </c>
      <c r="X1096" s="8">
        <f t="shared" si="14"/>
        <v>0</v>
      </c>
      <c r="Y1096" s="8">
        <f t="shared" si="15"/>
        <v>1636.37</v>
      </c>
    </row>
    <row r="1097">
      <c r="A1097" s="2">
        <v>1090.0</v>
      </c>
      <c r="B1097" s="15">
        <f>IFERROR(__xludf.DUMMYFUNCTION("""COMPUTED_VALUE"""),43990.64583333333)</f>
        <v>43990.64583</v>
      </c>
      <c r="C1097" s="8">
        <f>IFERROR(__xludf.DUMMYFUNCTION("""COMPUTED_VALUE"""),1760.8)</f>
        <v>1760.8</v>
      </c>
      <c r="E1097" s="15">
        <f>IFERROR(__xludf.DUMMYFUNCTION("""COMPUTED_VALUE"""),43990.64583333333)</f>
        <v>43990.64583</v>
      </c>
      <c r="F1097" s="8">
        <f>IFERROR(__xludf.DUMMYFUNCTION("""COMPUTED_VALUE"""),1015.9)</f>
        <v>1015.9</v>
      </c>
      <c r="H1097" s="4">
        <f t="shared" si="1"/>
        <v>744.9</v>
      </c>
      <c r="I1097" s="16">
        <f t="shared" si="2"/>
        <v>773.34</v>
      </c>
      <c r="J1097" s="16">
        <f t="shared" si="3"/>
        <v>37.66170801</v>
      </c>
      <c r="K1097" s="16">
        <f t="shared" si="4"/>
        <v>811.001708</v>
      </c>
      <c r="L1097" s="16">
        <f t="shared" si="5"/>
        <v>735.678292</v>
      </c>
      <c r="N1097" s="17" t="str">
        <f t="shared" si="6"/>
        <v>F</v>
      </c>
      <c r="O1097" s="17" t="str">
        <f t="shared" si="7"/>
        <v>F</v>
      </c>
      <c r="P1097" s="8">
        <f t="shared" si="8"/>
        <v>1</v>
      </c>
      <c r="R1097" s="17" t="str">
        <f t="shared" si="9"/>
        <v>F</v>
      </c>
      <c r="S1097" s="3" t="str">
        <f t="shared" si="10"/>
        <v>T</v>
      </c>
      <c r="T1097" s="8">
        <f t="shared" si="11"/>
        <v>0</v>
      </c>
      <c r="V1097" s="4">
        <f t="shared" si="12"/>
        <v>1</v>
      </c>
      <c r="W1097" s="8">
        <f t="shared" si="13"/>
        <v>11.65</v>
      </c>
      <c r="X1097" s="8">
        <f t="shared" si="14"/>
        <v>11.65</v>
      </c>
      <c r="Y1097" s="8">
        <f t="shared" si="15"/>
        <v>1648.02</v>
      </c>
    </row>
    <row r="1098">
      <c r="A1098" s="2">
        <v>1091.0</v>
      </c>
      <c r="B1098" s="15">
        <f>IFERROR(__xludf.DUMMYFUNCTION("""COMPUTED_VALUE"""),43991.64583333333)</f>
        <v>43991.64583</v>
      </c>
      <c r="C1098" s="8">
        <f>IFERROR(__xludf.DUMMYFUNCTION("""COMPUTED_VALUE"""),1772.1)</f>
        <v>1772.1</v>
      </c>
      <c r="E1098" s="15">
        <f>IFERROR(__xludf.DUMMYFUNCTION("""COMPUTED_VALUE"""),43991.64583333333)</f>
        <v>43991.64583</v>
      </c>
      <c r="F1098" s="8">
        <f>IFERROR(__xludf.DUMMYFUNCTION("""COMPUTED_VALUE"""),987.3)</f>
        <v>987.3</v>
      </c>
      <c r="H1098" s="4">
        <f t="shared" si="1"/>
        <v>784.8</v>
      </c>
      <c r="I1098" s="16">
        <f t="shared" si="2"/>
        <v>767.79</v>
      </c>
      <c r="J1098" s="16">
        <f t="shared" si="3"/>
        <v>32.06833329</v>
      </c>
      <c r="K1098" s="16">
        <f t="shared" si="4"/>
        <v>799.8583333</v>
      </c>
      <c r="L1098" s="16">
        <f t="shared" si="5"/>
        <v>735.7216667</v>
      </c>
      <c r="N1098" s="17" t="str">
        <f t="shared" si="6"/>
        <v>F</v>
      </c>
      <c r="O1098" s="17" t="str">
        <f t="shared" si="7"/>
        <v>T</v>
      </c>
      <c r="P1098" s="8">
        <f t="shared" si="8"/>
        <v>0</v>
      </c>
      <c r="R1098" s="17" t="str">
        <f t="shared" si="9"/>
        <v>F</v>
      </c>
      <c r="S1098" s="3" t="str">
        <f t="shared" si="10"/>
        <v>F</v>
      </c>
      <c r="T1098" s="8">
        <f t="shared" si="11"/>
        <v>0</v>
      </c>
      <c r="V1098" s="4">
        <f t="shared" si="12"/>
        <v>0</v>
      </c>
      <c r="W1098" s="8">
        <f t="shared" si="13"/>
        <v>39.9</v>
      </c>
      <c r="X1098" s="8">
        <f t="shared" si="14"/>
        <v>39.9</v>
      </c>
      <c r="Y1098" s="8">
        <f t="shared" si="15"/>
        <v>1687.92</v>
      </c>
    </row>
    <row r="1099">
      <c r="A1099" s="2">
        <v>1092.0</v>
      </c>
      <c r="B1099" s="15">
        <f>IFERROR(__xludf.DUMMYFUNCTION("""COMPUTED_VALUE"""),43992.64583333333)</f>
        <v>43992.64583</v>
      </c>
      <c r="C1099" s="8">
        <f>IFERROR(__xludf.DUMMYFUNCTION("""COMPUTED_VALUE"""),1809.3)</f>
        <v>1809.3</v>
      </c>
      <c r="E1099" s="15">
        <f>IFERROR(__xludf.DUMMYFUNCTION("""COMPUTED_VALUE"""),43992.64583333333)</f>
        <v>43992.64583</v>
      </c>
      <c r="F1099" s="8">
        <f>IFERROR(__xludf.DUMMYFUNCTION("""COMPUTED_VALUE"""),991.85)</f>
        <v>991.85</v>
      </c>
      <c r="H1099" s="4">
        <f t="shared" si="1"/>
        <v>817.45</v>
      </c>
      <c r="I1099" s="16">
        <f t="shared" si="2"/>
        <v>768.6</v>
      </c>
      <c r="J1099" s="16">
        <f t="shared" si="3"/>
        <v>33.52638886</v>
      </c>
      <c r="K1099" s="16">
        <f t="shared" si="4"/>
        <v>802.1263889</v>
      </c>
      <c r="L1099" s="16">
        <f t="shared" si="5"/>
        <v>735.0736111</v>
      </c>
      <c r="N1099" s="17" t="str">
        <f t="shared" si="6"/>
        <v>F</v>
      </c>
      <c r="O1099" s="17" t="str">
        <f t="shared" si="7"/>
        <v>T</v>
      </c>
      <c r="P1099" s="8">
        <f t="shared" si="8"/>
        <v>0</v>
      </c>
      <c r="R1099" s="17" t="str">
        <f t="shared" si="9"/>
        <v>T</v>
      </c>
      <c r="S1099" s="3" t="str">
        <f t="shared" si="10"/>
        <v>F</v>
      </c>
      <c r="T1099" s="8">
        <f t="shared" si="11"/>
        <v>-1</v>
      </c>
      <c r="V1099" s="4">
        <f t="shared" si="12"/>
        <v>-1</v>
      </c>
      <c r="W1099" s="8">
        <f t="shared" si="13"/>
        <v>32.65</v>
      </c>
      <c r="X1099" s="8">
        <f t="shared" si="14"/>
        <v>0</v>
      </c>
      <c r="Y1099" s="8">
        <f t="shared" si="15"/>
        <v>1687.92</v>
      </c>
    </row>
    <row r="1100">
      <c r="A1100" s="2">
        <v>1093.0</v>
      </c>
      <c r="B1100" s="15">
        <f>IFERROR(__xludf.DUMMYFUNCTION("""COMPUTED_VALUE"""),43993.64583333333)</f>
        <v>43993.64583</v>
      </c>
      <c r="C1100" s="8">
        <f>IFERROR(__xludf.DUMMYFUNCTION("""COMPUTED_VALUE"""),1787.45)</f>
        <v>1787.45</v>
      </c>
      <c r="E1100" s="15">
        <f>IFERROR(__xludf.DUMMYFUNCTION("""COMPUTED_VALUE"""),43993.64583333333)</f>
        <v>43993.64583</v>
      </c>
      <c r="F1100" s="8">
        <f>IFERROR(__xludf.DUMMYFUNCTION("""COMPUTED_VALUE"""),968.6)</f>
        <v>968.6</v>
      </c>
      <c r="H1100" s="4">
        <f t="shared" si="1"/>
        <v>818.85</v>
      </c>
      <c r="I1100" s="16">
        <f t="shared" si="2"/>
        <v>779.85</v>
      </c>
      <c r="J1100" s="16">
        <f t="shared" si="3"/>
        <v>39.85073713</v>
      </c>
      <c r="K1100" s="16">
        <f t="shared" si="4"/>
        <v>819.7007371</v>
      </c>
      <c r="L1100" s="16">
        <f t="shared" si="5"/>
        <v>739.9992629</v>
      </c>
      <c r="N1100" s="17" t="str">
        <f t="shared" si="6"/>
        <v>F</v>
      </c>
      <c r="O1100" s="17" t="str">
        <f t="shared" si="7"/>
        <v>T</v>
      </c>
      <c r="P1100" s="8">
        <f t="shared" si="8"/>
        <v>0</v>
      </c>
      <c r="R1100" s="17" t="str">
        <f t="shared" si="9"/>
        <v>F</v>
      </c>
      <c r="S1100" s="3" t="str">
        <f t="shared" si="10"/>
        <v>F</v>
      </c>
      <c r="T1100" s="8">
        <f t="shared" si="11"/>
        <v>-1</v>
      </c>
      <c r="V1100" s="4">
        <f t="shared" si="12"/>
        <v>-1</v>
      </c>
      <c r="W1100" s="8">
        <f t="shared" si="13"/>
        <v>1.4</v>
      </c>
      <c r="X1100" s="8">
        <f t="shared" si="14"/>
        <v>-1.4</v>
      </c>
      <c r="Y1100" s="8">
        <f t="shared" si="15"/>
        <v>1686.52</v>
      </c>
    </row>
    <row r="1101">
      <c r="A1101" s="2">
        <v>1094.0</v>
      </c>
      <c r="B1101" s="15">
        <f>IFERROR(__xludf.DUMMYFUNCTION("""COMPUTED_VALUE"""),43994.64583333333)</f>
        <v>43994.64583</v>
      </c>
      <c r="C1101" s="8">
        <f>IFERROR(__xludf.DUMMYFUNCTION("""COMPUTED_VALUE"""),1792.2)</f>
        <v>1792.2</v>
      </c>
      <c r="E1101" s="15">
        <f>IFERROR(__xludf.DUMMYFUNCTION("""COMPUTED_VALUE"""),43994.64583333333)</f>
        <v>43994.64583</v>
      </c>
      <c r="F1101" s="8">
        <f>IFERROR(__xludf.DUMMYFUNCTION("""COMPUTED_VALUE"""),982.75)</f>
        <v>982.75</v>
      </c>
      <c r="H1101" s="4">
        <f t="shared" si="1"/>
        <v>809.45</v>
      </c>
      <c r="I1101" s="16">
        <f t="shared" si="2"/>
        <v>795.09</v>
      </c>
      <c r="J1101" s="16">
        <f t="shared" si="3"/>
        <v>31.20751913</v>
      </c>
      <c r="K1101" s="16">
        <f t="shared" si="4"/>
        <v>826.2975191</v>
      </c>
      <c r="L1101" s="16">
        <f t="shared" si="5"/>
        <v>763.8824809</v>
      </c>
      <c r="N1101" s="17" t="str">
        <f t="shared" si="6"/>
        <v>F</v>
      </c>
      <c r="O1101" s="17" t="str">
        <f t="shared" si="7"/>
        <v>T</v>
      </c>
      <c r="P1101" s="8">
        <f t="shared" si="8"/>
        <v>0</v>
      </c>
      <c r="R1101" s="17" t="str">
        <f t="shared" si="9"/>
        <v>F</v>
      </c>
      <c r="S1101" s="3" t="str">
        <f t="shared" si="10"/>
        <v>F</v>
      </c>
      <c r="T1101" s="8">
        <f t="shared" si="11"/>
        <v>-1</v>
      </c>
      <c r="V1101" s="4">
        <f t="shared" si="12"/>
        <v>-1</v>
      </c>
      <c r="W1101" s="8">
        <f t="shared" si="13"/>
        <v>-9.4</v>
      </c>
      <c r="X1101" s="8">
        <f t="shared" si="14"/>
        <v>9.4</v>
      </c>
      <c r="Y1101" s="8">
        <f t="shared" si="15"/>
        <v>1695.92</v>
      </c>
    </row>
    <row r="1102">
      <c r="A1102" s="2">
        <v>1095.0</v>
      </c>
      <c r="B1102" s="15">
        <f>IFERROR(__xludf.DUMMYFUNCTION("""COMPUTED_VALUE"""),43997.64583333333)</f>
        <v>43997.64583</v>
      </c>
      <c r="C1102" s="8">
        <f>IFERROR(__xludf.DUMMYFUNCTION("""COMPUTED_VALUE"""),1751.65)</f>
        <v>1751.65</v>
      </c>
      <c r="E1102" s="15">
        <f>IFERROR(__xludf.DUMMYFUNCTION("""COMPUTED_VALUE"""),43997.64583333333)</f>
        <v>43997.64583</v>
      </c>
      <c r="F1102" s="8">
        <f>IFERROR(__xludf.DUMMYFUNCTION("""COMPUTED_VALUE"""),949.85)</f>
        <v>949.85</v>
      </c>
      <c r="H1102" s="4">
        <f t="shared" si="1"/>
        <v>801.8</v>
      </c>
      <c r="I1102" s="16">
        <f t="shared" si="2"/>
        <v>806.47</v>
      </c>
      <c r="J1102" s="16">
        <f t="shared" si="3"/>
        <v>13.91135328</v>
      </c>
      <c r="K1102" s="16">
        <f t="shared" si="4"/>
        <v>820.3813533</v>
      </c>
      <c r="L1102" s="16">
        <f t="shared" si="5"/>
        <v>792.5586467</v>
      </c>
      <c r="N1102" s="17" t="str">
        <f t="shared" si="6"/>
        <v>F</v>
      </c>
      <c r="O1102" s="17" t="str">
        <f t="shared" si="7"/>
        <v>F</v>
      </c>
      <c r="P1102" s="8">
        <f t="shared" si="8"/>
        <v>0</v>
      </c>
      <c r="R1102" s="17" t="str">
        <f t="shared" si="9"/>
        <v>F</v>
      </c>
      <c r="S1102" s="3" t="str">
        <f t="shared" si="10"/>
        <v>T</v>
      </c>
      <c r="T1102" s="8">
        <f t="shared" si="11"/>
        <v>0</v>
      </c>
      <c r="V1102" s="4">
        <f t="shared" si="12"/>
        <v>0</v>
      </c>
      <c r="W1102" s="8">
        <f t="shared" si="13"/>
        <v>-7.65</v>
      </c>
      <c r="X1102" s="8">
        <f t="shared" si="14"/>
        <v>7.65</v>
      </c>
      <c r="Y1102" s="8">
        <f t="shared" si="15"/>
        <v>1703.57</v>
      </c>
    </row>
    <row r="1103">
      <c r="A1103" s="2">
        <v>1096.0</v>
      </c>
      <c r="B1103" s="15">
        <f>IFERROR(__xludf.DUMMYFUNCTION("""COMPUTED_VALUE"""),43998.64583333333)</f>
        <v>43998.64583</v>
      </c>
      <c r="C1103" s="8">
        <f>IFERROR(__xludf.DUMMYFUNCTION("""COMPUTED_VALUE"""),1821.9)</f>
        <v>1821.9</v>
      </c>
      <c r="E1103" s="15">
        <f>IFERROR(__xludf.DUMMYFUNCTION("""COMPUTED_VALUE"""),43998.64583333333)</f>
        <v>43998.64583</v>
      </c>
      <c r="F1103" s="8">
        <f>IFERROR(__xludf.DUMMYFUNCTION("""COMPUTED_VALUE"""),990.4)</f>
        <v>990.4</v>
      </c>
      <c r="H1103" s="4">
        <f t="shared" si="1"/>
        <v>831.5</v>
      </c>
      <c r="I1103" s="16">
        <f t="shared" si="2"/>
        <v>815.81</v>
      </c>
      <c r="J1103" s="16">
        <f t="shared" si="3"/>
        <v>11.122466</v>
      </c>
      <c r="K1103" s="16">
        <f t="shared" si="4"/>
        <v>826.932466</v>
      </c>
      <c r="L1103" s="16">
        <f t="shared" si="5"/>
        <v>804.687534</v>
      </c>
      <c r="N1103" s="17" t="str">
        <f t="shared" si="6"/>
        <v>F</v>
      </c>
      <c r="O1103" s="17" t="str">
        <f t="shared" si="7"/>
        <v>T</v>
      </c>
      <c r="P1103" s="8">
        <f t="shared" si="8"/>
        <v>0</v>
      </c>
      <c r="R1103" s="17" t="str">
        <f t="shared" si="9"/>
        <v>T</v>
      </c>
      <c r="S1103" s="3" t="str">
        <f t="shared" si="10"/>
        <v>F</v>
      </c>
      <c r="T1103" s="8">
        <f t="shared" si="11"/>
        <v>-1</v>
      </c>
      <c r="V1103" s="4">
        <f t="shared" si="12"/>
        <v>-1</v>
      </c>
      <c r="W1103" s="8">
        <f t="shared" si="13"/>
        <v>29.7</v>
      </c>
      <c r="X1103" s="8">
        <f t="shared" si="14"/>
        <v>0</v>
      </c>
      <c r="Y1103" s="8">
        <f t="shared" si="15"/>
        <v>1703.57</v>
      </c>
    </row>
    <row r="1104">
      <c r="A1104" s="2">
        <v>1097.0</v>
      </c>
      <c r="B1104" s="15">
        <f>IFERROR(__xludf.DUMMYFUNCTION("""COMPUTED_VALUE"""),43999.64583333333)</f>
        <v>43999.64583</v>
      </c>
      <c r="C1104" s="8">
        <f>IFERROR(__xludf.DUMMYFUNCTION("""COMPUTED_VALUE"""),1794.65)</f>
        <v>1794.65</v>
      </c>
      <c r="E1104" s="15">
        <f>IFERROR(__xludf.DUMMYFUNCTION("""COMPUTED_VALUE"""),43999.64583333333)</f>
        <v>43999.64583</v>
      </c>
      <c r="F1104" s="8">
        <f>IFERROR(__xludf.DUMMYFUNCTION("""COMPUTED_VALUE"""),979.25)</f>
        <v>979.25</v>
      </c>
      <c r="H1104" s="4">
        <f t="shared" si="1"/>
        <v>815.4</v>
      </c>
      <c r="I1104" s="16">
        <f t="shared" si="2"/>
        <v>815.4</v>
      </c>
      <c r="J1104" s="16">
        <f t="shared" si="3"/>
        <v>11.08461772</v>
      </c>
      <c r="K1104" s="16">
        <f t="shared" si="4"/>
        <v>826.4846177</v>
      </c>
      <c r="L1104" s="16">
        <f t="shared" si="5"/>
        <v>804.3153823</v>
      </c>
      <c r="N1104" s="17" t="str">
        <f t="shared" si="6"/>
        <v>F</v>
      </c>
      <c r="O1104" s="17" t="str">
        <f t="shared" si="7"/>
        <v>T</v>
      </c>
      <c r="P1104" s="8">
        <f t="shared" si="8"/>
        <v>0</v>
      </c>
      <c r="R1104" s="17" t="str">
        <f t="shared" si="9"/>
        <v>F</v>
      </c>
      <c r="S1104" s="3" t="str">
        <f t="shared" si="10"/>
        <v>T</v>
      </c>
      <c r="T1104" s="8">
        <f t="shared" si="11"/>
        <v>0</v>
      </c>
      <c r="V1104" s="4">
        <f t="shared" si="12"/>
        <v>0</v>
      </c>
      <c r="W1104" s="8">
        <f t="shared" si="13"/>
        <v>-16.1</v>
      </c>
      <c r="X1104" s="8">
        <f t="shared" si="14"/>
        <v>16.1</v>
      </c>
      <c r="Y1104" s="8">
        <f t="shared" si="15"/>
        <v>1719.67</v>
      </c>
    </row>
    <row r="1105">
      <c r="A1105" s="2">
        <v>1098.0</v>
      </c>
      <c r="B1105" s="15">
        <f>IFERROR(__xludf.DUMMYFUNCTION("""COMPUTED_VALUE"""),44000.64583333333)</f>
        <v>44000.64583</v>
      </c>
      <c r="C1105" s="8">
        <f>IFERROR(__xludf.DUMMYFUNCTION("""COMPUTED_VALUE"""),1855.95)</f>
        <v>1855.95</v>
      </c>
      <c r="E1105" s="15">
        <f>IFERROR(__xludf.DUMMYFUNCTION("""COMPUTED_VALUE"""),44000.64583333333)</f>
        <v>44000.64583</v>
      </c>
      <c r="F1105" s="8">
        <f>IFERROR(__xludf.DUMMYFUNCTION("""COMPUTED_VALUE"""),1019.95)</f>
        <v>1019.95</v>
      </c>
      <c r="H1105" s="4">
        <f t="shared" si="1"/>
        <v>836</v>
      </c>
      <c r="I1105" s="16">
        <f t="shared" si="2"/>
        <v>818.83</v>
      </c>
      <c r="J1105" s="16">
        <f t="shared" si="3"/>
        <v>14.53537065</v>
      </c>
      <c r="K1105" s="16">
        <f t="shared" si="4"/>
        <v>833.3653707</v>
      </c>
      <c r="L1105" s="16">
        <f t="shared" si="5"/>
        <v>804.2946293</v>
      </c>
      <c r="N1105" s="17" t="str">
        <f t="shared" si="6"/>
        <v>F</v>
      </c>
      <c r="O1105" s="17" t="str">
        <f t="shared" si="7"/>
        <v>T</v>
      </c>
      <c r="P1105" s="8">
        <f t="shared" si="8"/>
        <v>0</v>
      </c>
      <c r="R1105" s="17" t="str">
        <f t="shared" si="9"/>
        <v>T</v>
      </c>
      <c r="S1105" s="3" t="str">
        <f t="shared" si="10"/>
        <v>F</v>
      </c>
      <c r="T1105" s="8">
        <f t="shared" si="11"/>
        <v>-1</v>
      </c>
      <c r="V1105" s="4">
        <f t="shared" si="12"/>
        <v>-1</v>
      </c>
      <c r="W1105" s="8">
        <f t="shared" si="13"/>
        <v>20.6</v>
      </c>
      <c r="X1105" s="8">
        <f t="shared" si="14"/>
        <v>0</v>
      </c>
      <c r="Y1105" s="8">
        <f t="shared" si="15"/>
        <v>1719.67</v>
      </c>
    </row>
    <row r="1106">
      <c r="A1106" s="2">
        <v>1099.0</v>
      </c>
      <c r="B1106" s="15">
        <f>IFERROR(__xludf.DUMMYFUNCTION("""COMPUTED_VALUE"""),44001.64583333333)</f>
        <v>44001.64583</v>
      </c>
      <c r="C1106" s="8">
        <f>IFERROR(__xludf.DUMMYFUNCTION("""COMPUTED_VALUE"""),1835.1)</f>
        <v>1835.1</v>
      </c>
      <c r="E1106" s="15">
        <f>IFERROR(__xludf.DUMMYFUNCTION("""COMPUTED_VALUE"""),44001.64583333333)</f>
        <v>44001.64583</v>
      </c>
      <c r="F1106" s="8">
        <f>IFERROR(__xludf.DUMMYFUNCTION("""COMPUTED_VALUE"""),1033.35)</f>
        <v>1033.35</v>
      </c>
      <c r="H1106" s="4">
        <f t="shared" si="1"/>
        <v>801.75</v>
      </c>
      <c r="I1106" s="16">
        <f t="shared" si="2"/>
        <v>817.29</v>
      </c>
      <c r="J1106" s="16">
        <f t="shared" si="3"/>
        <v>16.10118008</v>
      </c>
      <c r="K1106" s="16">
        <f t="shared" si="4"/>
        <v>833.3911801</v>
      </c>
      <c r="L1106" s="16">
        <f t="shared" si="5"/>
        <v>801.1888199</v>
      </c>
      <c r="N1106" s="17" t="str">
        <f t="shared" si="6"/>
        <v>F</v>
      </c>
      <c r="O1106" s="17" t="str">
        <f t="shared" si="7"/>
        <v>F</v>
      </c>
      <c r="P1106" s="8">
        <f t="shared" si="8"/>
        <v>0</v>
      </c>
      <c r="R1106" s="17" t="str">
        <f t="shared" si="9"/>
        <v>F</v>
      </c>
      <c r="S1106" s="3" t="str">
        <f t="shared" si="10"/>
        <v>T</v>
      </c>
      <c r="T1106" s="8">
        <f t="shared" si="11"/>
        <v>0</v>
      </c>
      <c r="V1106" s="4">
        <f t="shared" si="12"/>
        <v>0</v>
      </c>
      <c r="W1106" s="8">
        <f t="shared" si="13"/>
        <v>-34.25</v>
      </c>
      <c r="X1106" s="8">
        <f t="shared" si="14"/>
        <v>34.25</v>
      </c>
      <c r="Y1106" s="8">
        <f t="shared" si="15"/>
        <v>1753.92</v>
      </c>
    </row>
    <row r="1107">
      <c r="A1107" s="2">
        <v>1100.0</v>
      </c>
      <c r="B1107" s="15">
        <f>IFERROR(__xludf.DUMMYFUNCTION("""COMPUTED_VALUE"""),44004.64583333333)</f>
        <v>44004.64583</v>
      </c>
      <c r="C1107" s="8">
        <f>IFERROR(__xludf.DUMMYFUNCTION("""COMPUTED_VALUE"""),1819.4)</f>
        <v>1819.4</v>
      </c>
      <c r="E1107" s="15">
        <f>IFERROR(__xludf.DUMMYFUNCTION("""COMPUTED_VALUE"""),44004.64583333333)</f>
        <v>44004.64583</v>
      </c>
      <c r="F1107" s="8">
        <f>IFERROR(__xludf.DUMMYFUNCTION("""COMPUTED_VALUE"""),1028.75)</f>
        <v>1028.75</v>
      </c>
      <c r="H1107" s="4">
        <f t="shared" si="1"/>
        <v>790.65</v>
      </c>
      <c r="I1107" s="16">
        <f t="shared" si="2"/>
        <v>815.06</v>
      </c>
      <c r="J1107" s="16">
        <f t="shared" si="3"/>
        <v>19.24757777</v>
      </c>
      <c r="K1107" s="16">
        <f t="shared" si="4"/>
        <v>834.3075778</v>
      </c>
      <c r="L1107" s="16">
        <f t="shared" si="5"/>
        <v>795.8124222</v>
      </c>
      <c r="N1107" s="17" t="str">
        <f t="shared" si="6"/>
        <v>T</v>
      </c>
      <c r="O1107" s="17" t="str">
        <f t="shared" si="7"/>
        <v>F</v>
      </c>
      <c r="P1107" s="8">
        <f t="shared" si="8"/>
        <v>1</v>
      </c>
      <c r="R1107" s="17" t="str">
        <f t="shared" si="9"/>
        <v>F</v>
      </c>
      <c r="S1107" s="3" t="str">
        <f t="shared" si="10"/>
        <v>T</v>
      </c>
      <c r="T1107" s="8">
        <f t="shared" si="11"/>
        <v>0</v>
      </c>
      <c r="V1107" s="4">
        <f t="shared" si="12"/>
        <v>1</v>
      </c>
      <c r="W1107" s="8">
        <f t="shared" si="13"/>
        <v>-11.1</v>
      </c>
      <c r="X1107" s="8">
        <f t="shared" si="14"/>
        <v>0</v>
      </c>
      <c r="Y1107" s="8">
        <f t="shared" si="15"/>
        <v>1753.92</v>
      </c>
    </row>
    <row r="1108">
      <c r="A1108" s="2">
        <v>1101.0</v>
      </c>
      <c r="B1108" s="15">
        <f>IFERROR(__xludf.DUMMYFUNCTION("""COMPUTED_VALUE"""),44005.64583333333)</f>
        <v>44005.64583</v>
      </c>
      <c r="C1108" s="8">
        <f>IFERROR(__xludf.DUMMYFUNCTION("""COMPUTED_VALUE"""),1838.1)</f>
        <v>1838.1</v>
      </c>
      <c r="E1108" s="15">
        <f>IFERROR(__xludf.DUMMYFUNCTION("""COMPUTED_VALUE"""),44005.64583333333)</f>
        <v>44005.64583</v>
      </c>
      <c r="F1108" s="8">
        <f>IFERROR(__xludf.DUMMYFUNCTION("""COMPUTED_VALUE"""),1042.3)</f>
        <v>1042.3</v>
      </c>
      <c r="H1108" s="4">
        <f t="shared" si="1"/>
        <v>795.8</v>
      </c>
      <c r="I1108" s="16">
        <f t="shared" si="2"/>
        <v>807.92</v>
      </c>
      <c r="J1108" s="16">
        <f t="shared" si="3"/>
        <v>18.21848649</v>
      </c>
      <c r="K1108" s="16">
        <f t="shared" si="4"/>
        <v>826.1384865</v>
      </c>
      <c r="L1108" s="16">
        <f t="shared" si="5"/>
        <v>789.7015135</v>
      </c>
      <c r="N1108" s="17" t="str">
        <f t="shared" si="6"/>
        <v>F</v>
      </c>
      <c r="O1108" s="17" t="str">
        <f t="shared" si="7"/>
        <v>F</v>
      </c>
      <c r="P1108" s="8">
        <f t="shared" si="8"/>
        <v>1</v>
      </c>
      <c r="R1108" s="17" t="str">
        <f t="shared" si="9"/>
        <v>F</v>
      </c>
      <c r="S1108" s="3" t="str">
        <f t="shared" si="10"/>
        <v>T</v>
      </c>
      <c r="T1108" s="8">
        <f t="shared" si="11"/>
        <v>0</v>
      </c>
      <c r="V1108" s="4">
        <f t="shared" si="12"/>
        <v>1</v>
      </c>
      <c r="W1108" s="8">
        <f t="shared" si="13"/>
        <v>5.15</v>
      </c>
      <c r="X1108" s="8">
        <f t="shared" si="14"/>
        <v>5.15</v>
      </c>
      <c r="Y1108" s="8">
        <f t="shared" si="15"/>
        <v>1759.07</v>
      </c>
    </row>
    <row r="1109">
      <c r="A1109" s="2">
        <v>1102.0</v>
      </c>
      <c r="B1109" s="15">
        <f>IFERROR(__xludf.DUMMYFUNCTION("""COMPUTED_VALUE"""),44006.64583333333)</f>
        <v>44006.64583</v>
      </c>
      <c r="C1109" s="8">
        <f>IFERROR(__xludf.DUMMYFUNCTION("""COMPUTED_VALUE"""),1797.75)</f>
        <v>1797.75</v>
      </c>
      <c r="E1109" s="15">
        <f>IFERROR(__xludf.DUMMYFUNCTION("""COMPUTED_VALUE"""),44006.64583333333)</f>
        <v>44006.64583</v>
      </c>
      <c r="F1109" s="8">
        <f>IFERROR(__xludf.DUMMYFUNCTION("""COMPUTED_VALUE"""),1032.5)</f>
        <v>1032.5</v>
      </c>
      <c r="H1109" s="4">
        <f t="shared" si="1"/>
        <v>765.25</v>
      </c>
      <c r="I1109" s="16">
        <f t="shared" si="2"/>
        <v>797.89</v>
      </c>
      <c r="J1109" s="16">
        <f t="shared" si="3"/>
        <v>25.44320636</v>
      </c>
      <c r="K1109" s="16">
        <f t="shared" si="4"/>
        <v>823.3332064</v>
      </c>
      <c r="L1109" s="16">
        <f t="shared" si="5"/>
        <v>772.4467936</v>
      </c>
      <c r="N1109" s="17" t="str">
        <f t="shared" si="6"/>
        <v>T</v>
      </c>
      <c r="O1109" s="17" t="str">
        <f t="shared" si="7"/>
        <v>F</v>
      </c>
      <c r="P1109" s="8">
        <f t="shared" si="8"/>
        <v>1</v>
      </c>
      <c r="R1109" s="17" t="str">
        <f t="shared" si="9"/>
        <v>F</v>
      </c>
      <c r="S1109" s="3" t="str">
        <f t="shared" si="10"/>
        <v>T</v>
      </c>
      <c r="T1109" s="8">
        <f t="shared" si="11"/>
        <v>0</v>
      </c>
      <c r="V1109" s="4">
        <f t="shared" si="12"/>
        <v>1</v>
      </c>
      <c r="W1109" s="8">
        <f t="shared" si="13"/>
        <v>-30.55</v>
      </c>
      <c r="X1109" s="8">
        <f t="shared" si="14"/>
        <v>-30.55</v>
      </c>
      <c r="Y1109" s="8">
        <f t="shared" si="15"/>
        <v>1728.52</v>
      </c>
    </row>
    <row r="1110">
      <c r="A1110" s="2">
        <v>1103.0</v>
      </c>
      <c r="B1110" s="15">
        <f>IFERROR(__xludf.DUMMYFUNCTION("""COMPUTED_VALUE"""),44007.64583333333)</f>
        <v>44007.64583</v>
      </c>
      <c r="C1110" s="8">
        <f>IFERROR(__xludf.DUMMYFUNCTION("""COMPUTED_VALUE"""),1777.8)</f>
        <v>1777.8</v>
      </c>
      <c r="E1110" s="15">
        <f>IFERROR(__xludf.DUMMYFUNCTION("""COMPUTED_VALUE"""),44007.64583333333)</f>
        <v>44007.64583</v>
      </c>
      <c r="F1110" s="8">
        <f>IFERROR(__xludf.DUMMYFUNCTION("""COMPUTED_VALUE"""),1028.75)</f>
        <v>1028.75</v>
      </c>
      <c r="H1110" s="4">
        <f t="shared" si="1"/>
        <v>749.05</v>
      </c>
      <c r="I1110" s="16">
        <f t="shared" si="2"/>
        <v>780.5</v>
      </c>
      <c r="J1110" s="16">
        <f t="shared" si="3"/>
        <v>22.41840762</v>
      </c>
      <c r="K1110" s="16">
        <f t="shared" si="4"/>
        <v>802.9184076</v>
      </c>
      <c r="L1110" s="16">
        <f t="shared" si="5"/>
        <v>758.0815924</v>
      </c>
      <c r="N1110" s="17" t="str">
        <f t="shared" si="6"/>
        <v>T</v>
      </c>
      <c r="O1110" s="17" t="str">
        <f t="shared" si="7"/>
        <v>F</v>
      </c>
      <c r="P1110" s="8">
        <f t="shared" si="8"/>
        <v>1</v>
      </c>
      <c r="R1110" s="17" t="str">
        <f t="shared" si="9"/>
        <v>F</v>
      </c>
      <c r="S1110" s="3" t="str">
        <f t="shared" si="10"/>
        <v>T</v>
      </c>
      <c r="T1110" s="8">
        <f t="shared" si="11"/>
        <v>0</v>
      </c>
      <c r="V1110" s="4">
        <f t="shared" si="12"/>
        <v>1</v>
      </c>
      <c r="W1110" s="8">
        <f t="shared" si="13"/>
        <v>-16.2</v>
      </c>
      <c r="X1110" s="8">
        <f t="shared" si="14"/>
        <v>-16.2</v>
      </c>
      <c r="Y1110" s="8">
        <f t="shared" si="15"/>
        <v>1712.32</v>
      </c>
    </row>
    <row r="1111">
      <c r="A1111" s="2">
        <v>1104.0</v>
      </c>
      <c r="B1111" s="15">
        <f>IFERROR(__xludf.DUMMYFUNCTION("""COMPUTED_VALUE"""),44008.64583333333)</f>
        <v>44008.64583</v>
      </c>
      <c r="C1111" s="8">
        <f>IFERROR(__xludf.DUMMYFUNCTION("""COMPUTED_VALUE"""),1769.35)</f>
        <v>1769.35</v>
      </c>
      <c r="E1111" s="15">
        <f>IFERROR(__xludf.DUMMYFUNCTION("""COMPUTED_VALUE"""),44008.64583333333)</f>
        <v>44008.64583</v>
      </c>
      <c r="F1111" s="8">
        <f>IFERROR(__xludf.DUMMYFUNCTION("""COMPUTED_VALUE"""),1056.45)</f>
        <v>1056.45</v>
      </c>
      <c r="H1111" s="4">
        <f t="shared" si="1"/>
        <v>712.9</v>
      </c>
      <c r="I1111" s="16">
        <f t="shared" si="2"/>
        <v>762.73</v>
      </c>
      <c r="J1111" s="16">
        <f t="shared" si="3"/>
        <v>33.72563194</v>
      </c>
      <c r="K1111" s="16">
        <f t="shared" si="4"/>
        <v>796.4556319</v>
      </c>
      <c r="L1111" s="16">
        <f t="shared" si="5"/>
        <v>729.0043681</v>
      </c>
      <c r="N1111" s="17" t="str">
        <f t="shared" si="6"/>
        <v>T</v>
      </c>
      <c r="O1111" s="17" t="str">
        <f t="shared" si="7"/>
        <v>F</v>
      </c>
      <c r="P1111" s="8">
        <f t="shared" si="8"/>
        <v>1</v>
      </c>
      <c r="R1111" s="17" t="str">
        <f t="shared" si="9"/>
        <v>F</v>
      </c>
      <c r="S1111" s="3" t="str">
        <f t="shared" si="10"/>
        <v>T</v>
      </c>
      <c r="T1111" s="8">
        <f t="shared" si="11"/>
        <v>0</v>
      </c>
      <c r="V1111" s="4">
        <f t="shared" si="12"/>
        <v>1</v>
      </c>
      <c r="W1111" s="8">
        <f t="shared" si="13"/>
        <v>-36.15</v>
      </c>
      <c r="X1111" s="8">
        <f t="shared" si="14"/>
        <v>-36.15</v>
      </c>
      <c r="Y1111" s="8">
        <f t="shared" si="15"/>
        <v>1676.17</v>
      </c>
    </row>
    <row r="1112">
      <c r="A1112" s="2">
        <v>1105.0</v>
      </c>
      <c r="B1112" s="15">
        <f>IFERROR(__xludf.DUMMYFUNCTION("""COMPUTED_VALUE"""),44011.64583333333)</f>
        <v>44011.64583</v>
      </c>
      <c r="C1112" s="8">
        <f>IFERROR(__xludf.DUMMYFUNCTION("""COMPUTED_VALUE"""),1741.15)</f>
        <v>1741.15</v>
      </c>
      <c r="E1112" s="15">
        <f>IFERROR(__xludf.DUMMYFUNCTION("""COMPUTED_VALUE"""),44011.64583333333)</f>
        <v>44011.64583</v>
      </c>
      <c r="F1112" s="8">
        <f>IFERROR(__xludf.DUMMYFUNCTION("""COMPUTED_VALUE"""),1076.05)</f>
        <v>1076.05</v>
      </c>
      <c r="H1112" s="4">
        <f t="shared" si="1"/>
        <v>665.1</v>
      </c>
      <c r="I1112" s="16">
        <f t="shared" si="2"/>
        <v>737.62</v>
      </c>
      <c r="J1112" s="16">
        <f t="shared" si="3"/>
        <v>50.37162644</v>
      </c>
      <c r="K1112" s="16">
        <f t="shared" si="4"/>
        <v>787.9916264</v>
      </c>
      <c r="L1112" s="16">
        <f t="shared" si="5"/>
        <v>687.2483736</v>
      </c>
      <c r="N1112" s="17" t="str">
        <f t="shared" si="6"/>
        <v>T</v>
      </c>
      <c r="O1112" s="17" t="str">
        <f t="shared" si="7"/>
        <v>F</v>
      </c>
      <c r="P1112" s="8">
        <f t="shared" si="8"/>
        <v>1</v>
      </c>
      <c r="R1112" s="17" t="str">
        <f t="shared" si="9"/>
        <v>F</v>
      </c>
      <c r="S1112" s="3" t="str">
        <f t="shared" si="10"/>
        <v>T</v>
      </c>
      <c r="T1112" s="8">
        <f t="shared" si="11"/>
        <v>0</v>
      </c>
      <c r="V1112" s="4">
        <f t="shared" si="12"/>
        <v>1</v>
      </c>
      <c r="W1112" s="8">
        <f t="shared" si="13"/>
        <v>-47.8</v>
      </c>
      <c r="X1112" s="8">
        <f t="shared" si="14"/>
        <v>-47.8</v>
      </c>
      <c r="Y1112" s="8">
        <f t="shared" si="15"/>
        <v>1628.37</v>
      </c>
    </row>
    <row r="1113">
      <c r="A1113" s="2">
        <v>1106.0</v>
      </c>
      <c r="B1113" s="15">
        <f>IFERROR(__xludf.DUMMYFUNCTION("""COMPUTED_VALUE"""),44012.64583333333)</f>
        <v>44012.64583</v>
      </c>
      <c r="C1113" s="8">
        <f>IFERROR(__xludf.DUMMYFUNCTION("""COMPUTED_VALUE"""),1754.65)</f>
        <v>1754.65</v>
      </c>
      <c r="E1113" s="15">
        <f>IFERROR(__xludf.DUMMYFUNCTION("""COMPUTED_VALUE"""),44012.64583333333)</f>
        <v>44012.64583</v>
      </c>
      <c r="F1113" s="8">
        <f>IFERROR(__xludf.DUMMYFUNCTION("""COMPUTED_VALUE"""),1065.85)</f>
        <v>1065.85</v>
      </c>
      <c r="H1113" s="4">
        <f t="shared" si="1"/>
        <v>688.8</v>
      </c>
      <c r="I1113" s="16">
        <f t="shared" si="2"/>
        <v>716.22</v>
      </c>
      <c r="J1113" s="16">
        <f t="shared" si="3"/>
        <v>41.40616802</v>
      </c>
      <c r="K1113" s="16">
        <f t="shared" si="4"/>
        <v>757.626168</v>
      </c>
      <c r="L1113" s="16">
        <f t="shared" si="5"/>
        <v>674.813832</v>
      </c>
      <c r="N1113" s="17" t="str">
        <f t="shared" si="6"/>
        <v>F</v>
      </c>
      <c r="O1113" s="17" t="str">
        <f t="shared" si="7"/>
        <v>F</v>
      </c>
      <c r="P1113" s="8">
        <f t="shared" si="8"/>
        <v>1</v>
      </c>
      <c r="R1113" s="17" t="str">
        <f t="shared" si="9"/>
        <v>F</v>
      </c>
      <c r="S1113" s="3" t="str">
        <f t="shared" si="10"/>
        <v>T</v>
      </c>
      <c r="T1113" s="8">
        <f t="shared" si="11"/>
        <v>0</v>
      </c>
      <c r="V1113" s="4">
        <f t="shared" si="12"/>
        <v>1</v>
      </c>
      <c r="W1113" s="8">
        <f t="shared" si="13"/>
        <v>23.7</v>
      </c>
      <c r="X1113" s="8">
        <f t="shared" si="14"/>
        <v>23.7</v>
      </c>
      <c r="Y1113" s="8">
        <f t="shared" si="15"/>
        <v>1652.07</v>
      </c>
    </row>
    <row r="1114">
      <c r="A1114" s="2">
        <v>1107.0</v>
      </c>
      <c r="B1114" s="15">
        <f>IFERROR(__xludf.DUMMYFUNCTION("""COMPUTED_VALUE"""),44013.64583333333)</f>
        <v>44013.64583</v>
      </c>
      <c r="C1114" s="8">
        <f>IFERROR(__xludf.DUMMYFUNCTION("""COMPUTED_VALUE"""),1835.15)</f>
        <v>1835.15</v>
      </c>
      <c r="E1114" s="15">
        <f>IFERROR(__xludf.DUMMYFUNCTION("""COMPUTED_VALUE"""),44013.64583333333)</f>
        <v>44013.64583</v>
      </c>
      <c r="F1114" s="8">
        <f>IFERROR(__xludf.DUMMYFUNCTION("""COMPUTED_VALUE"""),1084.6)</f>
        <v>1084.6</v>
      </c>
      <c r="H1114" s="4">
        <f t="shared" si="1"/>
        <v>750.55</v>
      </c>
      <c r="I1114" s="16">
        <f t="shared" si="2"/>
        <v>713.28</v>
      </c>
      <c r="J1114" s="16">
        <f t="shared" si="3"/>
        <v>37.3807203</v>
      </c>
      <c r="K1114" s="16">
        <f t="shared" si="4"/>
        <v>750.6607203</v>
      </c>
      <c r="L1114" s="16">
        <f t="shared" si="5"/>
        <v>675.8992797</v>
      </c>
      <c r="N1114" s="17" t="str">
        <f t="shared" si="6"/>
        <v>F</v>
      </c>
      <c r="O1114" s="17" t="str">
        <f t="shared" si="7"/>
        <v>T</v>
      </c>
      <c r="P1114" s="8">
        <f t="shared" si="8"/>
        <v>0</v>
      </c>
      <c r="R1114" s="17" t="str">
        <f t="shared" si="9"/>
        <v>F</v>
      </c>
      <c r="S1114" s="3" t="str">
        <f t="shared" si="10"/>
        <v>F</v>
      </c>
      <c r="T1114" s="8">
        <f t="shared" si="11"/>
        <v>0</v>
      </c>
      <c r="V1114" s="4">
        <f t="shared" si="12"/>
        <v>0</v>
      </c>
      <c r="W1114" s="8">
        <f t="shared" si="13"/>
        <v>61.75</v>
      </c>
      <c r="X1114" s="8">
        <f t="shared" si="14"/>
        <v>61.75</v>
      </c>
      <c r="Y1114" s="8">
        <f t="shared" si="15"/>
        <v>1713.82</v>
      </c>
    </row>
    <row r="1115">
      <c r="A1115" s="2">
        <v>1108.0</v>
      </c>
      <c r="B1115" s="15">
        <f>IFERROR(__xludf.DUMMYFUNCTION("""COMPUTED_VALUE"""),44014.64583333333)</f>
        <v>44014.64583</v>
      </c>
      <c r="C1115" s="8">
        <f>IFERROR(__xludf.DUMMYFUNCTION("""COMPUTED_VALUE"""),1889.45)</f>
        <v>1889.45</v>
      </c>
      <c r="E1115" s="15">
        <f>IFERROR(__xludf.DUMMYFUNCTION("""COMPUTED_VALUE"""),44014.64583333333)</f>
        <v>44014.64583</v>
      </c>
      <c r="F1115" s="8">
        <f>IFERROR(__xludf.DUMMYFUNCTION("""COMPUTED_VALUE"""),1089.4)</f>
        <v>1089.4</v>
      </c>
      <c r="H1115" s="4">
        <f t="shared" si="1"/>
        <v>800.05</v>
      </c>
      <c r="I1115" s="16">
        <f t="shared" si="2"/>
        <v>723.48</v>
      </c>
      <c r="J1115" s="16">
        <f t="shared" si="3"/>
        <v>53.19448515</v>
      </c>
      <c r="K1115" s="16">
        <f t="shared" si="4"/>
        <v>776.6744851</v>
      </c>
      <c r="L1115" s="16">
        <f t="shared" si="5"/>
        <v>670.2855149</v>
      </c>
      <c r="N1115" s="17" t="str">
        <f t="shared" si="6"/>
        <v>F</v>
      </c>
      <c r="O1115" s="17" t="str">
        <f t="shared" si="7"/>
        <v>T</v>
      </c>
      <c r="P1115" s="8">
        <f t="shared" si="8"/>
        <v>0</v>
      </c>
      <c r="R1115" s="17" t="str">
        <f t="shared" si="9"/>
        <v>T</v>
      </c>
      <c r="S1115" s="3" t="str">
        <f t="shared" si="10"/>
        <v>F</v>
      </c>
      <c r="T1115" s="8">
        <f t="shared" si="11"/>
        <v>-1</v>
      </c>
      <c r="V1115" s="4">
        <f t="shared" si="12"/>
        <v>-1</v>
      </c>
      <c r="W1115" s="8">
        <f t="shared" si="13"/>
        <v>49.5</v>
      </c>
      <c r="X1115" s="8">
        <f t="shared" si="14"/>
        <v>0</v>
      </c>
      <c r="Y1115" s="8">
        <f t="shared" si="15"/>
        <v>1713.82</v>
      </c>
    </row>
    <row r="1116">
      <c r="A1116" s="2">
        <v>1109.0</v>
      </c>
      <c r="B1116" s="15">
        <f>IFERROR(__xludf.DUMMYFUNCTION("""COMPUTED_VALUE"""),44015.64583333333)</f>
        <v>44015.64583</v>
      </c>
      <c r="C1116" s="8">
        <f>IFERROR(__xludf.DUMMYFUNCTION("""COMPUTED_VALUE"""),1885.2)</f>
        <v>1885.2</v>
      </c>
      <c r="E1116" s="15">
        <f>IFERROR(__xludf.DUMMYFUNCTION("""COMPUTED_VALUE"""),44015.64583333333)</f>
        <v>44015.64583</v>
      </c>
      <c r="F1116" s="8">
        <f>IFERROR(__xludf.DUMMYFUNCTION("""COMPUTED_VALUE"""),1073.95)</f>
        <v>1073.95</v>
      </c>
      <c r="H1116" s="4">
        <f t="shared" si="1"/>
        <v>811.25</v>
      </c>
      <c r="I1116" s="16">
        <f t="shared" si="2"/>
        <v>743.15</v>
      </c>
      <c r="J1116" s="16">
        <f t="shared" si="3"/>
        <v>65.14542386</v>
      </c>
      <c r="K1116" s="16">
        <f t="shared" si="4"/>
        <v>808.2954239</v>
      </c>
      <c r="L1116" s="16">
        <f t="shared" si="5"/>
        <v>678.0045761</v>
      </c>
      <c r="N1116" s="17" t="str">
        <f t="shared" si="6"/>
        <v>F</v>
      </c>
      <c r="O1116" s="17" t="str">
        <f t="shared" si="7"/>
        <v>T</v>
      </c>
      <c r="P1116" s="8">
        <f t="shared" si="8"/>
        <v>0</v>
      </c>
      <c r="R1116" s="17" t="str">
        <f t="shared" si="9"/>
        <v>T</v>
      </c>
      <c r="S1116" s="3" t="str">
        <f t="shared" si="10"/>
        <v>F</v>
      </c>
      <c r="T1116" s="8">
        <f t="shared" si="11"/>
        <v>-1</v>
      </c>
      <c r="V1116" s="4">
        <f t="shared" si="12"/>
        <v>-1</v>
      </c>
      <c r="W1116" s="8">
        <f t="shared" si="13"/>
        <v>11.2</v>
      </c>
      <c r="X1116" s="8">
        <f t="shared" si="14"/>
        <v>-11.2</v>
      </c>
      <c r="Y1116" s="8">
        <f t="shared" si="15"/>
        <v>1702.62</v>
      </c>
    </row>
    <row r="1117">
      <c r="A1117" s="2">
        <v>1110.0</v>
      </c>
      <c r="B1117" s="15">
        <f>IFERROR(__xludf.DUMMYFUNCTION("""COMPUTED_VALUE"""),44018.64583333333)</f>
        <v>44018.64583</v>
      </c>
      <c r="C1117" s="8">
        <f>IFERROR(__xludf.DUMMYFUNCTION("""COMPUTED_VALUE"""),1868.7)</f>
        <v>1868.7</v>
      </c>
      <c r="E1117" s="15">
        <f>IFERROR(__xludf.DUMMYFUNCTION("""COMPUTED_VALUE"""),44018.64583333333)</f>
        <v>44018.64583</v>
      </c>
      <c r="F1117" s="8">
        <f>IFERROR(__xludf.DUMMYFUNCTION("""COMPUTED_VALUE"""),1103.0)</f>
        <v>1103</v>
      </c>
      <c r="H1117" s="4">
        <f t="shared" si="1"/>
        <v>765.7</v>
      </c>
      <c r="I1117" s="16">
        <f t="shared" si="2"/>
        <v>763.27</v>
      </c>
      <c r="J1117" s="16">
        <f t="shared" si="3"/>
        <v>48.39507465</v>
      </c>
      <c r="K1117" s="16">
        <f t="shared" si="4"/>
        <v>811.6650746</v>
      </c>
      <c r="L1117" s="16">
        <f t="shared" si="5"/>
        <v>714.8749254</v>
      </c>
      <c r="N1117" s="17" t="str">
        <f t="shared" si="6"/>
        <v>F</v>
      </c>
      <c r="O1117" s="17" t="str">
        <f t="shared" si="7"/>
        <v>T</v>
      </c>
      <c r="P1117" s="8">
        <f t="shared" si="8"/>
        <v>0</v>
      </c>
      <c r="R1117" s="17" t="str">
        <f t="shared" si="9"/>
        <v>F</v>
      </c>
      <c r="S1117" s="3" t="str">
        <f t="shared" si="10"/>
        <v>F</v>
      </c>
      <c r="T1117" s="8">
        <f t="shared" si="11"/>
        <v>-1</v>
      </c>
      <c r="V1117" s="4">
        <f t="shared" si="12"/>
        <v>-1</v>
      </c>
      <c r="W1117" s="8">
        <f t="shared" si="13"/>
        <v>-45.55</v>
      </c>
      <c r="X1117" s="8">
        <f t="shared" si="14"/>
        <v>45.55</v>
      </c>
      <c r="Y1117" s="8">
        <f t="shared" si="15"/>
        <v>1748.17</v>
      </c>
    </row>
    <row r="1118">
      <c r="A1118" s="2">
        <v>1111.0</v>
      </c>
      <c r="B1118" s="15">
        <f>IFERROR(__xludf.DUMMYFUNCTION("""COMPUTED_VALUE"""),44019.64583333333)</f>
        <v>44019.64583</v>
      </c>
      <c r="C1118" s="8">
        <f>IFERROR(__xludf.DUMMYFUNCTION("""COMPUTED_VALUE"""),1886.75)</f>
        <v>1886.75</v>
      </c>
      <c r="E1118" s="15">
        <f>IFERROR(__xludf.DUMMYFUNCTION("""COMPUTED_VALUE"""),44019.64583333333)</f>
        <v>44019.64583</v>
      </c>
      <c r="F1118" s="8">
        <f>IFERROR(__xludf.DUMMYFUNCTION("""COMPUTED_VALUE"""),1105.15)</f>
        <v>1105.15</v>
      </c>
      <c r="H1118" s="4">
        <f t="shared" si="1"/>
        <v>781.6</v>
      </c>
      <c r="I1118" s="16">
        <f t="shared" si="2"/>
        <v>781.83</v>
      </c>
      <c r="J1118" s="16">
        <f t="shared" si="3"/>
        <v>24.67880163</v>
      </c>
      <c r="K1118" s="16">
        <f t="shared" si="4"/>
        <v>806.5088016</v>
      </c>
      <c r="L1118" s="16">
        <f t="shared" si="5"/>
        <v>757.1511984</v>
      </c>
      <c r="N1118" s="17" t="str">
        <f t="shared" si="6"/>
        <v>F</v>
      </c>
      <c r="O1118" s="17" t="str">
        <f t="shared" si="7"/>
        <v>F</v>
      </c>
      <c r="P1118" s="8">
        <f t="shared" si="8"/>
        <v>0</v>
      </c>
      <c r="R1118" s="17" t="str">
        <f t="shared" si="9"/>
        <v>F</v>
      </c>
      <c r="S1118" s="3" t="str">
        <f t="shared" si="10"/>
        <v>T</v>
      </c>
      <c r="T1118" s="8">
        <f t="shared" si="11"/>
        <v>0</v>
      </c>
      <c r="V1118" s="4">
        <f t="shared" si="12"/>
        <v>0</v>
      </c>
      <c r="W1118" s="8">
        <f t="shared" si="13"/>
        <v>15.9</v>
      </c>
      <c r="X1118" s="8">
        <f t="shared" si="14"/>
        <v>-15.9</v>
      </c>
      <c r="Y1118" s="8">
        <f t="shared" si="15"/>
        <v>1732.27</v>
      </c>
    </row>
    <row r="1119">
      <c r="A1119" s="2">
        <v>1112.0</v>
      </c>
      <c r="B1119" s="15">
        <f>IFERROR(__xludf.DUMMYFUNCTION("""COMPUTED_VALUE"""),44020.64583333333)</f>
        <v>44020.64583</v>
      </c>
      <c r="C1119" s="8">
        <f>IFERROR(__xludf.DUMMYFUNCTION("""COMPUTED_VALUE"""),1886.05)</f>
        <v>1886.05</v>
      </c>
      <c r="E1119" s="15">
        <f>IFERROR(__xludf.DUMMYFUNCTION("""COMPUTED_VALUE"""),44020.64583333333)</f>
        <v>44020.64583</v>
      </c>
      <c r="F1119" s="8">
        <f>IFERROR(__xludf.DUMMYFUNCTION("""COMPUTED_VALUE"""),1110.35)</f>
        <v>1110.35</v>
      </c>
      <c r="H1119" s="4">
        <f t="shared" si="1"/>
        <v>775.7</v>
      </c>
      <c r="I1119" s="16">
        <f t="shared" si="2"/>
        <v>786.86</v>
      </c>
      <c r="J1119" s="16">
        <f t="shared" si="3"/>
        <v>18.4986959</v>
      </c>
      <c r="K1119" s="16">
        <f t="shared" si="4"/>
        <v>805.3586959</v>
      </c>
      <c r="L1119" s="16">
        <f t="shared" si="5"/>
        <v>768.3613041</v>
      </c>
      <c r="N1119" s="17" t="str">
        <f t="shared" si="6"/>
        <v>F</v>
      </c>
      <c r="O1119" s="17" t="str">
        <f t="shared" si="7"/>
        <v>F</v>
      </c>
      <c r="P1119" s="8">
        <f t="shared" si="8"/>
        <v>0</v>
      </c>
      <c r="R1119" s="17" t="str">
        <f t="shared" si="9"/>
        <v>F</v>
      </c>
      <c r="S1119" s="3" t="str">
        <f t="shared" si="10"/>
        <v>T</v>
      </c>
      <c r="T1119" s="8">
        <f t="shared" si="11"/>
        <v>0</v>
      </c>
      <c r="V1119" s="4">
        <f t="shared" si="12"/>
        <v>0</v>
      </c>
      <c r="W1119" s="8">
        <f t="shared" si="13"/>
        <v>-5.9</v>
      </c>
      <c r="X1119" s="8">
        <f t="shared" si="14"/>
        <v>0</v>
      </c>
      <c r="Y1119" s="8">
        <f t="shared" si="15"/>
        <v>1732.27</v>
      </c>
    </row>
    <row r="1120">
      <c r="A1120" s="2">
        <v>1113.0</v>
      </c>
      <c r="B1120" s="15">
        <f>IFERROR(__xludf.DUMMYFUNCTION("""COMPUTED_VALUE"""),44021.64583333333)</f>
        <v>44021.64583</v>
      </c>
      <c r="C1120" s="8">
        <f>IFERROR(__xludf.DUMMYFUNCTION("""COMPUTED_VALUE"""),1941.85)</f>
        <v>1941.85</v>
      </c>
      <c r="E1120" s="15">
        <f>IFERROR(__xludf.DUMMYFUNCTION("""COMPUTED_VALUE"""),44021.64583333333)</f>
        <v>44021.64583</v>
      </c>
      <c r="F1120" s="8">
        <f>IFERROR(__xludf.DUMMYFUNCTION("""COMPUTED_VALUE"""),1124.95)</f>
        <v>1124.95</v>
      </c>
      <c r="H1120" s="4">
        <f t="shared" si="1"/>
        <v>816.9</v>
      </c>
      <c r="I1120" s="16">
        <f t="shared" si="2"/>
        <v>790.23</v>
      </c>
      <c r="J1120" s="16">
        <f t="shared" si="3"/>
        <v>22.58565917</v>
      </c>
      <c r="K1120" s="16">
        <f t="shared" si="4"/>
        <v>812.8156592</v>
      </c>
      <c r="L1120" s="16">
        <f t="shared" si="5"/>
        <v>767.6443408</v>
      </c>
      <c r="N1120" s="17" t="str">
        <f t="shared" si="6"/>
        <v>F</v>
      </c>
      <c r="O1120" s="17" t="str">
        <f t="shared" si="7"/>
        <v>T</v>
      </c>
      <c r="P1120" s="8">
        <f t="shared" si="8"/>
        <v>0</v>
      </c>
      <c r="R1120" s="17" t="str">
        <f t="shared" si="9"/>
        <v>T</v>
      </c>
      <c r="S1120" s="3" t="str">
        <f t="shared" si="10"/>
        <v>F</v>
      </c>
      <c r="T1120" s="8">
        <f t="shared" si="11"/>
        <v>-1</v>
      </c>
      <c r="V1120" s="4">
        <f t="shared" si="12"/>
        <v>-1</v>
      </c>
      <c r="W1120" s="8">
        <f t="shared" si="13"/>
        <v>41.2</v>
      </c>
      <c r="X1120" s="8">
        <f t="shared" si="14"/>
        <v>0</v>
      </c>
      <c r="Y1120" s="8">
        <f t="shared" si="15"/>
        <v>1732.27</v>
      </c>
    </row>
    <row r="1121">
      <c r="A1121" s="2">
        <v>1114.0</v>
      </c>
      <c r="B1121" s="15">
        <f>IFERROR(__xludf.DUMMYFUNCTION("""COMPUTED_VALUE"""),44022.64583333333)</f>
        <v>44022.64583</v>
      </c>
      <c r="C1121" s="8">
        <f>IFERROR(__xludf.DUMMYFUNCTION("""COMPUTED_VALUE"""),1886.0)</f>
        <v>1886</v>
      </c>
      <c r="E1121" s="15">
        <f>IFERROR(__xludf.DUMMYFUNCTION("""COMPUTED_VALUE"""),44022.64583333333)</f>
        <v>44022.64583</v>
      </c>
      <c r="F1121" s="8">
        <f>IFERROR(__xludf.DUMMYFUNCTION("""COMPUTED_VALUE"""),1105.1)</f>
        <v>1105.1</v>
      </c>
      <c r="H1121" s="4">
        <f t="shared" si="1"/>
        <v>780.9</v>
      </c>
      <c r="I1121" s="16">
        <f t="shared" si="2"/>
        <v>784.16</v>
      </c>
      <c r="J1121" s="16">
        <f t="shared" si="3"/>
        <v>19.37415805</v>
      </c>
      <c r="K1121" s="16">
        <f t="shared" si="4"/>
        <v>803.534158</v>
      </c>
      <c r="L1121" s="16">
        <f t="shared" si="5"/>
        <v>764.785842</v>
      </c>
      <c r="N1121" s="17" t="str">
        <f t="shared" si="6"/>
        <v>F</v>
      </c>
      <c r="O1121" s="17" t="str">
        <f t="shared" si="7"/>
        <v>F</v>
      </c>
      <c r="P1121" s="8">
        <f t="shared" si="8"/>
        <v>0</v>
      </c>
      <c r="R1121" s="17" t="str">
        <f t="shared" si="9"/>
        <v>F</v>
      </c>
      <c r="S1121" s="3" t="str">
        <f t="shared" si="10"/>
        <v>T</v>
      </c>
      <c r="T1121" s="8">
        <f t="shared" si="11"/>
        <v>0</v>
      </c>
      <c r="V1121" s="4">
        <f t="shared" si="12"/>
        <v>0</v>
      </c>
      <c r="W1121" s="8">
        <f t="shared" si="13"/>
        <v>-36</v>
      </c>
      <c r="X1121" s="8">
        <f t="shared" si="14"/>
        <v>36</v>
      </c>
      <c r="Y1121" s="8">
        <f t="shared" si="15"/>
        <v>1768.27</v>
      </c>
    </row>
    <row r="1122">
      <c r="A1122" s="2">
        <v>1115.0</v>
      </c>
      <c r="B1122" s="15">
        <f>IFERROR(__xludf.DUMMYFUNCTION("""COMPUTED_VALUE"""),44025.64583333333)</f>
        <v>44025.64583</v>
      </c>
      <c r="C1122" s="8">
        <f>IFERROR(__xludf.DUMMYFUNCTION("""COMPUTED_VALUE"""),1845.55)</f>
        <v>1845.55</v>
      </c>
      <c r="E1122" s="15">
        <f>IFERROR(__xludf.DUMMYFUNCTION("""COMPUTED_VALUE"""),44025.64583333333)</f>
        <v>44025.64583</v>
      </c>
      <c r="F1122" s="8">
        <f>IFERROR(__xludf.DUMMYFUNCTION("""COMPUTED_VALUE"""),1080.25)</f>
        <v>1080.25</v>
      </c>
      <c r="H1122" s="4">
        <f t="shared" si="1"/>
        <v>765.3</v>
      </c>
      <c r="I1122" s="16">
        <f t="shared" si="2"/>
        <v>784.08</v>
      </c>
      <c r="J1122" s="16">
        <f t="shared" si="3"/>
        <v>19.47002825</v>
      </c>
      <c r="K1122" s="16">
        <f t="shared" si="4"/>
        <v>803.5500282</v>
      </c>
      <c r="L1122" s="16">
        <f t="shared" si="5"/>
        <v>764.6099718</v>
      </c>
      <c r="N1122" s="17" t="str">
        <f t="shared" si="6"/>
        <v>F</v>
      </c>
      <c r="O1122" s="17" t="str">
        <f t="shared" si="7"/>
        <v>F</v>
      </c>
      <c r="P1122" s="8">
        <f t="shared" si="8"/>
        <v>0</v>
      </c>
      <c r="R1122" s="17" t="str">
        <f t="shared" si="9"/>
        <v>F</v>
      </c>
      <c r="S1122" s="3" t="str">
        <f t="shared" si="10"/>
        <v>T</v>
      </c>
      <c r="T1122" s="8">
        <f t="shared" si="11"/>
        <v>0</v>
      </c>
      <c r="V1122" s="4">
        <f t="shared" si="12"/>
        <v>0</v>
      </c>
      <c r="W1122" s="8">
        <f t="shared" si="13"/>
        <v>-15.6</v>
      </c>
      <c r="X1122" s="8">
        <f t="shared" si="14"/>
        <v>0</v>
      </c>
      <c r="Y1122" s="8">
        <f t="shared" si="15"/>
        <v>1768.27</v>
      </c>
    </row>
    <row r="1123">
      <c r="A1123" s="2">
        <v>1116.0</v>
      </c>
      <c r="B1123" s="15">
        <f>IFERROR(__xludf.DUMMYFUNCTION("""COMPUTED_VALUE"""),44026.64583333333)</f>
        <v>44026.64583</v>
      </c>
      <c r="C1123" s="8">
        <f>IFERROR(__xludf.DUMMYFUNCTION("""COMPUTED_VALUE"""),1791.6)</f>
        <v>1791.6</v>
      </c>
      <c r="E1123" s="15">
        <f>IFERROR(__xludf.DUMMYFUNCTION("""COMPUTED_VALUE"""),44026.64583333333)</f>
        <v>44026.64583</v>
      </c>
      <c r="F1123" s="8">
        <f>IFERROR(__xludf.DUMMYFUNCTION("""COMPUTED_VALUE"""),1058.85)</f>
        <v>1058.85</v>
      </c>
      <c r="H1123" s="4">
        <f t="shared" si="1"/>
        <v>732.75</v>
      </c>
      <c r="I1123" s="16">
        <f t="shared" si="2"/>
        <v>774.31</v>
      </c>
      <c r="J1123" s="16">
        <f t="shared" si="3"/>
        <v>30.28069517</v>
      </c>
      <c r="K1123" s="16">
        <f t="shared" si="4"/>
        <v>804.5906952</v>
      </c>
      <c r="L1123" s="16">
        <f t="shared" si="5"/>
        <v>744.0293048</v>
      </c>
      <c r="N1123" s="17" t="str">
        <f t="shared" si="6"/>
        <v>T</v>
      </c>
      <c r="O1123" s="17" t="str">
        <f t="shared" si="7"/>
        <v>F</v>
      </c>
      <c r="P1123" s="8">
        <f t="shared" si="8"/>
        <v>1</v>
      </c>
      <c r="R1123" s="17" t="str">
        <f t="shared" si="9"/>
        <v>F</v>
      </c>
      <c r="S1123" s="3" t="str">
        <f t="shared" si="10"/>
        <v>T</v>
      </c>
      <c r="T1123" s="8">
        <f t="shared" si="11"/>
        <v>0</v>
      </c>
      <c r="V1123" s="4">
        <f t="shared" si="12"/>
        <v>1</v>
      </c>
      <c r="W1123" s="8">
        <f t="shared" si="13"/>
        <v>-32.55</v>
      </c>
      <c r="X1123" s="8">
        <f t="shared" si="14"/>
        <v>0</v>
      </c>
      <c r="Y1123" s="8">
        <f t="shared" si="15"/>
        <v>1768.27</v>
      </c>
    </row>
    <row r="1124">
      <c r="A1124" s="2">
        <v>1117.0</v>
      </c>
      <c r="B1124" s="15">
        <f>IFERROR(__xludf.DUMMYFUNCTION("""COMPUTED_VALUE"""),44027.64583333333)</f>
        <v>44027.64583</v>
      </c>
      <c r="C1124" s="8">
        <f>IFERROR(__xludf.DUMMYFUNCTION("""COMPUTED_VALUE"""),1789.9)</f>
        <v>1789.9</v>
      </c>
      <c r="E1124" s="15">
        <f>IFERROR(__xludf.DUMMYFUNCTION("""COMPUTED_VALUE"""),44027.64583333333)</f>
        <v>44027.64583</v>
      </c>
      <c r="F1124" s="8">
        <f>IFERROR(__xludf.DUMMYFUNCTION("""COMPUTED_VALUE"""),1053.15)</f>
        <v>1053.15</v>
      </c>
      <c r="H1124" s="4">
        <f t="shared" si="1"/>
        <v>736.75</v>
      </c>
      <c r="I1124" s="16">
        <f t="shared" si="2"/>
        <v>766.52</v>
      </c>
      <c r="J1124" s="16">
        <f t="shared" si="3"/>
        <v>34.54375124</v>
      </c>
      <c r="K1124" s="16">
        <f t="shared" si="4"/>
        <v>801.0637512</v>
      </c>
      <c r="L1124" s="16">
        <f t="shared" si="5"/>
        <v>731.9762488</v>
      </c>
      <c r="N1124" s="17" t="str">
        <f t="shared" si="6"/>
        <v>F</v>
      </c>
      <c r="O1124" s="17" t="str">
        <f t="shared" si="7"/>
        <v>F</v>
      </c>
      <c r="P1124" s="8">
        <f t="shared" si="8"/>
        <v>1</v>
      </c>
      <c r="R1124" s="17" t="str">
        <f t="shared" si="9"/>
        <v>F</v>
      </c>
      <c r="S1124" s="3" t="str">
        <f t="shared" si="10"/>
        <v>T</v>
      </c>
      <c r="T1124" s="8">
        <f t="shared" si="11"/>
        <v>0</v>
      </c>
      <c r="V1124" s="4">
        <f t="shared" si="12"/>
        <v>1</v>
      </c>
      <c r="W1124" s="8">
        <f t="shared" si="13"/>
        <v>4</v>
      </c>
      <c r="X1124" s="8">
        <f t="shared" si="14"/>
        <v>4</v>
      </c>
      <c r="Y1124" s="8">
        <f t="shared" si="15"/>
        <v>1772.27</v>
      </c>
    </row>
    <row r="1125">
      <c r="A1125" s="2">
        <v>1118.0</v>
      </c>
      <c r="B1125" s="15">
        <f>IFERROR(__xludf.DUMMYFUNCTION("""COMPUTED_VALUE"""),44028.64583333333)</f>
        <v>44028.64583</v>
      </c>
      <c r="C1125" s="8">
        <f>IFERROR(__xludf.DUMMYFUNCTION("""COMPUTED_VALUE"""),1787.8)</f>
        <v>1787.8</v>
      </c>
      <c r="E1125" s="15">
        <f>IFERROR(__xludf.DUMMYFUNCTION("""COMPUTED_VALUE"""),44028.64583333333)</f>
        <v>44028.64583</v>
      </c>
      <c r="F1125" s="8">
        <f>IFERROR(__xludf.DUMMYFUNCTION("""COMPUTED_VALUE"""),1062.55)</f>
        <v>1062.55</v>
      </c>
      <c r="H1125" s="4">
        <f t="shared" si="1"/>
        <v>725.25</v>
      </c>
      <c r="I1125" s="16">
        <f t="shared" si="2"/>
        <v>748.19</v>
      </c>
      <c r="J1125" s="16">
        <f t="shared" si="3"/>
        <v>23.76029777</v>
      </c>
      <c r="K1125" s="16">
        <f t="shared" si="4"/>
        <v>771.9502978</v>
      </c>
      <c r="L1125" s="16">
        <f t="shared" si="5"/>
        <v>724.4297022</v>
      </c>
      <c r="N1125" s="17" t="str">
        <f t="shared" si="6"/>
        <v>F</v>
      </c>
      <c r="O1125" s="17" t="str">
        <f t="shared" si="7"/>
        <v>F</v>
      </c>
      <c r="P1125" s="8">
        <f t="shared" si="8"/>
        <v>1</v>
      </c>
      <c r="R1125" s="17" t="str">
        <f t="shared" si="9"/>
        <v>F</v>
      </c>
      <c r="S1125" s="3" t="str">
        <f t="shared" si="10"/>
        <v>T</v>
      </c>
      <c r="T1125" s="8">
        <f t="shared" si="11"/>
        <v>0</v>
      </c>
      <c r="V1125" s="4">
        <f t="shared" si="12"/>
        <v>1</v>
      </c>
      <c r="W1125" s="8">
        <f t="shared" si="13"/>
        <v>-11.5</v>
      </c>
      <c r="X1125" s="8">
        <f t="shared" si="14"/>
        <v>-11.5</v>
      </c>
      <c r="Y1125" s="8">
        <f t="shared" si="15"/>
        <v>1760.77</v>
      </c>
    </row>
    <row r="1126">
      <c r="A1126" s="2">
        <v>1119.0</v>
      </c>
      <c r="B1126" s="15">
        <f>IFERROR(__xludf.DUMMYFUNCTION("""COMPUTED_VALUE"""),44029.64583333333)</f>
        <v>44029.64583</v>
      </c>
      <c r="C1126" s="8">
        <f>IFERROR(__xludf.DUMMYFUNCTION("""COMPUTED_VALUE"""),1805.85)</f>
        <v>1805.85</v>
      </c>
      <c r="E1126" s="15">
        <f>IFERROR(__xludf.DUMMYFUNCTION("""COMPUTED_VALUE"""),44029.64583333333)</f>
        <v>44029.64583</v>
      </c>
      <c r="F1126" s="8">
        <f>IFERROR(__xludf.DUMMYFUNCTION("""COMPUTED_VALUE"""),1098.45)</f>
        <v>1098.45</v>
      </c>
      <c r="H1126" s="4">
        <f t="shared" si="1"/>
        <v>707.4</v>
      </c>
      <c r="I1126" s="16">
        <f t="shared" si="2"/>
        <v>733.49</v>
      </c>
      <c r="J1126" s="16">
        <f t="shared" si="3"/>
        <v>21.04540924</v>
      </c>
      <c r="K1126" s="16">
        <f t="shared" si="4"/>
        <v>754.5354092</v>
      </c>
      <c r="L1126" s="16">
        <f t="shared" si="5"/>
        <v>712.4445908</v>
      </c>
      <c r="N1126" s="17" t="str">
        <f t="shared" si="6"/>
        <v>T</v>
      </c>
      <c r="O1126" s="17" t="str">
        <f t="shared" si="7"/>
        <v>F</v>
      </c>
      <c r="P1126" s="8">
        <f t="shared" si="8"/>
        <v>1</v>
      </c>
      <c r="R1126" s="17" t="str">
        <f t="shared" si="9"/>
        <v>F</v>
      </c>
      <c r="S1126" s="3" t="str">
        <f t="shared" si="10"/>
        <v>T</v>
      </c>
      <c r="T1126" s="8">
        <f t="shared" si="11"/>
        <v>0</v>
      </c>
      <c r="V1126" s="4">
        <f t="shared" si="12"/>
        <v>1</v>
      </c>
      <c r="W1126" s="8">
        <f t="shared" si="13"/>
        <v>-17.85</v>
      </c>
      <c r="X1126" s="8">
        <f t="shared" si="14"/>
        <v>-17.85</v>
      </c>
      <c r="Y1126" s="8">
        <f t="shared" si="15"/>
        <v>1742.92</v>
      </c>
    </row>
    <row r="1127">
      <c r="A1127" s="2">
        <v>1120.0</v>
      </c>
      <c r="B1127" s="15">
        <f>IFERROR(__xludf.DUMMYFUNCTION("""COMPUTED_VALUE"""),44032.64583333333)</f>
        <v>44032.64583</v>
      </c>
      <c r="C1127" s="8">
        <f>IFERROR(__xludf.DUMMYFUNCTION("""COMPUTED_VALUE"""),1806.05)</f>
        <v>1806.05</v>
      </c>
      <c r="E1127" s="15">
        <f>IFERROR(__xludf.DUMMYFUNCTION("""COMPUTED_VALUE"""),44032.64583333333)</f>
        <v>44032.64583</v>
      </c>
      <c r="F1127" s="8">
        <f>IFERROR(__xludf.DUMMYFUNCTION("""COMPUTED_VALUE"""),1133.05)</f>
        <v>1133.05</v>
      </c>
      <c r="H1127" s="4">
        <f t="shared" si="1"/>
        <v>673</v>
      </c>
      <c r="I1127" s="16">
        <f t="shared" si="2"/>
        <v>715.03</v>
      </c>
      <c r="J1127" s="16">
        <f t="shared" si="3"/>
        <v>26.05255746</v>
      </c>
      <c r="K1127" s="16">
        <f t="shared" si="4"/>
        <v>741.0825575</v>
      </c>
      <c r="L1127" s="16">
        <f t="shared" si="5"/>
        <v>688.9774425</v>
      </c>
      <c r="N1127" s="17" t="str">
        <f t="shared" si="6"/>
        <v>T</v>
      </c>
      <c r="O1127" s="17" t="str">
        <f t="shared" si="7"/>
        <v>F</v>
      </c>
      <c r="P1127" s="8">
        <f t="shared" si="8"/>
        <v>1</v>
      </c>
      <c r="R1127" s="17" t="str">
        <f t="shared" si="9"/>
        <v>F</v>
      </c>
      <c r="S1127" s="3" t="str">
        <f t="shared" si="10"/>
        <v>T</v>
      </c>
      <c r="T1127" s="8">
        <f t="shared" si="11"/>
        <v>0</v>
      </c>
      <c r="V1127" s="4">
        <f t="shared" si="12"/>
        <v>1</v>
      </c>
      <c r="W1127" s="8">
        <f t="shared" si="13"/>
        <v>-34.4</v>
      </c>
      <c r="X1127" s="8">
        <f t="shared" si="14"/>
        <v>-34.4</v>
      </c>
      <c r="Y1127" s="8">
        <f t="shared" si="15"/>
        <v>1708.52</v>
      </c>
    </row>
    <row r="1128">
      <c r="A1128" s="2">
        <v>1121.0</v>
      </c>
      <c r="B1128" s="15">
        <f>IFERROR(__xludf.DUMMYFUNCTION("""COMPUTED_VALUE"""),44033.64583333333)</f>
        <v>44033.64583</v>
      </c>
      <c r="C1128" s="8">
        <f>IFERROR(__xludf.DUMMYFUNCTION("""COMPUTED_VALUE"""),1883.65)</f>
        <v>1883.65</v>
      </c>
      <c r="E1128" s="15">
        <f>IFERROR(__xludf.DUMMYFUNCTION("""COMPUTED_VALUE"""),44033.64583333333)</f>
        <v>44033.64583</v>
      </c>
      <c r="F1128" s="8">
        <f>IFERROR(__xludf.DUMMYFUNCTION("""COMPUTED_VALUE"""),1138.55)</f>
        <v>1138.55</v>
      </c>
      <c r="H1128" s="4">
        <f t="shared" si="1"/>
        <v>745.1</v>
      </c>
      <c r="I1128" s="16">
        <f t="shared" si="2"/>
        <v>717.5</v>
      </c>
      <c r="J1128" s="16">
        <f t="shared" si="3"/>
        <v>28.61225699</v>
      </c>
      <c r="K1128" s="16">
        <f t="shared" si="4"/>
        <v>746.112257</v>
      </c>
      <c r="L1128" s="16">
        <f t="shared" si="5"/>
        <v>688.887743</v>
      </c>
      <c r="N1128" s="17" t="str">
        <f t="shared" si="6"/>
        <v>F</v>
      </c>
      <c r="O1128" s="17" t="str">
        <f t="shared" si="7"/>
        <v>T</v>
      </c>
      <c r="P1128" s="8">
        <f t="shared" si="8"/>
        <v>0</v>
      </c>
      <c r="R1128" s="17" t="str">
        <f t="shared" si="9"/>
        <v>F</v>
      </c>
      <c r="S1128" s="3" t="str">
        <f t="shared" si="10"/>
        <v>F</v>
      </c>
      <c r="T1128" s="8">
        <f t="shared" si="11"/>
        <v>0</v>
      </c>
      <c r="V1128" s="4">
        <f t="shared" si="12"/>
        <v>0</v>
      </c>
      <c r="W1128" s="8">
        <f t="shared" si="13"/>
        <v>72.1</v>
      </c>
      <c r="X1128" s="8">
        <f t="shared" si="14"/>
        <v>72.1</v>
      </c>
      <c r="Y1128" s="8">
        <f t="shared" si="15"/>
        <v>1780.62</v>
      </c>
    </row>
    <row r="1129">
      <c r="A1129" s="2">
        <v>1122.0</v>
      </c>
      <c r="B1129" s="15">
        <f>IFERROR(__xludf.DUMMYFUNCTION("""COMPUTED_VALUE"""),44034.64583333333)</f>
        <v>44034.64583</v>
      </c>
      <c r="C1129" s="8">
        <f>IFERROR(__xludf.DUMMYFUNCTION("""COMPUTED_VALUE"""),1881.05)</f>
        <v>1881.05</v>
      </c>
      <c r="E1129" s="15">
        <f>IFERROR(__xludf.DUMMYFUNCTION("""COMPUTED_VALUE"""),44034.64583333333)</f>
        <v>44034.64583</v>
      </c>
      <c r="F1129" s="8">
        <f>IFERROR(__xludf.DUMMYFUNCTION("""COMPUTED_VALUE"""),1126.35)</f>
        <v>1126.35</v>
      </c>
      <c r="H1129" s="4">
        <f t="shared" si="1"/>
        <v>754.7</v>
      </c>
      <c r="I1129" s="16">
        <f t="shared" si="2"/>
        <v>721.09</v>
      </c>
      <c r="J1129" s="16">
        <f t="shared" si="3"/>
        <v>32.49416101</v>
      </c>
      <c r="K1129" s="16">
        <f t="shared" si="4"/>
        <v>753.584161</v>
      </c>
      <c r="L1129" s="16">
        <f t="shared" si="5"/>
        <v>688.595839</v>
      </c>
      <c r="N1129" s="17" t="str">
        <f t="shared" si="6"/>
        <v>F</v>
      </c>
      <c r="O1129" s="17" t="str">
        <f t="shared" si="7"/>
        <v>T</v>
      </c>
      <c r="P1129" s="8">
        <f t="shared" si="8"/>
        <v>0</v>
      </c>
      <c r="R1129" s="17" t="str">
        <f t="shared" si="9"/>
        <v>T</v>
      </c>
      <c r="S1129" s="3" t="str">
        <f t="shared" si="10"/>
        <v>F</v>
      </c>
      <c r="T1129" s="8">
        <f t="shared" si="11"/>
        <v>-1</v>
      </c>
      <c r="V1129" s="4">
        <f t="shared" si="12"/>
        <v>-1</v>
      </c>
      <c r="W1129" s="8">
        <f t="shared" si="13"/>
        <v>9.6</v>
      </c>
      <c r="X1129" s="8">
        <f t="shared" si="14"/>
        <v>0</v>
      </c>
      <c r="Y1129" s="8">
        <f t="shared" si="15"/>
        <v>1780.62</v>
      </c>
    </row>
    <row r="1130">
      <c r="A1130" s="2">
        <v>1123.0</v>
      </c>
      <c r="B1130" s="15">
        <f>IFERROR(__xludf.DUMMYFUNCTION("""COMPUTED_VALUE"""),44035.64583333333)</f>
        <v>44035.64583</v>
      </c>
      <c r="C1130" s="8">
        <f>IFERROR(__xludf.DUMMYFUNCTION("""COMPUTED_VALUE"""),1875.8)</f>
        <v>1875.8</v>
      </c>
      <c r="E1130" s="15">
        <f>IFERROR(__xludf.DUMMYFUNCTION("""COMPUTED_VALUE"""),44035.64583333333)</f>
        <v>44035.64583</v>
      </c>
      <c r="F1130" s="8">
        <f>IFERROR(__xludf.DUMMYFUNCTION("""COMPUTED_VALUE"""),1130.4)</f>
        <v>1130.4</v>
      </c>
      <c r="H1130" s="4">
        <f t="shared" si="1"/>
        <v>745.4</v>
      </c>
      <c r="I1130" s="16">
        <f t="shared" si="2"/>
        <v>725.12</v>
      </c>
      <c r="J1130" s="16">
        <f t="shared" si="3"/>
        <v>34.33638012</v>
      </c>
      <c r="K1130" s="16">
        <f t="shared" si="4"/>
        <v>759.4563801</v>
      </c>
      <c r="L1130" s="16">
        <f t="shared" si="5"/>
        <v>690.7836199</v>
      </c>
      <c r="N1130" s="17" t="str">
        <f t="shared" si="6"/>
        <v>F</v>
      </c>
      <c r="O1130" s="17" t="str">
        <f t="shared" si="7"/>
        <v>T</v>
      </c>
      <c r="P1130" s="8">
        <f t="shared" si="8"/>
        <v>0</v>
      </c>
      <c r="R1130" s="17" t="str">
        <f t="shared" si="9"/>
        <v>F</v>
      </c>
      <c r="S1130" s="3" t="str">
        <f t="shared" si="10"/>
        <v>F</v>
      </c>
      <c r="T1130" s="8">
        <f t="shared" si="11"/>
        <v>-1</v>
      </c>
      <c r="V1130" s="4">
        <f t="shared" si="12"/>
        <v>-1</v>
      </c>
      <c r="W1130" s="8">
        <f t="shared" si="13"/>
        <v>-9.3</v>
      </c>
      <c r="X1130" s="8">
        <f t="shared" si="14"/>
        <v>9.3</v>
      </c>
      <c r="Y1130" s="8">
        <f t="shared" si="15"/>
        <v>1789.92</v>
      </c>
    </row>
    <row r="1131">
      <c r="A1131" s="2">
        <v>1124.0</v>
      </c>
      <c r="B1131" s="15">
        <f>IFERROR(__xludf.DUMMYFUNCTION("""COMPUTED_VALUE"""),44036.64583333333)</f>
        <v>44036.64583</v>
      </c>
      <c r="C1131" s="8">
        <f>IFERROR(__xludf.DUMMYFUNCTION("""COMPUTED_VALUE"""),1841.3)</f>
        <v>1841.3</v>
      </c>
      <c r="E1131" s="15">
        <f>IFERROR(__xludf.DUMMYFUNCTION("""COMPUTED_VALUE"""),44036.64583333333)</f>
        <v>44036.64583</v>
      </c>
      <c r="F1131" s="8">
        <f>IFERROR(__xludf.DUMMYFUNCTION("""COMPUTED_VALUE"""),1119.1)</f>
        <v>1119.1</v>
      </c>
      <c r="H1131" s="4">
        <f t="shared" si="1"/>
        <v>722.2</v>
      </c>
      <c r="I1131" s="16">
        <f t="shared" si="2"/>
        <v>728.08</v>
      </c>
      <c r="J1131" s="16">
        <f t="shared" si="3"/>
        <v>33.04038438</v>
      </c>
      <c r="K1131" s="16">
        <f t="shared" si="4"/>
        <v>761.1203844</v>
      </c>
      <c r="L1131" s="16">
        <f t="shared" si="5"/>
        <v>695.0396156</v>
      </c>
      <c r="N1131" s="17" t="str">
        <f t="shared" si="6"/>
        <v>F</v>
      </c>
      <c r="O1131" s="17" t="str">
        <f t="shared" si="7"/>
        <v>F</v>
      </c>
      <c r="P1131" s="8">
        <f t="shared" si="8"/>
        <v>0</v>
      </c>
      <c r="R1131" s="17" t="str">
        <f t="shared" si="9"/>
        <v>F</v>
      </c>
      <c r="S1131" s="3" t="str">
        <f t="shared" si="10"/>
        <v>T</v>
      </c>
      <c r="T1131" s="8">
        <f t="shared" si="11"/>
        <v>0</v>
      </c>
      <c r="V1131" s="4">
        <f t="shared" si="12"/>
        <v>0</v>
      </c>
      <c r="W1131" s="8">
        <f t="shared" si="13"/>
        <v>-23.2</v>
      </c>
      <c r="X1131" s="8">
        <f t="shared" si="14"/>
        <v>23.2</v>
      </c>
      <c r="Y1131" s="8">
        <f t="shared" si="15"/>
        <v>1813.12</v>
      </c>
    </row>
    <row r="1132">
      <c r="A1132" s="2">
        <v>1125.0</v>
      </c>
      <c r="B1132" s="15">
        <f>IFERROR(__xludf.DUMMYFUNCTION("""COMPUTED_VALUE"""),44039.64583333333)</f>
        <v>44039.64583</v>
      </c>
      <c r="C1132" s="8">
        <f>IFERROR(__xludf.DUMMYFUNCTION("""COMPUTED_VALUE"""),1850.75)</f>
        <v>1850.75</v>
      </c>
      <c r="E1132" s="15">
        <f>IFERROR(__xludf.DUMMYFUNCTION("""COMPUTED_VALUE"""),44039.64583333333)</f>
        <v>44039.64583</v>
      </c>
      <c r="F1132" s="8">
        <f>IFERROR(__xludf.DUMMYFUNCTION("""COMPUTED_VALUE"""),1079.5)</f>
        <v>1079.5</v>
      </c>
      <c r="H1132" s="4">
        <f t="shared" si="1"/>
        <v>771.25</v>
      </c>
      <c r="I1132" s="16">
        <f t="shared" si="2"/>
        <v>747.73</v>
      </c>
      <c r="J1132" s="16">
        <f t="shared" si="3"/>
        <v>17.78973018</v>
      </c>
      <c r="K1132" s="16">
        <f t="shared" si="4"/>
        <v>765.5197302</v>
      </c>
      <c r="L1132" s="16">
        <f t="shared" si="5"/>
        <v>729.9402698</v>
      </c>
      <c r="N1132" s="17" t="str">
        <f t="shared" si="6"/>
        <v>F</v>
      </c>
      <c r="O1132" s="17" t="str">
        <f t="shared" si="7"/>
        <v>T</v>
      </c>
      <c r="P1132" s="8">
        <f t="shared" si="8"/>
        <v>0</v>
      </c>
      <c r="R1132" s="17" t="str">
        <f t="shared" si="9"/>
        <v>T</v>
      </c>
      <c r="S1132" s="3" t="str">
        <f t="shared" si="10"/>
        <v>F</v>
      </c>
      <c r="T1132" s="8">
        <f t="shared" si="11"/>
        <v>-1</v>
      </c>
      <c r="V1132" s="4">
        <f t="shared" si="12"/>
        <v>-1</v>
      </c>
      <c r="W1132" s="8">
        <f t="shared" si="13"/>
        <v>49.05</v>
      </c>
      <c r="X1132" s="8">
        <f t="shared" si="14"/>
        <v>0</v>
      </c>
      <c r="Y1132" s="8">
        <f t="shared" si="15"/>
        <v>1813.12</v>
      </c>
    </row>
    <row r="1133">
      <c r="A1133" s="2">
        <v>1126.0</v>
      </c>
      <c r="B1133" s="15">
        <f>IFERROR(__xludf.DUMMYFUNCTION("""COMPUTED_VALUE"""),44040.64583333333)</f>
        <v>44040.64583</v>
      </c>
      <c r="C1133" s="8">
        <f>IFERROR(__xludf.DUMMYFUNCTION("""COMPUTED_VALUE"""),1897.35)</f>
        <v>1897.35</v>
      </c>
      <c r="E1133" s="15">
        <f>IFERROR(__xludf.DUMMYFUNCTION("""COMPUTED_VALUE"""),44040.64583333333)</f>
        <v>44040.64583</v>
      </c>
      <c r="F1133" s="8">
        <f>IFERROR(__xludf.DUMMYFUNCTION("""COMPUTED_VALUE"""),1086.65)</f>
        <v>1086.65</v>
      </c>
      <c r="H1133" s="4">
        <f t="shared" si="1"/>
        <v>810.7</v>
      </c>
      <c r="I1133" s="16">
        <f t="shared" si="2"/>
        <v>760.85</v>
      </c>
      <c r="J1133" s="16">
        <f t="shared" si="3"/>
        <v>33.02851041</v>
      </c>
      <c r="K1133" s="16">
        <f t="shared" si="4"/>
        <v>793.8785104</v>
      </c>
      <c r="L1133" s="16">
        <f t="shared" si="5"/>
        <v>727.8214896</v>
      </c>
      <c r="N1133" s="17" t="str">
        <f t="shared" si="6"/>
        <v>F</v>
      </c>
      <c r="O1133" s="17" t="str">
        <f t="shared" si="7"/>
        <v>T</v>
      </c>
      <c r="P1133" s="8">
        <f t="shared" si="8"/>
        <v>0</v>
      </c>
      <c r="R1133" s="17" t="str">
        <f t="shared" si="9"/>
        <v>T</v>
      </c>
      <c r="S1133" s="3" t="str">
        <f t="shared" si="10"/>
        <v>F</v>
      </c>
      <c r="T1133" s="8">
        <f t="shared" si="11"/>
        <v>-1</v>
      </c>
      <c r="V1133" s="4">
        <f t="shared" si="12"/>
        <v>-1</v>
      </c>
      <c r="W1133" s="8">
        <f t="shared" si="13"/>
        <v>39.45</v>
      </c>
      <c r="X1133" s="8">
        <f t="shared" si="14"/>
        <v>-39.45</v>
      </c>
      <c r="Y1133" s="8">
        <f t="shared" si="15"/>
        <v>1773.67</v>
      </c>
    </row>
    <row r="1134">
      <c r="A1134" s="2">
        <v>1127.0</v>
      </c>
      <c r="B1134" s="15">
        <f>IFERROR(__xludf.DUMMYFUNCTION("""COMPUTED_VALUE"""),44041.64583333333)</f>
        <v>44041.64583</v>
      </c>
      <c r="C1134" s="8">
        <f>IFERROR(__xludf.DUMMYFUNCTION("""COMPUTED_VALUE"""),1877.3)</f>
        <v>1877.3</v>
      </c>
      <c r="E1134" s="15">
        <f>IFERROR(__xludf.DUMMYFUNCTION("""COMPUTED_VALUE"""),44041.64583333333)</f>
        <v>44041.64583</v>
      </c>
      <c r="F1134" s="8">
        <f>IFERROR(__xludf.DUMMYFUNCTION("""COMPUTED_VALUE"""),1064.6)</f>
        <v>1064.6</v>
      </c>
      <c r="H1134" s="4">
        <f t="shared" si="1"/>
        <v>812.7</v>
      </c>
      <c r="I1134" s="16">
        <f t="shared" si="2"/>
        <v>772.45</v>
      </c>
      <c r="J1134" s="16">
        <f t="shared" si="3"/>
        <v>39.81623413</v>
      </c>
      <c r="K1134" s="16">
        <f t="shared" si="4"/>
        <v>812.2662341</v>
      </c>
      <c r="L1134" s="16">
        <f t="shared" si="5"/>
        <v>732.6337659</v>
      </c>
      <c r="N1134" s="17" t="str">
        <f t="shared" si="6"/>
        <v>F</v>
      </c>
      <c r="O1134" s="17" t="str">
        <f t="shared" si="7"/>
        <v>T</v>
      </c>
      <c r="P1134" s="8">
        <f t="shared" si="8"/>
        <v>0</v>
      </c>
      <c r="R1134" s="17" t="str">
        <f t="shared" si="9"/>
        <v>T</v>
      </c>
      <c r="S1134" s="3" t="str">
        <f t="shared" si="10"/>
        <v>F</v>
      </c>
      <c r="T1134" s="8">
        <f t="shared" si="11"/>
        <v>-1</v>
      </c>
      <c r="V1134" s="4">
        <f t="shared" si="12"/>
        <v>-1</v>
      </c>
      <c r="W1134" s="8">
        <f t="shared" si="13"/>
        <v>2</v>
      </c>
      <c r="X1134" s="8">
        <f t="shared" si="14"/>
        <v>-2</v>
      </c>
      <c r="Y1134" s="8">
        <f t="shared" si="15"/>
        <v>1771.67</v>
      </c>
    </row>
    <row r="1135">
      <c r="A1135" s="2">
        <v>1128.0</v>
      </c>
      <c r="B1135" s="15">
        <f>IFERROR(__xludf.DUMMYFUNCTION("""COMPUTED_VALUE"""),44042.64583333333)</f>
        <v>44042.64583</v>
      </c>
      <c r="C1135" s="8">
        <f>IFERROR(__xludf.DUMMYFUNCTION("""COMPUTED_VALUE"""),1810.65)</f>
        <v>1810.65</v>
      </c>
      <c r="E1135" s="15">
        <f>IFERROR(__xludf.DUMMYFUNCTION("""COMPUTED_VALUE"""),44042.64583333333)</f>
        <v>44042.64583</v>
      </c>
      <c r="F1135" s="8">
        <f>IFERROR(__xludf.DUMMYFUNCTION("""COMPUTED_VALUE"""),1050.65)</f>
        <v>1050.65</v>
      </c>
      <c r="H1135" s="4">
        <f t="shared" si="1"/>
        <v>760</v>
      </c>
      <c r="I1135" s="16">
        <f t="shared" si="2"/>
        <v>775.37</v>
      </c>
      <c r="J1135" s="16">
        <f t="shared" si="3"/>
        <v>37.82194469</v>
      </c>
      <c r="K1135" s="16">
        <f t="shared" si="4"/>
        <v>813.1919447</v>
      </c>
      <c r="L1135" s="16">
        <f t="shared" si="5"/>
        <v>737.5480553</v>
      </c>
      <c r="N1135" s="17" t="str">
        <f t="shared" si="6"/>
        <v>F</v>
      </c>
      <c r="O1135" s="17" t="str">
        <f t="shared" si="7"/>
        <v>F</v>
      </c>
      <c r="P1135" s="8">
        <f t="shared" si="8"/>
        <v>0</v>
      </c>
      <c r="R1135" s="17" t="str">
        <f t="shared" si="9"/>
        <v>F</v>
      </c>
      <c r="S1135" s="3" t="str">
        <f t="shared" si="10"/>
        <v>T</v>
      </c>
      <c r="T1135" s="8">
        <f t="shared" si="11"/>
        <v>0</v>
      </c>
      <c r="V1135" s="4">
        <f t="shared" si="12"/>
        <v>0</v>
      </c>
      <c r="W1135" s="8">
        <f t="shared" si="13"/>
        <v>-52.7</v>
      </c>
      <c r="X1135" s="8">
        <f t="shared" si="14"/>
        <v>52.7</v>
      </c>
      <c r="Y1135" s="8">
        <f t="shared" si="15"/>
        <v>1824.37</v>
      </c>
    </row>
    <row r="1136">
      <c r="A1136" s="2">
        <v>1129.0</v>
      </c>
      <c r="B1136" s="15">
        <f>IFERROR(__xludf.DUMMYFUNCTION("""COMPUTED_VALUE"""),44043.64583333333)</f>
        <v>44043.64583</v>
      </c>
      <c r="C1136" s="8">
        <f>IFERROR(__xludf.DUMMYFUNCTION("""COMPUTED_VALUE"""),1781.95)</f>
        <v>1781.95</v>
      </c>
      <c r="E1136" s="15">
        <f>IFERROR(__xludf.DUMMYFUNCTION("""COMPUTED_VALUE"""),44043.64583333333)</f>
        <v>44043.64583</v>
      </c>
      <c r="F1136" s="8">
        <f>IFERROR(__xludf.DUMMYFUNCTION("""COMPUTED_VALUE"""),1032.8)</f>
        <v>1032.8</v>
      </c>
      <c r="H1136" s="4">
        <f t="shared" si="1"/>
        <v>749.15</v>
      </c>
      <c r="I1136" s="16">
        <f t="shared" si="2"/>
        <v>780.76</v>
      </c>
      <c r="J1136" s="16">
        <f t="shared" si="3"/>
        <v>29.31372119</v>
      </c>
      <c r="K1136" s="16">
        <f t="shared" si="4"/>
        <v>810.0737212</v>
      </c>
      <c r="L1136" s="16">
        <f t="shared" si="5"/>
        <v>751.4462788</v>
      </c>
      <c r="N1136" s="17" t="str">
        <f t="shared" si="6"/>
        <v>T</v>
      </c>
      <c r="O1136" s="17" t="str">
        <f t="shared" si="7"/>
        <v>F</v>
      </c>
      <c r="P1136" s="8">
        <f t="shared" si="8"/>
        <v>1</v>
      </c>
      <c r="R1136" s="17" t="str">
        <f t="shared" si="9"/>
        <v>F</v>
      </c>
      <c r="S1136" s="3" t="str">
        <f t="shared" si="10"/>
        <v>T</v>
      </c>
      <c r="T1136" s="8">
        <f t="shared" si="11"/>
        <v>0</v>
      </c>
      <c r="V1136" s="4">
        <f t="shared" si="12"/>
        <v>1</v>
      </c>
      <c r="W1136" s="8">
        <f t="shared" si="13"/>
        <v>-10.85</v>
      </c>
      <c r="X1136" s="8">
        <f t="shared" si="14"/>
        <v>0</v>
      </c>
      <c r="Y1136" s="8">
        <f t="shared" si="15"/>
        <v>1824.37</v>
      </c>
    </row>
    <row r="1137">
      <c r="A1137" s="2">
        <v>1130.0</v>
      </c>
      <c r="B1137" s="15">
        <f>IFERROR(__xludf.DUMMYFUNCTION("""COMPUTED_VALUE"""),44046.64583333333)</f>
        <v>44046.64583</v>
      </c>
      <c r="C1137" s="8">
        <f>IFERROR(__xludf.DUMMYFUNCTION("""COMPUTED_VALUE"""),1739.8)</f>
        <v>1739.8</v>
      </c>
      <c r="E1137" s="15">
        <f>IFERROR(__xludf.DUMMYFUNCTION("""COMPUTED_VALUE"""),44046.64583333333)</f>
        <v>44046.64583</v>
      </c>
      <c r="F1137" s="8">
        <f>IFERROR(__xludf.DUMMYFUNCTION("""COMPUTED_VALUE"""),1002.0)</f>
        <v>1002</v>
      </c>
      <c r="H1137" s="4">
        <f t="shared" si="1"/>
        <v>737.8</v>
      </c>
      <c r="I1137" s="16">
        <f t="shared" si="2"/>
        <v>774.07</v>
      </c>
      <c r="J1137" s="16">
        <f t="shared" si="3"/>
        <v>35.24385762</v>
      </c>
      <c r="K1137" s="16">
        <f t="shared" si="4"/>
        <v>809.3138576</v>
      </c>
      <c r="L1137" s="16">
        <f t="shared" si="5"/>
        <v>738.8261424</v>
      </c>
      <c r="N1137" s="17" t="str">
        <f t="shared" si="6"/>
        <v>T</v>
      </c>
      <c r="O1137" s="17" t="str">
        <f t="shared" si="7"/>
        <v>F</v>
      </c>
      <c r="P1137" s="8">
        <f t="shared" si="8"/>
        <v>1</v>
      </c>
      <c r="R1137" s="17" t="str">
        <f t="shared" si="9"/>
        <v>F</v>
      </c>
      <c r="S1137" s="3" t="str">
        <f t="shared" si="10"/>
        <v>T</v>
      </c>
      <c r="T1137" s="8">
        <f t="shared" si="11"/>
        <v>0</v>
      </c>
      <c r="V1137" s="4">
        <f t="shared" si="12"/>
        <v>1</v>
      </c>
      <c r="W1137" s="8">
        <f t="shared" si="13"/>
        <v>-11.35</v>
      </c>
      <c r="X1137" s="8">
        <f t="shared" si="14"/>
        <v>-11.35</v>
      </c>
      <c r="Y1137" s="8">
        <f t="shared" si="15"/>
        <v>1813.02</v>
      </c>
    </row>
    <row r="1138">
      <c r="A1138" s="2">
        <v>1131.0</v>
      </c>
      <c r="B1138" s="15">
        <f>IFERROR(__xludf.DUMMYFUNCTION("""COMPUTED_VALUE"""),44047.64583333333)</f>
        <v>44047.64583</v>
      </c>
      <c r="C1138" s="8">
        <f>IFERROR(__xludf.DUMMYFUNCTION("""COMPUTED_VALUE"""),1781.1)</f>
        <v>1781.1</v>
      </c>
      <c r="E1138" s="15">
        <f>IFERROR(__xludf.DUMMYFUNCTION("""COMPUTED_VALUE"""),44047.64583333333)</f>
        <v>44047.64583</v>
      </c>
      <c r="F1138" s="8">
        <f>IFERROR(__xludf.DUMMYFUNCTION("""COMPUTED_VALUE"""),1041.65)</f>
        <v>1041.65</v>
      </c>
      <c r="H1138" s="4">
        <f t="shared" si="1"/>
        <v>739.45</v>
      </c>
      <c r="I1138" s="16">
        <f t="shared" si="2"/>
        <v>759.82</v>
      </c>
      <c r="J1138" s="16">
        <f t="shared" si="3"/>
        <v>30.86257037</v>
      </c>
      <c r="K1138" s="16">
        <f t="shared" si="4"/>
        <v>790.6825704</v>
      </c>
      <c r="L1138" s="16">
        <f t="shared" si="5"/>
        <v>728.9574296</v>
      </c>
      <c r="N1138" s="17" t="str">
        <f t="shared" si="6"/>
        <v>F</v>
      </c>
      <c r="O1138" s="17" t="str">
        <f t="shared" si="7"/>
        <v>F</v>
      </c>
      <c r="P1138" s="8">
        <f t="shared" si="8"/>
        <v>1</v>
      </c>
      <c r="R1138" s="17" t="str">
        <f t="shared" si="9"/>
        <v>F</v>
      </c>
      <c r="S1138" s="3" t="str">
        <f t="shared" si="10"/>
        <v>T</v>
      </c>
      <c r="T1138" s="8">
        <f t="shared" si="11"/>
        <v>0</v>
      </c>
      <c r="V1138" s="4">
        <f t="shared" si="12"/>
        <v>1</v>
      </c>
      <c r="W1138" s="8">
        <f t="shared" si="13"/>
        <v>1.65</v>
      </c>
      <c r="X1138" s="8">
        <f t="shared" si="14"/>
        <v>1.65</v>
      </c>
      <c r="Y1138" s="8">
        <f t="shared" si="15"/>
        <v>1814.67</v>
      </c>
    </row>
    <row r="1139">
      <c r="A1139" s="2">
        <v>1132.0</v>
      </c>
      <c r="B1139" s="15">
        <f>IFERROR(__xludf.DUMMYFUNCTION("""COMPUTED_VALUE"""),44048.64583333333)</f>
        <v>44048.64583</v>
      </c>
      <c r="C1139" s="8">
        <f>IFERROR(__xludf.DUMMYFUNCTION("""COMPUTED_VALUE"""),1776.7)</f>
        <v>1776.7</v>
      </c>
      <c r="E1139" s="15">
        <f>IFERROR(__xludf.DUMMYFUNCTION("""COMPUTED_VALUE"""),44048.64583333333)</f>
        <v>44048.64583</v>
      </c>
      <c r="F1139" s="8">
        <f>IFERROR(__xludf.DUMMYFUNCTION("""COMPUTED_VALUE"""),1027.55)</f>
        <v>1027.55</v>
      </c>
      <c r="H1139" s="4">
        <f t="shared" si="1"/>
        <v>749.15</v>
      </c>
      <c r="I1139" s="16">
        <f t="shared" si="2"/>
        <v>747.11</v>
      </c>
      <c r="J1139" s="16">
        <f t="shared" si="3"/>
        <v>8.941853835</v>
      </c>
      <c r="K1139" s="16">
        <f t="shared" si="4"/>
        <v>756.0518538</v>
      </c>
      <c r="L1139" s="16">
        <f t="shared" si="5"/>
        <v>738.1681462</v>
      </c>
      <c r="N1139" s="17" t="str">
        <f t="shared" si="6"/>
        <v>F</v>
      </c>
      <c r="O1139" s="17" t="str">
        <f t="shared" si="7"/>
        <v>T</v>
      </c>
      <c r="P1139" s="8">
        <f t="shared" si="8"/>
        <v>0</v>
      </c>
      <c r="R1139" s="17" t="str">
        <f t="shared" si="9"/>
        <v>F</v>
      </c>
      <c r="S1139" s="3" t="str">
        <f t="shared" si="10"/>
        <v>F</v>
      </c>
      <c r="T1139" s="8">
        <f t="shared" si="11"/>
        <v>0</v>
      </c>
      <c r="V1139" s="4">
        <f t="shared" si="12"/>
        <v>0</v>
      </c>
      <c r="W1139" s="8">
        <f t="shared" si="13"/>
        <v>9.7</v>
      </c>
      <c r="X1139" s="8">
        <f t="shared" si="14"/>
        <v>9.7</v>
      </c>
      <c r="Y1139" s="8">
        <f t="shared" si="15"/>
        <v>1824.37</v>
      </c>
    </row>
    <row r="1140">
      <c r="A1140" s="2">
        <v>1133.0</v>
      </c>
      <c r="B1140" s="15">
        <f>IFERROR(__xludf.DUMMYFUNCTION("""COMPUTED_VALUE"""),44049.64583333333)</f>
        <v>44049.64583</v>
      </c>
      <c r="C1140" s="8">
        <f>IFERROR(__xludf.DUMMYFUNCTION("""COMPUTED_VALUE"""),1783.75)</f>
        <v>1783.75</v>
      </c>
      <c r="E1140" s="15">
        <f>IFERROR(__xludf.DUMMYFUNCTION("""COMPUTED_VALUE"""),44049.64583333333)</f>
        <v>44049.64583</v>
      </c>
      <c r="F1140" s="8">
        <f>IFERROR(__xludf.DUMMYFUNCTION("""COMPUTED_VALUE"""),1040.7)</f>
        <v>1040.7</v>
      </c>
      <c r="H1140" s="4">
        <f t="shared" si="1"/>
        <v>743.05</v>
      </c>
      <c r="I1140" s="16">
        <f t="shared" si="2"/>
        <v>743.72</v>
      </c>
      <c r="J1140" s="16">
        <f t="shared" si="3"/>
        <v>5.307965712</v>
      </c>
      <c r="K1140" s="16">
        <f t="shared" si="4"/>
        <v>749.0279657</v>
      </c>
      <c r="L1140" s="16">
        <f t="shared" si="5"/>
        <v>738.4120343</v>
      </c>
      <c r="N1140" s="17" t="str">
        <f t="shared" si="6"/>
        <v>F</v>
      </c>
      <c r="O1140" s="17" t="str">
        <f t="shared" si="7"/>
        <v>F</v>
      </c>
      <c r="P1140" s="8">
        <f t="shared" si="8"/>
        <v>0</v>
      </c>
      <c r="R1140" s="17" t="str">
        <f t="shared" si="9"/>
        <v>F</v>
      </c>
      <c r="S1140" s="3" t="str">
        <f t="shared" si="10"/>
        <v>T</v>
      </c>
      <c r="T1140" s="8">
        <f t="shared" si="11"/>
        <v>0</v>
      </c>
      <c r="V1140" s="4">
        <f t="shared" si="12"/>
        <v>0</v>
      </c>
      <c r="W1140" s="8">
        <f t="shared" si="13"/>
        <v>-6.1</v>
      </c>
      <c r="X1140" s="8">
        <f t="shared" si="14"/>
        <v>0</v>
      </c>
      <c r="Y1140" s="8">
        <f t="shared" si="15"/>
        <v>1824.37</v>
      </c>
    </row>
    <row r="1141">
      <c r="A1141" s="2">
        <v>1134.0</v>
      </c>
      <c r="B1141" s="15">
        <f>IFERROR(__xludf.DUMMYFUNCTION("""COMPUTED_VALUE"""),44050.64583333333)</f>
        <v>44050.64583</v>
      </c>
      <c r="C1141" s="8">
        <f>IFERROR(__xludf.DUMMYFUNCTION("""COMPUTED_VALUE"""),1777.7)</f>
        <v>1777.7</v>
      </c>
      <c r="E1141" s="15">
        <f>IFERROR(__xludf.DUMMYFUNCTION("""COMPUTED_VALUE"""),44050.64583333333)</f>
        <v>44050.64583</v>
      </c>
      <c r="F1141" s="8">
        <f>IFERROR(__xludf.DUMMYFUNCTION("""COMPUTED_VALUE"""),1043.85)</f>
        <v>1043.85</v>
      </c>
      <c r="H1141" s="4">
        <f t="shared" si="1"/>
        <v>733.85</v>
      </c>
      <c r="I1141" s="16">
        <f t="shared" si="2"/>
        <v>740.66</v>
      </c>
      <c r="J1141" s="16">
        <f t="shared" si="3"/>
        <v>5.783856845</v>
      </c>
      <c r="K1141" s="16">
        <f t="shared" si="4"/>
        <v>746.4438568</v>
      </c>
      <c r="L1141" s="16">
        <f t="shared" si="5"/>
        <v>734.8761432</v>
      </c>
      <c r="N1141" s="17" t="str">
        <f t="shared" si="6"/>
        <v>T</v>
      </c>
      <c r="O1141" s="17" t="str">
        <f t="shared" si="7"/>
        <v>F</v>
      </c>
      <c r="P1141" s="8">
        <f t="shared" si="8"/>
        <v>1</v>
      </c>
      <c r="R1141" s="17" t="str">
        <f t="shared" si="9"/>
        <v>F</v>
      </c>
      <c r="S1141" s="3" t="str">
        <f t="shared" si="10"/>
        <v>T</v>
      </c>
      <c r="T1141" s="8">
        <f t="shared" si="11"/>
        <v>0</v>
      </c>
      <c r="V1141" s="4">
        <f t="shared" si="12"/>
        <v>1</v>
      </c>
      <c r="W1141" s="8">
        <f t="shared" si="13"/>
        <v>-9.2</v>
      </c>
      <c r="X1141" s="8">
        <f t="shared" si="14"/>
        <v>0</v>
      </c>
      <c r="Y1141" s="8">
        <f t="shared" si="15"/>
        <v>1824.37</v>
      </c>
    </row>
    <row r="1142">
      <c r="A1142" s="2">
        <v>1135.0</v>
      </c>
      <c r="B1142" s="15">
        <f>IFERROR(__xludf.DUMMYFUNCTION("""COMPUTED_VALUE"""),44053.64583333333)</f>
        <v>44053.64583</v>
      </c>
      <c r="C1142" s="8">
        <f>IFERROR(__xludf.DUMMYFUNCTION("""COMPUTED_VALUE"""),1798.95)</f>
        <v>1798.95</v>
      </c>
      <c r="E1142" s="15">
        <f>IFERROR(__xludf.DUMMYFUNCTION("""COMPUTED_VALUE"""),44053.64583333333)</f>
        <v>44053.64583</v>
      </c>
      <c r="F1142" s="8">
        <f>IFERROR(__xludf.DUMMYFUNCTION("""COMPUTED_VALUE"""),1050.65)</f>
        <v>1050.65</v>
      </c>
      <c r="H1142" s="4">
        <f t="shared" si="1"/>
        <v>748.3</v>
      </c>
      <c r="I1142" s="16">
        <f t="shared" si="2"/>
        <v>742.76</v>
      </c>
      <c r="J1142" s="16">
        <f t="shared" si="3"/>
        <v>6.363018152</v>
      </c>
      <c r="K1142" s="16">
        <f t="shared" si="4"/>
        <v>749.1230182</v>
      </c>
      <c r="L1142" s="16">
        <f t="shared" si="5"/>
        <v>736.3969818</v>
      </c>
      <c r="N1142" s="17" t="str">
        <f t="shared" si="6"/>
        <v>F</v>
      </c>
      <c r="O1142" s="17" t="str">
        <f t="shared" si="7"/>
        <v>T</v>
      </c>
      <c r="P1142" s="8">
        <f t="shared" si="8"/>
        <v>0</v>
      </c>
      <c r="R1142" s="17" t="str">
        <f t="shared" si="9"/>
        <v>F</v>
      </c>
      <c r="S1142" s="3" t="str">
        <f t="shared" si="10"/>
        <v>F</v>
      </c>
      <c r="T1142" s="8">
        <f t="shared" si="11"/>
        <v>0</v>
      </c>
      <c r="V1142" s="4">
        <f t="shared" si="12"/>
        <v>0</v>
      </c>
      <c r="W1142" s="8">
        <f t="shared" si="13"/>
        <v>14.45</v>
      </c>
      <c r="X1142" s="8">
        <f t="shared" si="14"/>
        <v>14.45</v>
      </c>
      <c r="Y1142" s="8">
        <f t="shared" si="15"/>
        <v>1838.82</v>
      </c>
    </row>
    <row r="1143">
      <c r="A1143" s="2">
        <v>1136.0</v>
      </c>
      <c r="B1143" s="15">
        <f>IFERROR(__xludf.DUMMYFUNCTION("""COMPUTED_VALUE"""),44054.64583333333)</f>
        <v>44054.64583</v>
      </c>
      <c r="C1143" s="8">
        <f>IFERROR(__xludf.DUMMYFUNCTION("""COMPUTED_VALUE"""),1826.75)</f>
        <v>1826.75</v>
      </c>
      <c r="E1143" s="15">
        <f>IFERROR(__xludf.DUMMYFUNCTION("""COMPUTED_VALUE"""),44054.64583333333)</f>
        <v>44054.64583</v>
      </c>
      <c r="F1143" s="8">
        <f>IFERROR(__xludf.DUMMYFUNCTION("""COMPUTED_VALUE"""),1066.65)</f>
        <v>1066.65</v>
      </c>
      <c r="H1143" s="4">
        <f t="shared" si="1"/>
        <v>760.1</v>
      </c>
      <c r="I1143" s="16">
        <f t="shared" si="2"/>
        <v>746.89</v>
      </c>
      <c r="J1143" s="16">
        <f t="shared" si="3"/>
        <v>9.570619102</v>
      </c>
      <c r="K1143" s="16">
        <f t="shared" si="4"/>
        <v>756.4606191</v>
      </c>
      <c r="L1143" s="16">
        <f t="shared" si="5"/>
        <v>737.3193809</v>
      </c>
      <c r="N1143" s="17" t="str">
        <f t="shared" si="6"/>
        <v>F</v>
      </c>
      <c r="O1143" s="17" t="str">
        <f t="shared" si="7"/>
        <v>T</v>
      </c>
      <c r="P1143" s="8">
        <f t="shared" si="8"/>
        <v>0</v>
      </c>
      <c r="R1143" s="17" t="str">
        <f t="shared" si="9"/>
        <v>T</v>
      </c>
      <c r="S1143" s="3" t="str">
        <f t="shared" si="10"/>
        <v>F</v>
      </c>
      <c r="T1143" s="8">
        <f t="shared" si="11"/>
        <v>-1</v>
      </c>
      <c r="V1143" s="4">
        <f t="shared" si="12"/>
        <v>-1</v>
      </c>
      <c r="W1143" s="8">
        <f t="shared" si="13"/>
        <v>11.8</v>
      </c>
      <c r="X1143" s="8">
        <f t="shared" si="14"/>
        <v>0</v>
      </c>
      <c r="Y1143" s="8">
        <f t="shared" si="15"/>
        <v>1838.82</v>
      </c>
    </row>
    <row r="1144">
      <c r="A1144" s="2">
        <v>1137.0</v>
      </c>
      <c r="B1144" s="15">
        <f>IFERROR(__xludf.DUMMYFUNCTION("""COMPUTED_VALUE"""),44055.64583333333)</f>
        <v>44055.64583</v>
      </c>
      <c r="C1144" s="8">
        <f>IFERROR(__xludf.DUMMYFUNCTION("""COMPUTED_VALUE"""),1814.2)</f>
        <v>1814.2</v>
      </c>
      <c r="E1144" s="15">
        <f>IFERROR(__xludf.DUMMYFUNCTION("""COMPUTED_VALUE"""),44055.64583333333)</f>
        <v>44055.64583</v>
      </c>
      <c r="F1144" s="8">
        <f>IFERROR(__xludf.DUMMYFUNCTION("""COMPUTED_VALUE"""),1063.7)</f>
        <v>1063.7</v>
      </c>
      <c r="H1144" s="4">
        <f t="shared" si="1"/>
        <v>750.5</v>
      </c>
      <c r="I1144" s="16">
        <f t="shared" si="2"/>
        <v>747.16</v>
      </c>
      <c r="J1144" s="16">
        <f t="shared" si="3"/>
        <v>9.668854637</v>
      </c>
      <c r="K1144" s="16">
        <f t="shared" si="4"/>
        <v>756.8288546</v>
      </c>
      <c r="L1144" s="16">
        <f t="shared" si="5"/>
        <v>737.4911454</v>
      </c>
      <c r="N1144" s="17" t="str">
        <f t="shared" si="6"/>
        <v>F</v>
      </c>
      <c r="O1144" s="17" t="str">
        <f t="shared" si="7"/>
        <v>T</v>
      </c>
      <c r="P1144" s="8">
        <f t="shared" si="8"/>
        <v>0</v>
      </c>
      <c r="R1144" s="17" t="str">
        <f t="shared" si="9"/>
        <v>F</v>
      </c>
      <c r="S1144" s="3" t="str">
        <f t="shared" si="10"/>
        <v>F</v>
      </c>
      <c r="T1144" s="8">
        <f t="shared" si="11"/>
        <v>-1</v>
      </c>
      <c r="V1144" s="4">
        <f t="shared" si="12"/>
        <v>-1</v>
      </c>
      <c r="W1144" s="8">
        <f t="shared" si="13"/>
        <v>-9.6</v>
      </c>
      <c r="X1144" s="8">
        <f t="shared" si="14"/>
        <v>9.6</v>
      </c>
      <c r="Y1144" s="8">
        <f t="shared" si="15"/>
        <v>1848.42</v>
      </c>
    </row>
    <row r="1145">
      <c r="A1145" s="2">
        <v>1138.0</v>
      </c>
      <c r="B1145" s="15">
        <f>IFERROR(__xludf.DUMMYFUNCTION("""COMPUTED_VALUE"""),44056.64583333333)</f>
        <v>44056.64583</v>
      </c>
      <c r="C1145" s="8">
        <f>IFERROR(__xludf.DUMMYFUNCTION("""COMPUTED_VALUE"""),1804.85)</f>
        <v>1804.85</v>
      </c>
      <c r="E1145" s="15">
        <f>IFERROR(__xludf.DUMMYFUNCTION("""COMPUTED_VALUE"""),44056.64583333333)</f>
        <v>44056.64583</v>
      </c>
      <c r="F1145" s="8">
        <f>IFERROR(__xludf.DUMMYFUNCTION("""COMPUTED_VALUE"""),1059.05)</f>
        <v>1059.05</v>
      </c>
      <c r="H1145" s="4">
        <f t="shared" si="1"/>
        <v>745.8</v>
      </c>
      <c r="I1145" s="16">
        <f t="shared" si="2"/>
        <v>747.71</v>
      </c>
      <c r="J1145" s="16">
        <f t="shared" si="3"/>
        <v>9.452407101</v>
      </c>
      <c r="K1145" s="16">
        <f t="shared" si="4"/>
        <v>757.1624071</v>
      </c>
      <c r="L1145" s="16">
        <f t="shared" si="5"/>
        <v>738.2575929</v>
      </c>
      <c r="N1145" s="17" t="str">
        <f t="shared" si="6"/>
        <v>F</v>
      </c>
      <c r="O1145" s="17" t="str">
        <f t="shared" si="7"/>
        <v>F</v>
      </c>
      <c r="P1145" s="8">
        <f t="shared" si="8"/>
        <v>0</v>
      </c>
      <c r="R1145" s="17" t="str">
        <f t="shared" si="9"/>
        <v>F</v>
      </c>
      <c r="S1145" s="3" t="str">
        <f t="shared" si="10"/>
        <v>T</v>
      </c>
      <c r="T1145" s="8">
        <f t="shared" si="11"/>
        <v>0</v>
      </c>
      <c r="V1145" s="4">
        <f t="shared" si="12"/>
        <v>0</v>
      </c>
      <c r="W1145" s="8">
        <f t="shared" si="13"/>
        <v>-4.7</v>
      </c>
      <c r="X1145" s="8">
        <f t="shared" si="14"/>
        <v>4.7</v>
      </c>
      <c r="Y1145" s="8">
        <f t="shared" si="15"/>
        <v>1853.12</v>
      </c>
    </row>
    <row r="1146">
      <c r="A1146" s="2">
        <v>1139.0</v>
      </c>
      <c r="B1146" s="15">
        <f>IFERROR(__xludf.DUMMYFUNCTION("""COMPUTED_VALUE"""),44057.64583333333)</f>
        <v>44057.64583</v>
      </c>
      <c r="C1146" s="8">
        <f>IFERROR(__xludf.DUMMYFUNCTION("""COMPUTED_VALUE"""),1791.7)</f>
        <v>1791.7</v>
      </c>
      <c r="E1146" s="15">
        <f>IFERROR(__xludf.DUMMYFUNCTION("""COMPUTED_VALUE"""),44057.64583333333)</f>
        <v>44057.64583</v>
      </c>
      <c r="F1146" s="8">
        <f>IFERROR(__xludf.DUMMYFUNCTION("""COMPUTED_VALUE"""),1034.45)</f>
        <v>1034.45</v>
      </c>
      <c r="H1146" s="4">
        <f t="shared" si="1"/>
        <v>757.25</v>
      </c>
      <c r="I1146" s="16">
        <f t="shared" si="2"/>
        <v>752.39</v>
      </c>
      <c r="J1146" s="16">
        <f t="shared" si="3"/>
        <v>6.057887421</v>
      </c>
      <c r="K1146" s="16">
        <f t="shared" si="4"/>
        <v>758.4478874</v>
      </c>
      <c r="L1146" s="16">
        <f t="shared" si="5"/>
        <v>746.3321126</v>
      </c>
      <c r="N1146" s="17" t="str">
        <f t="shared" si="6"/>
        <v>F</v>
      </c>
      <c r="O1146" s="17" t="str">
        <f t="shared" si="7"/>
        <v>T</v>
      </c>
      <c r="P1146" s="8">
        <f t="shared" si="8"/>
        <v>0</v>
      </c>
      <c r="R1146" s="17" t="str">
        <f t="shared" si="9"/>
        <v>F</v>
      </c>
      <c r="S1146" s="3" t="str">
        <f t="shared" si="10"/>
        <v>F</v>
      </c>
      <c r="T1146" s="8">
        <f t="shared" si="11"/>
        <v>0</v>
      </c>
      <c r="V1146" s="4">
        <f t="shared" si="12"/>
        <v>0</v>
      </c>
      <c r="W1146" s="8">
        <f t="shared" si="13"/>
        <v>11.45</v>
      </c>
      <c r="X1146" s="8">
        <f t="shared" si="14"/>
        <v>0</v>
      </c>
      <c r="Y1146" s="8">
        <f t="shared" si="15"/>
        <v>1853.12</v>
      </c>
    </row>
    <row r="1147">
      <c r="A1147" s="2">
        <v>1140.0</v>
      </c>
      <c r="B1147" s="15">
        <f>IFERROR(__xludf.DUMMYFUNCTION("""COMPUTED_VALUE"""),44060.64583333333)</f>
        <v>44060.64583</v>
      </c>
      <c r="C1147" s="8">
        <f>IFERROR(__xludf.DUMMYFUNCTION("""COMPUTED_VALUE"""),1800.55)</f>
        <v>1800.55</v>
      </c>
      <c r="E1147" s="15">
        <f>IFERROR(__xludf.DUMMYFUNCTION("""COMPUTED_VALUE"""),44060.64583333333)</f>
        <v>44060.64583</v>
      </c>
      <c r="F1147" s="8">
        <f>IFERROR(__xludf.DUMMYFUNCTION("""COMPUTED_VALUE"""),1032.75)</f>
        <v>1032.75</v>
      </c>
      <c r="H1147" s="4">
        <f t="shared" si="1"/>
        <v>767.8</v>
      </c>
      <c r="I1147" s="16">
        <f t="shared" si="2"/>
        <v>756.29</v>
      </c>
      <c r="J1147" s="16">
        <f t="shared" si="3"/>
        <v>8.536421967</v>
      </c>
      <c r="K1147" s="16">
        <f t="shared" si="4"/>
        <v>764.826422</v>
      </c>
      <c r="L1147" s="16">
        <f t="shared" si="5"/>
        <v>747.753578</v>
      </c>
      <c r="N1147" s="17" t="str">
        <f t="shared" si="6"/>
        <v>F</v>
      </c>
      <c r="O1147" s="17" t="str">
        <f t="shared" si="7"/>
        <v>T</v>
      </c>
      <c r="P1147" s="8">
        <f t="shared" si="8"/>
        <v>0</v>
      </c>
      <c r="R1147" s="17" t="str">
        <f t="shared" si="9"/>
        <v>T</v>
      </c>
      <c r="S1147" s="3" t="str">
        <f t="shared" si="10"/>
        <v>F</v>
      </c>
      <c r="T1147" s="8">
        <f t="shared" si="11"/>
        <v>-1</v>
      </c>
      <c r="V1147" s="4">
        <f t="shared" si="12"/>
        <v>-1</v>
      </c>
      <c r="W1147" s="8">
        <f t="shared" si="13"/>
        <v>10.55</v>
      </c>
      <c r="X1147" s="8">
        <f t="shared" si="14"/>
        <v>0</v>
      </c>
      <c r="Y1147" s="8">
        <f t="shared" si="15"/>
        <v>1853.12</v>
      </c>
    </row>
    <row r="1148">
      <c r="A1148" s="2">
        <v>1141.0</v>
      </c>
      <c r="B1148" s="15">
        <f>IFERROR(__xludf.DUMMYFUNCTION("""COMPUTED_VALUE"""),44061.64583333333)</f>
        <v>44061.64583</v>
      </c>
      <c r="C1148" s="8">
        <f>IFERROR(__xludf.DUMMYFUNCTION("""COMPUTED_VALUE"""),1820.7)</f>
        <v>1820.7</v>
      </c>
      <c r="E1148" s="15">
        <f>IFERROR(__xludf.DUMMYFUNCTION("""COMPUTED_VALUE"""),44061.64583333333)</f>
        <v>44061.64583</v>
      </c>
      <c r="F1148" s="8">
        <f>IFERROR(__xludf.DUMMYFUNCTION("""COMPUTED_VALUE"""),1056.5)</f>
        <v>1056.5</v>
      </c>
      <c r="H1148" s="4">
        <f t="shared" si="1"/>
        <v>764.2</v>
      </c>
      <c r="I1148" s="16">
        <f t="shared" si="2"/>
        <v>757.11</v>
      </c>
      <c r="J1148" s="16">
        <f t="shared" si="3"/>
        <v>9.167496932</v>
      </c>
      <c r="K1148" s="16">
        <f t="shared" si="4"/>
        <v>766.2774969</v>
      </c>
      <c r="L1148" s="16">
        <f t="shared" si="5"/>
        <v>747.9425031</v>
      </c>
      <c r="N1148" s="17" t="str">
        <f t="shared" si="6"/>
        <v>F</v>
      </c>
      <c r="O1148" s="17" t="str">
        <f t="shared" si="7"/>
        <v>T</v>
      </c>
      <c r="P1148" s="8">
        <f t="shared" si="8"/>
        <v>0</v>
      </c>
      <c r="R1148" s="17" t="str">
        <f t="shared" si="9"/>
        <v>F</v>
      </c>
      <c r="S1148" s="3" t="str">
        <f t="shared" si="10"/>
        <v>F</v>
      </c>
      <c r="T1148" s="8">
        <f t="shared" si="11"/>
        <v>-1</v>
      </c>
      <c r="V1148" s="4">
        <f t="shared" si="12"/>
        <v>-1</v>
      </c>
      <c r="W1148" s="8">
        <f t="shared" si="13"/>
        <v>-3.6</v>
      </c>
      <c r="X1148" s="8">
        <f t="shared" si="14"/>
        <v>3.6</v>
      </c>
      <c r="Y1148" s="8">
        <f t="shared" si="15"/>
        <v>1856.72</v>
      </c>
    </row>
    <row r="1149">
      <c r="A1149" s="2">
        <v>1142.0</v>
      </c>
      <c r="B1149" s="15">
        <f>IFERROR(__xludf.DUMMYFUNCTION("""COMPUTED_VALUE"""),44062.64583333333)</f>
        <v>44062.64583</v>
      </c>
      <c r="C1149" s="8">
        <f>IFERROR(__xludf.DUMMYFUNCTION("""COMPUTED_VALUE"""),1827.95)</f>
        <v>1827.95</v>
      </c>
      <c r="E1149" s="15">
        <f>IFERROR(__xludf.DUMMYFUNCTION("""COMPUTED_VALUE"""),44062.64583333333)</f>
        <v>44062.64583</v>
      </c>
      <c r="F1149" s="8">
        <f>IFERROR(__xludf.DUMMYFUNCTION("""COMPUTED_VALUE"""),1066.6)</f>
        <v>1066.6</v>
      </c>
      <c r="H1149" s="4">
        <f t="shared" si="1"/>
        <v>761.35</v>
      </c>
      <c r="I1149" s="16">
        <f t="shared" si="2"/>
        <v>759.28</v>
      </c>
      <c r="J1149" s="16">
        <f t="shared" si="3"/>
        <v>8.469253214</v>
      </c>
      <c r="K1149" s="16">
        <f t="shared" si="4"/>
        <v>767.7492532</v>
      </c>
      <c r="L1149" s="16">
        <f t="shared" si="5"/>
        <v>750.8107468</v>
      </c>
      <c r="N1149" s="17" t="str">
        <f t="shared" si="6"/>
        <v>F</v>
      </c>
      <c r="O1149" s="17" t="str">
        <f t="shared" si="7"/>
        <v>T</v>
      </c>
      <c r="P1149" s="8">
        <f t="shared" si="8"/>
        <v>0</v>
      </c>
      <c r="R1149" s="17" t="str">
        <f t="shared" si="9"/>
        <v>F</v>
      </c>
      <c r="S1149" s="3" t="str">
        <f t="shared" si="10"/>
        <v>F</v>
      </c>
      <c r="T1149" s="8">
        <f t="shared" si="11"/>
        <v>-1</v>
      </c>
      <c r="V1149" s="4">
        <f t="shared" si="12"/>
        <v>-1</v>
      </c>
      <c r="W1149" s="8">
        <f t="shared" si="13"/>
        <v>-2.85</v>
      </c>
      <c r="X1149" s="8">
        <f t="shared" si="14"/>
        <v>2.85</v>
      </c>
      <c r="Y1149" s="8">
        <f t="shared" si="15"/>
        <v>1859.57</v>
      </c>
    </row>
    <row r="1150">
      <c r="A1150" s="2">
        <v>1143.0</v>
      </c>
      <c r="B1150" s="15">
        <f>IFERROR(__xludf.DUMMYFUNCTION("""COMPUTED_VALUE"""),44063.64583333333)</f>
        <v>44063.64583</v>
      </c>
      <c r="C1150" s="8">
        <f>IFERROR(__xludf.DUMMYFUNCTION("""COMPUTED_VALUE"""),1785.15)</f>
        <v>1785.15</v>
      </c>
      <c r="E1150" s="15">
        <f>IFERROR(__xludf.DUMMYFUNCTION("""COMPUTED_VALUE"""),44063.64583333333)</f>
        <v>44063.64583</v>
      </c>
      <c r="F1150" s="8">
        <f>IFERROR(__xludf.DUMMYFUNCTION("""COMPUTED_VALUE"""),1059.0)</f>
        <v>1059</v>
      </c>
      <c r="H1150" s="4">
        <f t="shared" si="1"/>
        <v>726.15</v>
      </c>
      <c r="I1150" s="16">
        <f t="shared" si="2"/>
        <v>755.35</v>
      </c>
      <c r="J1150" s="16">
        <f t="shared" si="3"/>
        <v>16.77479508</v>
      </c>
      <c r="K1150" s="16">
        <f t="shared" si="4"/>
        <v>772.1247951</v>
      </c>
      <c r="L1150" s="16">
        <f t="shared" si="5"/>
        <v>738.5752049</v>
      </c>
      <c r="N1150" s="17" t="str">
        <f t="shared" si="6"/>
        <v>T</v>
      </c>
      <c r="O1150" s="17" t="str">
        <f t="shared" si="7"/>
        <v>F</v>
      </c>
      <c r="P1150" s="8">
        <f t="shared" si="8"/>
        <v>1</v>
      </c>
      <c r="R1150" s="17" t="str">
        <f t="shared" si="9"/>
        <v>F</v>
      </c>
      <c r="S1150" s="3" t="str">
        <f t="shared" si="10"/>
        <v>T</v>
      </c>
      <c r="T1150" s="8">
        <f t="shared" si="11"/>
        <v>0</v>
      </c>
      <c r="V1150" s="4">
        <f t="shared" si="12"/>
        <v>1</v>
      </c>
      <c r="W1150" s="8">
        <f t="shared" si="13"/>
        <v>-35.2</v>
      </c>
      <c r="X1150" s="8">
        <f t="shared" si="14"/>
        <v>35.2</v>
      </c>
      <c r="Y1150" s="8">
        <f t="shared" si="15"/>
        <v>1894.77</v>
      </c>
    </row>
    <row r="1151">
      <c r="A1151" s="2">
        <v>1144.0</v>
      </c>
      <c r="B1151" s="15">
        <f>IFERROR(__xludf.DUMMYFUNCTION("""COMPUTED_VALUE"""),44064.64583333333)</f>
        <v>44064.64583</v>
      </c>
      <c r="C1151" s="8">
        <f>IFERROR(__xludf.DUMMYFUNCTION("""COMPUTED_VALUE"""),1804.05)</f>
        <v>1804.05</v>
      </c>
      <c r="E1151" s="15">
        <f>IFERROR(__xludf.DUMMYFUNCTION("""COMPUTED_VALUE"""),44064.64583333333)</f>
        <v>44064.64583</v>
      </c>
      <c r="F1151" s="8">
        <f>IFERROR(__xludf.DUMMYFUNCTION("""COMPUTED_VALUE"""),1085.65)</f>
        <v>1085.65</v>
      </c>
      <c r="H1151" s="4">
        <f t="shared" si="1"/>
        <v>718.4</v>
      </c>
      <c r="I1151" s="16">
        <f t="shared" si="2"/>
        <v>747.58</v>
      </c>
      <c r="J1151" s="16">
        <f t="shared" si="3"/>
        <v>23.37414704</v>
      </c>
      <c r="K1151" s="16">
        <f t="shared" si="4"/>
        <v>770.954147</v>
      </c>
      <c r="L1151" s="16">
        <f t="shared" si="5"/>
        <v>724.205853</v>
      </c>
      <c r="N1151" s="17" t="str">
        <f t="shared" si="6"/>
        <v>T</v>
      </c>
      <c r="O1151" s="17" t="str">
        <f t="shared" si="7"/>
        <v>F</v>
      </c>
      <c r="P1151" s="8">
        <f t="shared" si="8"/>
        <v>1</v>
      </c>
      <c r="R1151" s="17" t="str">
        <f t="shared" si="9"/>
        <v>F</v>
      </c>
      <c r="S1151" s="3" t="str">
        <f t="shared" si="10"/>
        <v>T</v>
      </c>
      <c r="T1151" s="8">
        <f t="shared" si="11"/>
        <v>0</v>
      </c>
      <c r="V1151" s="4">
        <f t="shared" si="12"/>
        <v>1</v>
      </c>
      <c r="W1151" s="8">
        <f t="shared" si="13"/>
        <v>-7.75</v>
      </c>
      <c r="X1151" s="8">
        <f t="shared" si="14"/>
        <v>-7.75</v>
      </c>
      <c r="Y1151" s="8">
        <f t="shared" si="15"/>
        <v>1887.02</v>
      </c>
    </row>
    <row r="1152">
      <c r="A1152" s="2">
        <v>1145.0</v>
      </c>
      <c r="B1152" s="15">
        <f>IFERROR(__xludf.DUMMYFUNCTION("""COMPUTED_VALUE"""),44067.64583333333)</f>
        <v>44067.64583</v>
      </c>
      <c r="C1152" s="8">
        <f>IFERROR(__xludf.DUMMYFUNCTION("""COMPUTED_VALUE"""),1829.85)</f>
        <v>1829.85</v>
      </c>
      <c r="E1152" s="15">
        <f>IFERROR(__xludf.DUMMYFUNCTION("""COMPUTED_VALUE"""),44067.64583333333)</f>
        <v>44067.64583</v>
      </c>
      <c r="F1152" s="8">
        <f>IFERROR(__xludf.DUMMYFUNCTION("""COMPUTED_VALUE"""),1117.05)</f>
        <v>1117.05</v>
      </c>
      <c r="H1152" s="4">
        <f t="shared" si="1"/>
        <v>712.8</v>
      </c>
      <c r="I1152" s="16">
        <f t="shared" si="2"/>
        <v>736.58</v>
      </c>
      <c r="J1152" s="16">
        <f t="shared" si="3"/>
        <v>24.39878583</v>
      </c>
      <c r="K1152" s="16">
        <f t="shared" si="4"/>
        <v>760.9787858</v>
      </c>
      <c r="L1152" s="16">
        <f t="shared" si="5"/>
        <v>712.1812142</v>
      </c>
      <c r="N1152" s="17" t="str">
        <f t="shared" si="6"/>
        <v>F</v>
      </c>
      <c r="O1152" s="17" t="str">
        <f t="shared" si="7"/>
        <v>F</v>
      </c>
      <c r="P1152" s="8">
        <f t="shared" si="8"/>
        <v>1</v>
      </c>
      <c r="R1152" s="17" t="str">
        <f t="shared" si="9"/>
        <v>F</v>
      </c>
      <c r="S1152" s="3" t="str">
        <f t="shared" si="10"/>
        <v>T</v>
      </c>
      <c r="T1152" s="8">
        <f t="shared" si="11"/>
        <v>0</v>
      </c>
      <c r="V1152" s="4">
        <f t="shared" si="12"/>
        <v>1</v>
      </c>
      <c r="W1152" s="8">
        <f t="shared" si="13"/>
        <v>-5.6</v>
      </c>
      <c r="X1152" s="8">
        <f t="shared" si="14"/>
        <v>-5.6</v>
      </c>
      <c r="Y1152" s="8">
        <f t="shared" si="15"/>
        <v>1881.42</v>
      </c>
    </row>
    <row r="1153">
      <c r="A1153" s="2">
        <v>1146.0</v>
      </c>
      <c r="B1153" s="15">
        <f>IFERROR(__xludf.DUMMYFUNCTION("""COMPUTED_VALUE"""),44068.64583333333)</f>
        <v>44068.64583</v>
      </c>
      <c r="C1153" s="8">
        <f>IFERROR(__xludf.DUMMYFUNCTION("""COMPUTED_VALUE"""),1829.6)</f>
        <v>1829.6</v>
      </c>
      <c r="E1153" s="15">
        <f>IFERROR(__xludf.DUMMYFUNCTION("""COMPUTED_VALUE"""),44068.64583333333)</f>
        <v>44068.64583</v>
      </c>
      <c r="F1153" s="8">
        <f>IFERROR(__xludf.DUMMYFUNCTION("""COMPUTED_VALUE"""),1119.7)</f>
        <v>1119.7</v>
      </c>
      <c r="H1153" s="4">
        <f t="shared" si="1"/>
        <v>709.9</v>
      </c>
      <c r="I1153" s="16">
        <f t="shared" si="2"/>
        <v>725.72</v>
      </c>
      <c r="J1153" s="16">
        <f t="shared" si="3"/>
        <v>20.85942832</v>
      </c>
      <c r="K1153" s="16">
        <f t="shared" si="4"/>
        <v>746.5794283</v>
      </c>
      <c r="L1153" s="16">
        <f t="shared" si="5"/>
        <v>704.8605717</v>
      </c>
      <c r="N1153" s="17" t="str">
        <f t="shared" si="6"/>
        <v>F</v>
      </c>
      <c r="O1153" s="17" t="str">
        <f t="shared" si="7"/>
        <v>F</v>
      </c>
      <c r="P1153" s="8">
        <f t="shared" si="8"/>
        <v>1</v>
      </c>
      <c r="R1153" s="17" t="str">
        <f t="shared" si="9"/>
        <v>F</v>
      </c>
      <c r="S1153" s="3" t="str">
        <f t="shared" si="10"/>
        <v>T</v>
      </c>
      <c r="T1153" s="8">
        <f t="shared" si="11"/>
        <v>0</v>
      </c>
      <c r="V1153" s="4">
        <f t="shared" si="12"/>
        <v>1</v>
      </c>
      <c r="W1153" s="8">
        <f t="shared" si="13"/>
        <v>-2.9</v>
      </c>
      <c r="X1153" s="8">
        <f t="shared" si="14"/>
        <v>-2.9</v>
      </c>
      <c r="Y1153" s="8">
        <f t="shared" si="15"/>
        <v>1878.52</v>
      </c>
    </row>
    <row r="1154">
      <c r="A1154" s="2">
        <v>1147.0</v>
      </c>
      <c r="B1154" s="15">
        <f>IFERROR(__xludf.DUMMYFUNCTION("""COMPUTED_VALUE"""),44069.64583333333)</f>
        <v>44069.64583</v>
      </c>
      <c r="C1154" s="8">
        <f>IFERROR(__xludf.DUMMYFUNCTION("""COMPUTED_VALUE"""),1816.0)</f>
        <v>1816</v>
      </c>
      <c r="E1154" s="15">
        <f>IFERROR(__xludf.DUMMYFUNCTION("""COMPUTED_VALUE"""),44069.64583333333)</f>
        <v>44069.64583</v>
      </c>
      <c r="F1154" s="8">
        <f>IFERROR(__xludf.DUMMYFUNCTION("""COMPUTED_VALUE"""),1118.45)</f>
        <v>1118.45</v>
      </c>
      <c r="H1154" s="4">
        <f t="shared" si="1"/>
        <v>697.55</v>
      </c>
      <c r="I1154" s="16">
        <f t="shared" si="2"/>
        <v>712.96</v>
      </c>
      <c r="J1154" s="16">
        <f t="shared" si="3"/>
        <v>10.61163277</v>
      </c>
      <c r="K1154" s="16">
        <f t="shared" si="4"/>
        <v>723.5716328</v>
      </c>
      <c r="L1154" s="16">
        <f t="shared" si="5"/>
        <v>702.3483672</v>
      </c>
      <c r="N1154" s="17" t="str">
        <f t="shared" si="6"/>
        <v>T</v>
      </c>
      <c r="O1154" s="17" t="str">
        <f t="shared" si="7"/>
        <v>F</v>
      </c>
      <c r="P1154" s="8">
        <f t="shared" si="8"/>
        <v>1</v>
      </c>
      <c r="R1154" s="17" t="str">
        <f t="shared" si="9"/>
        <v>F</v>
      </c>
      <c r="S1154" s="3" t="str">
        <f t="shared" si="10"/>
        <v>T</v>
      </c>
      <c r="T1154" s="8">
        <f t="shared" si="11"/>
        <v>0</v>
      </c>
      <c r="V1154" s="4">
        <f t="shared" si="12"/>
        <v>1</v>
      </c>
      <c r="W1154" s="8">
        <f t="shared" si="13"/>
        <v>-12.35</v>
      </c>
      <c r="X1154" s="8">
        <f t="shared" si="14"/>
        <v>-12.35</v>
      </c>
      <c r="Y1154" s="8">
        <f t="shared" si="15"/>
        <v>1866.17</v>
      </c>
    </row>
    <row r="1155">
      <c r="A1155" s="2">
        <v>1148.0</v>
      </c>
      <c r="B1155" s="15">
        <f>IFERROR(__xludf.DUMMYFUNCTION("""COMPUTED_VALUE"""),44070.64583333333)</f>
        <v>44070.64583</v>
      </c>
      <c r="C1155" s="8">
        <f>IFERROR(__xludf.DUMMYFUNCTION("""COMPUTED_VALUE"""),1864.1)</f>
        <v>1864.1</v>
      </c>
      <c r="E1155" s="15">
        <f>IFERROR(__xludf.DUMMYFUNCTION("""COMPUTED_VALUE"""),44070.64583333333)</f>
        <v>44070.64583</v>
      </c>
      <c r="F1155" s="8">
        <f>IFERROR(__xludf.DUMMYFUNCTION("""COMPUTED_VALUE"""),1112.1)</f>
        <v>1112.1</v>
      </c>
      <c r="H1155" s="4">
        <f t="shared" si="1"/>
        <v>752</v>
      </c>
      <c r="I1155" s="16">
        <f t="shared" si="2"/>
        <v>718.13</v>
      </c>
      <c r="J1155" s="16">
        <f t="shared" si="3"/>
        <v>20.41401479</v>
      </c>
      <c r="K1155" s="16">
        <f t="shared" si="4"/>
        <v>738.5440148</v>
      </c>
      <c r="L1155" s="16">
        <f t="shared" si="5"/>
        <v>697.7159852</v>
      </c>
      <c r="N1155" s="17" t="str">
        <f t="shared" si="6"/>
        <v>F</v>
      </c>
      <c r="O1155" s="17" t="str">
        <f t="shared" si="7"/>
        <v>T</v>
      </c>
      <c r="P1155" s="8">
        <f t="shared" si="8"/>
        <v>0</v>
      </c>
      <c r="R1155" s="17" t="str">
        <f t="shared" si="9"/>
        <v>T</v>
      </c>
      <c r="S1155" s="3" t="str">
        <f t="shared" si="10"/>
        <v>F</v>
      </c>
      <c r="T1155" s="8">
        <f t="shared" si="11"/>
        <v>-1</v>
      </c>
      <c r="V1155" s="4">
        <f t="shared" si="12"/>
        <v>-1</v>
      </c>
      <c r="W1155" s="8">
        <f t="shared" si="13"/>
        <v>54.45</v>
      </c>
      <c r="X1155" s="8">
        <f t="shared" si="14"/>
        <v>54.45</v>
      </c>
      <c r="Y1155" s="8">
        <f t="shared" si="15"/>
        <v>1920.62</v>
      </c>
    </row>
    <row r="1156">
      <c r="A1156" s="2">
        <v>1149.0</v>
      </c>
      <c r="B1156" s="15">
        <f>IFERROR(__xludf.DUMMYFUNCTION("""COMPUTED_VALUE"""),44071.64583333333)</f>
        <v>44071.64583</v>
      </c>
      <c r="C1156" s="8">
        <f>IFERROR(__xludf.DUMMYFUNCTION("""COMPUTED_VALUE"""),1883.25)</f>
        <v>1883.25</v>
      </c>
      <c r="E1156" s="15">
        <f>IFERROR(__xludf.DUMMYFUNCTION("""COMPUTED_VALUE"""),44071.64583333333)</f>
        <v>44071.64583</v>
      </c>
      <c r="F1156" s="8">
        <f>IFERROR(__xludf.DUMMYFUNCTION("""COMPUTED_VALUE"""),1114.5)</f>
        <v>1114.5</v>
      </c>
      <c r="H1156" s="4">
        <f t="shared" si="1"/>
        <v>768.75</v>
      </c>
      <c r="I1156" s="16">
        <f t="shared" si="2"/>
        <v>728.2</v>
      </c>
      <c r="J1156" s="16">
        <f t="shared" si="3"/>
        <v>30.5049791</v>
      </c>
      <c r="K1156" s="16">
        <f t="shared" si="4"/>
        <v>758.7049791</v>
      </c>
      <c r="L1156" s="16">
        <f t="shared" si="5"/>
        <v>697.6950209</v>
      </c>
      <c r="N1156" s="17" t="str">
        <f t="shared" si="6"/>
        <v>F</v>
      </c>
      <c r="O1156" s="17" t="str">
        <f t="shared" si="7"/>
        <v>T</v>
      </c>
      <c r="P1156" s="8">
        <f t="shared" si="8"/>
        <v>0</v>
      </c>
      <c r="R1156" s="17" t="str">
        <f t="shared" si="9"/>
        <v>T</v>
      </c>
      <c r="S1156" s="3" t="str">
        <f t="shared" si="10"/>
        <v>F</v>
      </c>
      <c r="T1156" s="8">
        <f t="shared" si="11"/>
        <v>-1</v>
      </c>
      <c r="V1156" s="4">
        <f t="shared" si="12"/>
        <v>-1</v>
      </c>
      <c r="W1156" s="8">
        <f t="shared" si="13"/>
        <v>16.75</v>
      </c>
      <c r="X1156" s="8">
        <f t="shared" si="14"/>
        <v>-16.75</v>
      </c>
      <c r="Y1156" s="8">
        <f t="shared" si="15"/>
        <v>1903.87</v>
      </c>
    </row>
    <row r="1157">
      <c r="A1157" s="2">
        <v>1150.0</v>
      </c>
      <c r="B1157" s="15">
        <f>IFERROR(__xludf.DUMMYFUNCTION("""COMPUTED_VALUE"""),44074.64583333333)</f>
        <v>44074.64583</v>
      </c>
      <c r="C1157" s="8">
        <f>IFERROR(__xludf.DUMMYFUNCTION("""COMPUTED_VALUE"""),1832.6)</f>
        <v>1832.6</v>
      </c>
      <c r="E1157" s="15">
        <f>IFERROR(__xludf.DUMMYFUNCTION("""COMPUTED_VALUE"""),44074.64583333333)</f>
        <v>44074.64583</v>
      </c>
      <c r="F1157" s="8">
        <f>IFERROR(__xludf.DUMMYFUNCTION("""COMPUTED_VALUE"""),1115.85)</f>
        <v>1115.85</v>
      </c>
      <c r="H1157" s="4">
        <f t="shared" si="1"/>
        <v>716.75</v>
      </c>
      <c r="I1157" s="16">
        <f t="shared" si="2"/>
        <v>728.99</v>
      </c>
      <c r="J1157" s="16">
        <f t="shared" si="3"/>
        <v>30.05427174</v>
      </c>
      <c r="K1157" s="16">
        <f t="shared" si="4"/>
        <v>759.0442717</v>
      </c>
      <c r="L1157" s="16">
        <f t="shared" si="5"/>
        <v>698.9357283</v>
      </c>
      <c r="N1157" s="17" t="str">
        <f t="shared" si="6"/>
        <v>F</v>
      </c>
      <c r="O1157" s="17" t="str">
        <f t="shared" si="7"/>
        <v>F</v>
      </c>
      <c r="P1157" s="8">
        <f t="shared" si="8"/>
        <v>0</v>
      </c>
      <c r="R1157" s="17" t="str">
        <f t="shared" si="9"/>
        <v>F</v>
      </c>
      <c r="S1157" s="3" t="str">
        <f t="shared" si="10"/>
        <v>T</v>
      </c>
      <c r="T1157" s="8">
        <f t="shared" si="11"/>
        <v>0</v>
      </c>
      <c r="V1157" s="4">
        <f t="shared" si="12"/>
        <v>0</v>
      </c>
      <c r="W1157" s="8">
        <f t="shared" si="13"/>
        <v>-52</v>
      </c>
      <c r="X1157" s="8">
        <f t="shared" si="14"/>
        <v>52</v>
      </c>
      <c r="Y1157" s="8">
        <f t="shared" si="15"/>
        <v>1955.87</v>
      </c>
    </row>
    <row r="1158">
      <c r="A1158" s="2">
        <v>1151.0</v>
      </c>
      <c r="B1158" s="15">
        <f>IFERROR(__xludf.DUMMYFUNCTION("""COMPUTED_VALUE"""),44075.64583333333)</f>
        <v>44075.64583</v>
      </c>
      <c r="C1158" s="8">
        <f>IFERROR(__xludf.DUMMYFUNCTION("""COMPUTED_VALUE"""),1851.2)</f>
        <v>1851.2</v>
      </c>
      <c r="E1158" s="15">
        <f>IFERROR(__xludf.DUMMYFUNCTION("""COMPUTED_VALUE"""),44075.64583333333)</f>
        <v>44075.64583</v>
      </c>
      <c r="F1158" s="8">
        <f>IFERROR(__xludf.DUMMYFUNCTION("""COMPUTED_VALUE"""),1127.3)</f>
        <v>1127.3</v>
      </c>
      <c r="H1158" s="4">
        <f t="shared" si="1"/>
        <v>723.9</v>
      </c>
      <c r="I1158" s="16">
        <f t="shared" si="2"/>
        <v>731.79</v>
      </c>
      <c r="J1158" s="16">
        <f t="shared" si="3"/>
        <v>28.43992352</v>
      </c>
      <c r="K1158" s="16">
        <f t="shared" si="4"/>
        <v>760.2299235</v>
      </c>
      <c r="L1158" s="16">
        <f t="shared" si="5"/>
        <v>703.3500765</v>
      </c>
      <c r="N1158" s="17" t="str">
        <f t="shared" si="6"/>
        <v>F</v>
      </c>
      <c r="O1158" s="17" t="str">
        <f t="shared" si="7"/>
        <v>F</v>
      </c>
      <c r="P1158" s="8">
        <f t="shared" si="8"/>
        <v>0</v>
      </c>
      <c r="R1158" s="17" t="str">
        <f t="shared" si="9"/>
        <v>F</v>
      </c>
      <c r="S1158" s="3" t="str">
        <f t="shared" si="10"/>
        <v>T</v>
      </c>
      <c r="T1158" s="8">
        <f t="shared" si="11"/>
        <v>0</v>
      </c>
      <c r="V1158" s="4">
        <f t="shared" si="12"/>
        <v>0</v>
      </c>
      <c r="W1158" s="8">
        <f t="shared" si="13"/>
        <v>7.15</v>
      </c>
      <c r="X1158" s="8">
        <f t="shared" si="14"/>
        <v>0</v>
      </c>
      <c r="Y1158" s="8">
        <f t="shared" si="15"/>
        <v>1955.87</v>
      </c>
    </row>
    <row r="1159">
      <c r="A1159" s="2">
        <v>1152.0</v>
      </c>
      <c r="B1159" s="15">
        <f>IFERROR(__xludf.DUMMYFUNCTION("""COMPUTED_VALUE"""),44076.64583333333)</f>
        <v>44076.64583</v>
      </c>
      <c r="C1159" s="8">
        <f>IFERROR(__xludf.DUMMYFUNCTION("""COMPUTED_VALUE"""),1827.2)</f>
        <v>1827.2</v>
      </c>
      <c r="E1159" s="15">
        <f>IFERROR(__xludf.DUMMYFUNCTION("""COMPUTED_VALUE"""),44076.64583333333)</f>
        <v>44076.64583</v>
      </c>
      <c r="F1159" s="8">
        <f>IFERROR(__xludf.DUMMYFUNCTION("""COMPUTED_VALUE"""),1134.15)</f>
        <v>1134.15</v>
      </c>
      <c r="H1159" s="4">
        <f t="shared" si="1"/>
        <v>693.05</v>
      </c>
      <c r="I1159" s="16">
        <f t="shared" si="2"/>
        <v>730.89</v>
      </c>
      <c r="J1159" s="16">
        <f t="shared" si="3"/>
        <v>29.83151438</v>
      </c>
      <c r="K1159" s="16">
        <f t="shared" si="4"/>
        <v>760.7215144</v>
      </c>
      <c r="L1159" s="16">
        <f t="shared" si="5"/>
        <v>701.0584856</v>
      </c>
      <c r="N1159" s="17" t="str">
        <f t="shared" si="6"/>
        <v>T</v>
      </c>
      <c r="O1159" s="17" t="str">
        <f t="shared" si="7"/>
        <v>F</v>
      </c>
      <c r="P1159" s="8">
        <f t="shared" si="8"/>
        <v>1</v>
      </c>
      <c r="R1159" s="17" t="str">
        <f t="shared" si="9"/>
        <v>F</v>
      </c>
      <c r="S1159" s="3" t="str">
        <f t="shared" si="10"/>
        <v>T</v>
      </c>
      <c r="T1159" s="8">
        <f t="shared" si="11"/>
        <v>0</v>
      </c>
      <c r="V1159" s="4">
        <f t="shared" si="12"/>
        <v>1</v>
      </c>
      <c r="W1159" s="8">
        <f t="shared" si="13"/>
        <v>-30.85</v>
      </c>
      <c r="X1159" s="8">
        <f t="shared" si="14"/>
        <v>0</v>
      </c>
      <c r="Y1159" s="8">
        <f t="shared" si="15"/>
        <v>1955.87</v>
      </c>
    </row>
    <row r="1160">
      <c r="A1160" s="2">
        <v>1153.0</v>
      </c>
      <c r="B1160" s="15">
        <f>IFERROR(__xludf.DUMMYFUNCTION("""COMPUTED_VALUE"""),44077.64583333333)</f>
        <v>44077.64583</v>
      </c>
      <c r="C1160" s="8">
        <f>IFERROR(__xludf.DUMMYFUNCTION("""COMPUTED_VALUE"""),1808.75)</f>
        <v>1808.75</v>
      </c>
      <c r="E1160" s="15">
        <f>IFERROR(__xludf.DUMMYFUNCTION("""COMPUTED_VALUE"""),44077.64583333333)</f>
        <v>44077.64583</v>
      </c>
      <c r="F1160" s="8">
        <f>IFERROR(__xludf.DUMMYFUNCTION("""COMPUTED_VALUE"""),1130.9)</f>
        <v>1130.9</v>
      </c>
      <c r="H1160" s="4">
        <f t="shared" si="1"/>
        <v>677.85</v>
      </c>
      <c r="I1160" s="16">
        <f t="shared" si="2"/>
        <v>716.06</v>
      </c>
      <c r="J1160" s="16">
        <f t="shared" si="3"/>
        <v>34.74061744</v>
      </c>
      <c r="K1160" s="16">
        <f t="shared" si="4"/>
        <v>750.8006174</v>
      </c>
      <c r="L1160" s="16">
        <f t="shared" si="5"/>
        <v>681.3193826</v>
      </c>
      <c r="N1160" s="17" t="str">
        <f t="shared" si="6"/>
        <v>T</v>
      </c>
      <c r="O1160" s="17" t="str">
        <f t="shared" si="7"/>
        <v>F</v>
      </c>
      <c r="P1160" s="8">
        <f t="shared" si="8"/>
        <v>1</v>
      </c>
      <c r="R1160" s="17" t="str">
        <f t="shared" si="9"/>
        <v>F</v>
      </c>
      <c r="S1160" s="3" t="str">
        <f t="shared" si="10"/>
        <v>T</v>
      </c>
      <c r="T1160" s="8">
        <f t="shared" si="11"/>
        <v>0</v>
      </c>
      <c r="V1160" s="4">
        <f t="shared" si="12"/>
        <v>1</v>
      </c>
      <c r="W1160" s="8">
        <f t="shared" si="13"/>
        <v>-15.2</v>
      </c>
      <c r="X1160" s="8">
        <f t="shared" si="14"/>
        <v>-15.2</v>
      </c>
      <c r="Y1160" s="8">
        <f t="shared" si="15"/>
        <v>1940.67</v>
      </c>
    </row>
    <row r="1161">
      <c r="A1161" s="2">
        <v>1154.0</v>
      </c>
      <c r="B1161" s="15">
        <f>IFERROR(__xludf.DUMMYFUNCTION("""COMPUTED_VALUE"""),44078.64583333333)</f>
        <v>44078.64583</v>
      </c>
      <c r="C1161" s="8">
        <f>IFERROR(__xludf.DUMMYFUNCTION("""COMPUTED_VALUE"""),1769.7)</f>
        <v>1769.7</v>
      </c>
      <c r="E1161" s="15">
        <f>IFERROR(__xludf.DUMMYFUNCTION("""COMPUTED_VALUE"""),44078.64583333333)</f>
        <v>44078.64583</v>
      </c>
      <c r="F1161" s="8">
        <f>IFERROR(__xludf.DUMMYFUNCTION("""COMPUTED_VALUE"""),1119.3)</f>
        <v>1119.3</v>
      </c>
      <c r="H1161" s="4">
        <f t="shared" si="1"/>
        <v>650.4</v>
      </c>
      <c r="I1161" s="16">
        <f t="shared" si="2"/>
        <v>692.39</v>
      </c>
      <c r="J1161" s="16">
        <f t="shared" si="3"/>
        <v>29.83830173</v>
      </c>
      <c r="K1161" s="16">
        <f t="shared" si="4"/>
        <v>722.2283017</v>
      </c>
      <c r="L1161" s="16">
        <f t="shared" si="5"/>
        <v>662.5516983</v>
      </c>
      <c r="N1161" s="17" t="str">
        <f t="shared" si="6"/>
        <v>T</v>
      </c>
      <c r="O1161" s="17" t="str">
        <f t="shared" si="7"/>
        <v>F</v>
      </c>
      <c r="P1161" s="8">
        <f t="shared" si="8"/>
        <v>1</v>
      </c>
      <c r="R1161" s="17" t="str">
        <f t="shared" si="9"/>
        <v>F</v>
      </c>
      <c r="S1161" s="3" t="str">
        <f t="shared" si="10"/>
        <v>T</v>
      </c>
      <c r="T1161" s="8">
        <f t="shared" si="11"/>
        <v>0</v>
      </c>
      <c r="V1161" s="4">
        <f t="shared" si="12"/>
        <v>1</v>
      </c>
      <c r="W1161" s="8">
        <f t="shared" si="13"/>
        <v>-27.45</v>
      </c>
      <c r="X1161" s="8">
        <f t="shared" si="14"/>
        <v>-27.45</v>
      </c>
      <c r="Y1161" s="8">
        <f t="shared" si="15"/>
        <v>1913.22</v>
      </c>
    </row>
    <row r="1162">
      <c r="A1162" s="2">
        <v>1155.0</v>
      </c>
      <c r="B1162" s="15">
        <f>IFERROR(__xludf.DUMMYFUNCTION("""COMPUTED_VALUE"""),44081.64583333333)</f>
        <v>44081.64583</v>
      </c>
      <c r="C1162" s="8">
        <f>IFERROR(__xludf.DUMMYFUNCTION("""COMPUTED_VALUE"""),1791.1)</f>
        <v>1791.1</v>
      </c>
      <c r="E1162" s="15">
        <f>IFERROR(__xludf.DUMMYFUNCTION("""COMPUTED_VALUE"""),44081.64583333333)</f>
        <v>44081.64583</v>
      </c>
      <c r="F1162" s="8">
        <f>IFERROR(__xludf.DUMMYFUNCTION("""COMPUTED_VALUE"""),1110.5)</f>
        <v>1110.5</v>
      </c>
      <c r="H1162" s="4">
        <f t="shared" si="1"/>
        <v>680.6</v>
      </c>
      <c r="I1162" s="16">
        <f t="shared" si="2"/>
        <v>685.16</v>
      </c>
      <c r="J1162" s="16">
        <f t="shared" si="3"/>
        <v>26.67174066</v>
      </c>
      <c r="K1162" s="16">
        <f t="shared" si="4"/>
        <v>711.8317407</v>
      </c>
      <c r="L1162" s="16">
        <f t="shared" si="5"/>
        <v>658.4882593</v>
      </c>
      <c r="N1162" s="17" t="str">
        <f t="shared" si="6"/>
        <v>F</v>
      </c>
      <c r="O1162" s="17" t="str">
        <f t="shared" si="7"/>
        <v>F</v>
      </c>
      <c r="P1162" s="8">
        <f t="shared" si="8"/>
        <v>1</v>
      </c>
      <c r="R1162" s="17" t="str">
        <f t="shared" si="9"/>
        <v>F</v>
      </c>
      <c r="S1162" s="3" t="str">
        <f t="shared" si="10"/>
        <v>T</v>
      </c>
      <c r="T1162" s="8">
        <f t="shared" si="11"/>
        <v>0</v>
      </c>
      <c r="V1162" s="4">
        <f t="shared" si="12"/>
        <v>1</v>
      </c>
      <c r="W1162" s="8">
        <f t="shared" si="13"/>
        <v>30.2</v>
      </c>
      <c r="X1162" s="8">
        <f t="shared" si="14"/>
        <v>30.2</v>
      </c>
      <c r="Y1162" s="8">
        <f t="shared" si="15"/>
        <v>1943.42</v>
      </c>
    </row>
    <row r="1163">
      <c r="A1163" s="2">
        <v>1156.0</v>
      </c>
      <c r="B1163" s="15">
        <f>IFERROR(__xludf.DUMMYFUNCTION("""COMPUTED_VALUE"""),44082.64583333333)</f>
        <v>44082.64583</v>
      </c>
      <c r="C1163" s="8">
        <f>IFERROR(__xludf.DUMMYFUNCTION("""COMPUTED_VALUE"""),1777.3)</f>
        <v>1777.3</v>
      </c>
      <c r="E1163" s="15">
        <f>IFERROR(__xludf.DUMMYFUNCTION("""COMPUTED_VALUE"""),44082.64583333333)</f>
        <v>44082.64583</v>
      </c>
      <c r="F1163" s="8">
        <f>IFERROR(__xludf.DUMMYFUNCTION("""COMPUTED_VALUE"""),1112.45)</f>
        <v>1112.45</v>
      </c>
      <c r="H1163" s="4">
        <f t="shared" si="1"/>
        <v>664.85</v>
      </c>
      <c r="I1163" s="16">
        <f t="shared" si="2"/>
        <v>673.35</v>
      </c>
      <c r="J1163" s="16">
        <f t="shared" si="3"/>
        <v>16.27770715</v>
      </c>
      <c r="K1163" s="16">
        <f t="shared" si="4"/>
        <v>689.6277071</v>
      </c>
      <c r="L1163" s="16">
        <f t="shared" si="5"/>
        <v>657.0722929</v>
      </c>
      <c r="N1163" s="17" t="str">
        <f t="shared" si="6"/>
        <v>F</v>
      </c>
      <c r="O1163" s="17" t="str">
        <f t="shared" si="7"/>
        <v>F</v>
      </c>
      <c r="P1163" s="8">
        <f t="shared" si="8"/>
        <v>1</v>
      </c>
      <c r="R1163" s="17" t="str">
        <f t="shared" si="9"/>
        <v>F</v>
      </c>
      <c r="S1163" s="3" t="str">
        <f t="shared" si="10"/>
        <v>T</v>
      </c>
      <c r="T1163" s="8">
        <f t="shared" si="11"/>
        <v>0</v>
      </c>
      <c r="V1163" s="4">
        <f t="shared" si="12"/>
        <v>1</v>
      </c>
      <c r="W1163" s="8">
        <f t="shared" si="13"/>
        <v>-15.75</v>
      </c>
      <c r="X1163" s="8">
        <f t="shared" si="14"/>
        <v>-15.75</v>
      </c>
      <c r="Y1163" s="8">
        <f t="shared" si="15"/>
        <v>1927.67</v>
      </c>
    </row>
    <row r="1164">
      <c r="A1164" s="2">
        <v>1157.0</v>
      </c>
      <c r="B1164" s="15">
        <f>IFERROR(__xludf.DUMMYFUNCTION("""COMPUTED_VALUE"""),44083.64583333333)</f>
        <v>44083.64583</v>
      </c>
      <c r="C1164" s="8">
        <f>IFERROR(__xludf.DUMMYFUNCTION("""COMPUTED_VALUE"""),1760.75)</f>
        <v>1760.75</v>
      </c>
      <c r="E1164" s="15">
        <f>IFERROR(__xludf.DUMMYFUNCTION("""COMPUTED_VALUE"""),44083.64583333333)</f>
        <v>44083.64583</v>
      </c>
      <c r="F1164" s="8">
        <f>IFERROR(__xludf.DUMMYFUNCTION("""COMPUTED_VALUE"""),1096.5)</f>
        <v>1096.5</v>
      </c>
      <c r="H1164" s="4">
        <f t="shared" si="1"/>
        <v>664.25</v>
      </c>
      <c r="I1164" s="16">
        <f t="shared" si="2"/>
        <v>667.59</v>
      </c>
      <c r="J1164" s="16">
        <f t="shared" si="3"/>
        <v>12.13143644</v>
      </c>
      <c r="K1164" s="16">
        <f t="shared" si="4"/>
        <v>679.7214364</v>
      </c>
      <c r="L1164" s="16">
        <f t="shared" si="5"/>
        <v>655.4585636</v>
      </c>
      <c r="N1164" s="17" t="str">
        <f t="shared" si="6"/>
        <v>F</v>
      </c>
      <c r="O1164" s="17" t="str">
        <f t="shared" si="7"/>
        <v>F</v>
      </c>
      <c r="P1164" s="8">
        <f t="shared" si="8"/>
        <v>1</v>
      </c>
      <c r="R1164" s="17" t="str">
        <f t="shared" si="9"/>
        <v>F</v>
      </c>
      <c r="S1164" s="3" t="str">
        <f t="shared" si="10"/>
        <v>T</v>
      </c>
      <c r="T1164" s="8">
        <f t="shared" si="11"/>
        <v>0</v>
      </c>
      <c r="V1164" s="4">
        <f t="shared" si="12"/>
        <v>1</v>
      </c>
      <c r="W1164" s="8">
        <f t="shared" si="13"/>
        <v>-0.6</v>
      </c>
      <c r="X1164" s="8">
        <f t="shared" si="14"/>
        <v>-0.6</v>
      </c>
      <c r="Y1164" s="8">
        <f t="shared" si="15"/>
        <v>1927.07</v>
      </c>
    </row>
    <row r="1165">
      <c r="A1165" s="2">
        <v>1158.0</v>
      </c>
      <c r="B1165" s="15">
        <f>IFERROR(__xludf.DUMMYFUNCTION("""COMPUTED_VALUE"""),44084.64583333333)</f>
        <v>44084.64583</v>
      </c>
      <c r="C1165" s="8">
        <f>IFERROR(__xludf.DUMMYFUNCTION("""COMPUTED_VALUE"""),1777.45)</f>
        <v>1777.45</v>
      </c>
      <c r="E1165" s="15">
        <f>IFERROR(__xludf.DUMMYFUNCTION("""COMPUTED_VALUE"""),44084.64583333333)</f>
        <v>44084.64583</v>
      </c>
      <c r="F1165" s="8">
        <f>IFERROR(__xludf.DUMMYFUNCTION("""COMPUTED_VALUE"""),1090.55)</f>
        <v>1090.55</v>
      </c>
      <c r="H1165" s="4">
        <f t="shared" si="1"/>
        <v>686.9</v>
      </c>
      <c r="I1165" s="16">
        <f t="shared" si="2"/>
        <v>669.4</v>
      </c>
      <c r="J1165" s="16">
        <f t="shared" si="3"/>
        <v>14.49064353</v>
      </c>
      <c r="K1165" s="16">
        <f t="shared" si="4"/>
        <v>683.8906435</v>
      </c>
      <c r="L1165" s="16">
        <f t="shared" si="5"/>
        <v>654.9093565</v>
      </c>
      <c r="N1165" s="17" t="str">
        <f t="shared" si="6"/>
        <v>F</v>
      </c>
      <c r="O1165" s="17" t="str">
        <f t="shared" si="7"/>
        <v>T</v>
      </c>
      <c r="P1165" s="8">
        <f t="shared" si="8"/>
        <v>0</v>
      </c>
      <c r="R1165" s="17" t="str">
        <f t="shared" si="9"/>
        <v>T</v>
      </c>
      <c r="S1165" s="3" t="str">
        <f t="shared" si="10"/>
        <v>F</v>
      </c>
      <c r="T1165" s="8">
        <f t="shared" si="11"/>
        <v>-1</v>
      </c>
      <c r="V1165" s="4">
        <f t="shared" si="12"/>
        <v>-1</v>
      </c>
      <c r="W1165" s="8">
        <f t="shared" si="13"/>
        <v>22.65</v>
      </c>
      <c r="X1165" s="8">
        <f t="shared" si="14"/>
        <v>22.65</v>
      </c>
      <c r="Y1165" s="8">
        <f t="shared" si="15"/>
        <v>1949.72</v>
      </c>
    </row>
    <row r="1166">
      <c r="A1166" s="2">
        <v>1159.0</v>
      </c>
      <c r="B1166" s="15">
        <f>IFERROR(__xludf.DUMMYFUNCTION("""COMPUTED_VALUE"""),44085.64583333333)</f>
        <v>44085.64583</v>
      </c>
      <c r="C1166" s="8">
        <f>IFERROR(__xludf.DUMMYFUNCTION("""COMPUTED_VALUE"""),1768.15)</f>
        <v>1768.15</v>
      </c>
      <c r="E1166" s="15">
        <f>IFERROR(__xludf.DUMMYFUNCTION("""COMPUTED_VALUE"""),44085.64583333333)</f>
        <v>44085.64583</v>
      </c>
      <c r="F1166" s="8">
        <f>IFERROR(__xludf.DUMMYFUNCTION("""COMPUTED_VALUE"""),1078.65)</f>
        <v>1078.65</v>
      </c>
      <c r="H1166" s="4">
        <f t="shared" si="1"/>
        <v>689.5</v>
      </c>
      <c r="I1166" s="16">
        <f t="shared" si="2"/>
        <v>677.22</v>
      </c>
      <c r="J1166" s="16">
        <f t="shared" si="3"/>
        <v>12.01210847</v>
      </c>
      <c r="K1166" s="16">
        <f t="shared" si="4"/>
        <v>689.2321085</v>
      </c>
      <c r="L1166" s="16">
        <f t="shared" si="5"/>
        <v>665.2078915</v>
      </c>
      <c r="N1166" s="17" t="str">
        <f t="shared" si="6"/>
        <v>F</v>
      </c>
      <c r="O1166" s="17" t="str">
        <f t="shared" si="7"/>
        <v>T</v>
      </c>
      <c r="P1166" s="8">
        <f t="shared" si="8"/>
        <v>0</v>
      </c>
      <c r="R1166" s="17" t="str">
        <f t="shared" si="9"/>
        <v>T</v>
      </c>
      <c r="S1166" s="3" t="str">
        <f t="shared" si="10"/>
        <v>F</v>
      </c>
      <c r="T1166" s="8">
        <f t="shared" si="11"/>
        <v>-1</v>
      </c>
      <c r="V1166" s="4">
        <f t="shared" si="12"/>
        <v>-1</v>
      </c>
      <c r="W1166" s="8">
        <f t="shared" si="13"/>
        <v>2.6</v>
      </c>
      <c r="X1166" s="8">
        <f t="shared" si="14"/>
        <v>-2.6</v>
      </c>
      <c r="Y1166" s="8">
        <f t="shared" si="15"/>
        <v>1947.12</v>
      </c>
    </row>
    <row r="1167">
      <c r="A1167" s="2">
        <v>1160.0</v>
      </c>
      <c r="B1167" s="15">
        <f>IFERROR(__xludf.DUMMYFUNCTION("""COMPUTED_VALUE"""),44088.64583333333)</f>
        <v>44088.64583</v>
      </c>
      <c r="C1167" s="8">
        <f>IFERROR(__xludf.DUMMYFUNCTION("""COMPUTED_VALUE"""),1738.0)</f>
        <v>1738</v>
      </c>
      <c r="E1167" s="15">
        <f>IFERROR(__xludf.DUMMYFUNCTION("""COMPUTED_VALUE"""),44088.64583333333)</f>
        <v>44088.64583</v>
      </c>
      <c r="F1167" s="8">
        <f>IFERROR(__xludf.DUMMYFUNCTION("""COMPUTED_VALUE"""),1057.95)</f>
        <v>1057.95</v>
      </c>
      <c r="H1167" s="4">
        <f t="shared" si="1"/>
        <v>680.05</v>
      </c>
      <c r="I1167" s="16">
        <f t="shared" si="2"/>
        <v>677.11</v>
      </c>
      <c r="J1167" s="16">
        <f t="shared" si="3"/>
        <v>11.97588201</v>
      </c>
      <c r="K1167" s="16">
        <f t="shared" si="4"/>
        <v>689.085882</v>
      </c>
      <c r="L1167" s="16">
        <f t="shared" si="5"/>
        <v>665.134118</v>
      </c>
      <c r="N1167" s="17" t="str">
        <f t="shared" si="6"/>
        <v>F</v>
      </c>
      <c r="O1167" s="17" t="str">
        <f t="shared" si="7"/>
        <v>T</v>
      </c>
      <c r="P1167" s="8">
        <f t="shared" si="8"/>
        <v>0</v>
      </c>
      <c r="R1167" s="17" t="str">
        <f t="shared" si="9"/>
        <v>F</v>
      </c>
      <c r="S1167" s="3" t="str">
        <f t="shared" si="10"/>
        <v>F</v>
      </c>
      <c r="T1167" s="8">
        <f t="shared" si="11"/>
        <v>-1</v>
      </c>
      <c r="V1167" s="4">
        <f t="shared" si="12"/>
        <v>-1</v>
      </c>
      <c r="W1167" s="8">
        <f t="shared" si="13"/>
        <v>-9.45</v>
      </c>
      <c r="X1167" s="8">
        <f t="shared" si="14"/>
        <v>9.45</v>
      </c>
      <c r="Y1167" s="8">
        <f t="shared" si="15"/>
        <v>1956.57</v>
      </c>
    </row>
    <row r="1168">
      <c r="A1168" s="2">
        <v>1161.0</v>
      </c>
      <c r="B1168" s="15">
        <f>IFERROR(__xludf.DUMMYFUNCTION("""COMPUTED_VALUE"""),44089.64583333333)</f>
        <v>44089.64583</v>
      </c>
      <c r="C1168" s="8">
        <f>IFERROR(__xludf.DUMMYFUNCTION("""COMPUTED_VALUE"""),1758.75)</f>
        <v>1758.75</v>
      </c>
      <c r="E1168" s="15">
        <f>IFERROR(__xludf.DUMMYFUNCTION("""COMPUTED_VALUE"""),44089.64583333333)</f>
        <v>44089.64583</v>
      </c>
      <c r="F1168" s="8">
        <f>IFERROR(__xludf.DUMMYFUNCTION("""COMPUTED_VALUE"""),1070.5)</f>
        <v>1070.5</v>
      </c>
      <c r="H1168" s="4">
        <f t="shared" si="1"/>
        <v>688.25</v>
      </c>
      <c r="I1168" s="16">
        <f t="shared" si="2"/>
        <v>681.79</v>
      </c>
      <c r="J1168" s="16">
        <f t="shared" si="3"/>
        <v>10.46383056</v>
      </c>
      <c r="K1168" s="16">
        <f t="shared" si="4"/>
        <v>692.2538306</v>
      </c>
      <c r="L1168" s="16">
        <f t="shared" si="5"/>
        <v>671.3261694</v>
      </c>
      <c r="N1168" s="17" t="str">
        <f t="shared" si="6"/>
        <v>F</v>
      </c>
      <c r="O1168" s="17" t="str">
        <f t="shared" si="7"/>
        <v>T</v>
      </c>
      <c r="P1168" s="8">
        <f t="shared" si="8"/>
        <v>0</v>
      </c>
      <c r="R1168" s="17" t="str">
        <f t="shared" si="9"/>
        <v>F</v>
      </c>
      <c r="S1168" s="3" t="str">
        <f t="shared" si="10"/>
        <v>F</v>
      </c>
      <c r="T1168" s="8">
        <f t="shared" si="11"/>
        <v>-1</v>
      </c>
      <c r="V1168" s="4">
        <f t="shared" si="12"/>
        <v>-1</v>
      </c>
      <c r="W1168" s="8">
        <f t="shared" si="13"/>
        <v>8.2</v>
      </c>
      <c r="X1168" s="8">
        <f t="shared" si="14"/>
        <v>-8.2</v>
      </c>
      <c r="Y1168" s="8">
        <f t="shared" si="15"/>
        <v>1948.37</v>
      </c>
    </row>
    <row r="1169">
      <c r="A1169" s="2">
        <v>1162.0</v>
      </c>
      <c r="B1169" s="15">
        <f>IFERROR(__xludf.DUMMYFUNCTION("""COMPUTED_VALUE"""),44090.64583333333)</f>
        <v>44090.64583</v>
      </c>
      <c r="C1169" s="8">
        <f>IFERROR(__xludf.DUMMYFUNCTION("""COMPUTED_VALUE"""),1768.15)</f>
        <v>1768.15</v>
      </c>
      <c r="E1169" s="15">
        <f>IFERROR(__xludf.DUMMYFUNCTION("""COMPUTED_VALUE"""),44090.64583333333)</f>
        <v>44090.64583</v>
      </c>
      <c r="F1169" s="8">
        <f>IFERROR(__xludf.DUMMYFUNCTION("""COMPUTED_VALUE"""),1093.65)</f>
        <v>1093.65</v>
      </c>
      <c r="H1169" s="4">
        <f t="shared" si="1"/>
        <v>674.5</v>
      </c>
      <c r="I1169" s="16">
        <f t="shared" si="2"/>
        <v>683.84</v>
      </c>
      <c r="J1169" s="16">
        <f t="shared" si="3"/>
        <v>6.372734892</v>
      </c>
      <c r="K1169" s="16">
        <f t="shared" si="4"/>
        <v>690.2127349</v>
      </c>
      <c r="L1169" s="16">
        <f t="shared" si="5"/>
        <v>677.4672651</v>
      </c>
      <c r="N1169" s="17" t="str">
        <f t="shared" si="6"/>
        <v>T</v>
      </c>
      <c r="O1169" s="17" t="str">
        <f t="shared" si="7"/>
        <v>F</v>
      </c>
      <c r="P1169" s="8">
        <f t="shared" si="8"/>
        <v>1</v>
      </c>
      <c r="R1169" s="17" t="str">
        <f t="shared" si="9"/>
        <v>F</v>
      </c>
      <c r="S1169" s="3" t="str">
        <f t="shared" si="10"/>
        <v>T</v>
      </c>
      <c r="T1169" s="8">
        <f t="shared" si="11"/>
        <v>0</v>
      </c>
      <c r="V1169" s="4">
        <f t="shared" si="12"/>
        <v>1</v>
      </c>
      <c r="W1169" s="8">
        <f t="shared" si="13"/>
        <v>-13.75</v>
      </c>
      <c r="X1169" s="8">
        <f t="shared" si="14"/>
        <v>13.75</v>
      </c>
      <c r="Y1169" s="8">
        <f t="shared" si="15"/>
        <v>1962.12</v>
      </c>
    </row>
    <row r="1170">
      <c r="A1170" s="2">
        <v>1163.0</v>
      </c>
      <c r="B1170" s="15">
        <f>IFERROR(__xludf.DUMMYFUNCTION("""COMPUTED_VALUE"""),44091.64583333333)</f>
        <v>44091.64583</v>
      </c>
      <c r="C1170" s="8">
        <f>IFERROR(__xludf.DUMMYFUNCTION("""COMPUTED_VALUE"""),1744.35)</f>
        <v>1744.35</v>
      </c>
      <c r="E1170" s="15">
        <f>IFERROR(__xludf.DUMMYFUNCTION("""COMPUTED_VALUE"""),44091.64583333333)</f>
        <v>44091.64583</v>
      </c>
      <c r="F1170" s="8">
        <f>IFERROR(__xludf.DUMMYFUNCTION("""COMPUTED_VALUE"""),1083.6)</f>
        <v>1083.6</v>
      </c>
      <c r="H1170" s="4">
        <f t="shared" si="1"/>
        <v>660.75</v>
      </c>
      <c r="I1170" s="16">
        <f t="shared" si="2"/>
        <v>678.61</v>
      </c>
      <c r="J1170" s="16">
        <f t="shared" si="3"/>
        <v>11.72035622</v>
      </c>
      <c r="K1170" s="16">
        <f t="shared" si="4"/>
        <v>690.3303562</v>
      </c>
      <c r="L1170" s="16">
        <f t="shared" si="5"/>
        <v>666.8896438</v>
      </c>
      <c r="N1170" s="17" t="str">
        <f t="shared" si="6"/>
        <v>T</v>
      </c>
      <c r="O1170" s="17" t="str">
        <f t="shared" si="7"/>
        <v>F</v>
      </c>
      <c r="P1170" s="8">
        <f t="shared" si="8"/>
        <v>1</v>
      </c>
      <c r="R1170" s="17" t="str">
        <f t="shared" si="9"/>
        <v>F</v>
      </c>
      <c r="S1170" s="3" t="str">
        <f t="shared" si="10"/>
        <v>T</v>
      </c>
      <c r="T1170" s="8">
        <f t="shared" si="11"/>
        <v>0</v>
      </c>
      <c r="V1170" s="4">
        <f t="shared" si="12"/>
        <v>1</v>
      </c>
      <c r="W1170" s="8">
        <f t="shared" si="13"/>
        <v>-13.75</v>
      </c>
      <c r="X1170" s="8">
        <f t="shared" si="14"/>
        <v>-13.75</v>
      </c>
      <c r="Y1170" s="8">
        <f t="shared" si="15"/>
        <v>1948.37</v>
      </c>
    </row>
    <row r="1171">
      <c r="A1171" s="2">
        <v>1164.0</v>
      </c>
      <c r="B1171" s="15">
        <f>IFERROR(__xludf.DUMMYFUNCTION("""COMPUTED_VALUE"""),44092.64583333333)</f>
        <v>44092.64583</v>
      </c>
      <c r="C1171" s="8">
        <f>IFERROR(__xludf.DUMMYFUNCTION("""COMPUTED_VALUE"""),1724.0)</f>
        <v>1724</v>
      </c>
      <c r="E1171" s="15">
        <f>IFERROR(__xludf.DUMMYFUNCTION("""COMPUTED_VALUE"""),44092.64583333333)</f>
        <v>44092.64583</v>
      </c>
      <c r="F1171" s="8">
        <f>IFERROR(__xludf.DUMMYFUNCTION("""COMPUTED_VALUE"""),1057.3)</f>
        <v>1057.3</v>
      </c>
      <c r="H1171" s="4">
        <f t="shared" si="1"/>
        <v>666.7</v>
      </c>
      <c r="I1171" s="16">
        <f t="shared" si="2"/>
        <v>674.05</v>
      </c>
      <c r="J1171" s="16">
        <f t="shared" si="3"/>
        <v>10.82537528</v>
      </c>
      <c r="K1171" s="16">
        <f t="shared" si="4"/>
        <v>684.8753753</v>
      </c>
      <c r="L1171" s="16">
        <f t="shared" si="5"/>
        <v>663.2246247</v>
      </c>
      <c r="N1171" s="17" t="str">
        <f t="shared" si="6"/>
        <v>F</v>
      </c>
      <c r="O1171" s="17" t="str">
        <f t="shared" si="7"/>
        <v>F</v>
      </c>
      <c r="P1171" s="8">
        <f t="shared" si="8"/>
        <v>1</v>
      </c>
      <c r="R1171" s="17" t="str">
        <f t="shared" si="9"/>
        <v>F</v>
      </c>
      <c r="S1171" s="3" t="str">
        <f t="shared" si="10"/>
        <v>T</v>
      </c>
      <c r="T1171" s="8">
        <f t="shared" si="11"/>
        <v>0</v>
      </c>
      <c r="V1171" s="4">
        <f t="shared" si="12"/>
        <v>1</v>
      </c>
      <c r="W1171" s="8">
        <f t="shared" si="13"/>
        <v>5.95</v>
      </c>
      <c r="X1171" s="8">
        <f t="shared" si="14"/>
        <v>5.95</v>
      </c>
      <c r="Y1171" s="8">
        <f t="shared" si="15"/>
        <v>1954.32</v>
      </c>
    </row>
    <row r="1172">
      <c r="A1172" s="2">
        <v>1165.0</v>
      </c>
      <c r="B1172" s="15">
        <f>IFERROR(__xludf.DUMMYFUNCTION("""COMPUTED_VALUE"""),44095.64583333333)</f>
        <v>44095.64583</v>
      </c>
      <c r="C1172" s="8">
        <f>IFERROR(__xludf.DUMMYFUNCTION("""COMPUTED_VALUE"""),1708.15)</f>
        <v>1708.15</v>
      </c>
      <c r="E1172" s="15">
        <f>IFERROR(__xludf.DUMMYFUNCTION("""COMPUTED_VALUE"""),44095.64583333333)</f>
        <v>44095.64583</v>
      </c>
      <c r="F1172" s="8">
        <f>IFERROR(__xludf.DUMMYFUNCTION("""COMPUTED_VALUE"""),1049.3)</f>
        <v>1049.3</v>
      </c>
      <c r="H1172" s="4">
        <f t="shared" si="1"/>
        <v>658.85</v>
      </c>
      <c r="I1172" s="16">
        <f t="shared" si="2"/>
        <v>669.81</v>
      </c>
      <c r="J1172" s="16">
        <f t="shared" si="3"/>
        <v>11.97817808</v>
      </c>
      <c r="K1172" s="16">
        <f t="shared" si="4"/>
        <v>681.7881781</v>
      </c>
      <c r="L1172" s="16">
        <f t="shared" si="5"/>
        <v>657.8318219</v>
      </c>
      <c r="N1172" s="17" t="str">
        <f t="shared" si="6"/>
        <v>F</v>
      </c>
      <c r="O1172" s="17" t="str">
        <f t="shared" si="7"/>
        <v>F</v>
      </c>
      <c r="P1172" s="8">
        <f t="shared" si="8"/>
        <v>1</v>
      </c>
      <c r="R1172" s="17" t="str">
        <f t="shared" si="9"/>
        <v>F</v>
      </c>
      <c r="S1172" s="3" t="str">
        <f t="shared" si="10"/>
        <v>T</v>
      </c>
      <c r="T1172" s="8">
        <f t="shared" si="11"/>
        <v>0</v>
      </c>
      <c r="V1172" s="4">
        <f t="shared" si="12"/>
        <v>1</v>
      </c>
      <c r="W1172" s="8">
        <f t="shared" si="13"/>
        <v>-7.85</v>
      </c>
      <c r="X1172" s="8">
        <f t="shared" si="14"/>
        <v>-7.85</v>
      </c>
      <c r="Y1172" s="8">
        <f t="shared" si="15"/>
        <v>1946.47</v>
      </c>
    </row>
    <row r="1173">
      <c r="A1173" s="2">
        <v>1166.0</v>
      </c>
      <c r="B1173" s="15">
        <f>IFERROR(__xludf.DUMMYFUNCTION("""COMPUTED_VALUE"""),44096.64583333333)</f>
        <v>44096.64583</v>
      </c>
      <c r="C1173" s="8">
        <f>IFERROR(__xludf.DUMMYFUNCTION("""COMPUTED_VALUE"""),1674.85)</f>
        <v>1674.85</v>
      </c>
      <c r="E1173" s="15">
        <f>IFERROR(__xludf.DUMMYFUNCTION("""COMPUTED_VALUE"""),44096.64583333333)</f>
        <v>44096.64583</v>
      </c>
      <c r="F1173" s="8">
        <f>IFERROR(__xludf.DUMMYFUNCTION("""COMPUTED_VALUE"""),1035.4)</f>
        <v>1035.4</v>
      </c>
      <c r="H1173" s="4">
        <f t="shared" si="1"/>
        <v>639.45</v>
      </c>
      <c r="I1173" s="16">
        <f t="shared" si="2"/>
        <v>660.05</v>
      </c>
      <c r="J1173" s="16">
        <f t="shared" si="3"/>
        <v>13.03183602</v>
      </c>
      <c r="K1173" s="16">
        <f t="shared" si="4"/>
        <v>673.081836</v>
      </c>
      <c r="L1173" s="16">
        <f t="shared" si="5"/>
        <v>647.018164</v>
      </c>
      <c r="N1173" s="17" t="str">
        <f t="shared" si="6"/>
        <v>T</v>
      </c>
      <c r="O1173" s="17" t="str">
        <f t="shared" si="7"/>
        <v>F</v>
      </c>
      <c r="P1173" s="8">
        <f t="shared" si="8"/>
        <v>1</v>
      </c>
      <c r="R1173" s="17" t="str">
        <f t="shared" si="9"/>
        <v>F</v>
      </c>
      <c r="S1173" s="3" t="str">
        <f t="shared" si="10"/>
        <v>T</v>
      </c>
      <c r="T1173" s="8">
        <f t="shared" si="11"/>
        <v>0</v>
      </c>
      <c r="V1173" s="4">
        <f t="shared" si="12"/>
        <v>1</v>
      </c>
      <c r="W1173" s="8">
        <f t="shared" si="13"/>
        <v>-19.4</v>
      </c>
      <c r="X1173" s="8">
        <f t="shared" si="14"/>
        <v>-19.4</v>
      </c>
      <c r="Y1173" s="8">
        <f t="shared" si="15"/>
        <v>1927.07</v>
      </c>
    </row>
    <row r="1174">
      <c r="A1174" s="2">
        <v>1167.0</v>
      </c>
      <c r="B1174" s="15">
        <f>IFERROR(__xludf.DUMMYFUNCTION("""COMPUTED_VALUE"""),44097.64583333333)</f>
        <v>44097.64583</v>
      </c>
      <c r="C1174" s="8">
        <f>IFERROR(__xludf.DUMMYFUNCTION("""COMPUTED_VALUE"""),1667.1)</f>
        <v>1667.1</v>
      </c>
      <c r="E1174" s="15">
        <f>IFERROR(__xludf.DUMMYFUNCTION("""COMPUTED_VALUE"""),44097.64583333333)</f>
        <v>44097.64583</v>
      </c>
      <c r="F1174" s="8">
        <f>IFERROR(__xludf.DUMMYFUNCTION("""COMPUTED_VALUE"""),1047.25)</f>
        <v>1047.25</v>
      </c>
      <c r="H1174" s="4">
        <f t="shared" si="1"/>
        <v>619.85</v>
      </c>
      <c r="I1174" s="16">
        <f t="shared" si="2"/>
        <v>649.12</v>
      </c>
      <c r="J1174" s="16">
        <f t="shared" si="3"/>
        <v>19.29525848</v>
      </c>
      <c r="K1174" s="16">
        <f t="shared" si="4"/>
        <v>668.4152585</v>
      </c>
      <c r="L1174" s="16">
        <f t="shared" si="5"/>
        <v>629.8247415</v>
      </c>
      <c r="N1174" s="17" t="str">
        <f t="shared" si="6"/>
        <v>T</v>
      </c>
      <c r="O1174" s="17" t="str">
        <f t="shared" si="7"/>
        <v>F</v>
      </c>
      <c r="P1174" s="8">
        <f t="shared" si="8"/>
        <v>1</v>
      </c>
      <c r="R1174" s="17" t="str">
        <f t="shared" si="9"/>
        <v>F</v>
      </c>
      <c r="S1174" s="3" t="str">
        <f t="shared" si="10"/>
        <v>T</v>
      </c>
      <c r="T1174" s="8">
        <f t="shared" si="11"/>
        <v>0</v>
      </c>
      <c r="V1174" s="4">
        <f t="shared" si="12"/>
        <v>1</v>
      </c>
      <c r="W1174" s="8">
        <f t="shared" si="13"/>
        <v>-19.6</v>
      </c>
      <c r="X1174" s="8">
        <f t="shared" si="14"/>
        <v>-19.6</v>
      </c>
      <c r="Y1174" s="8">
        <f t="shared" si="15"/>
        <v>1907.47</v>
      </c>
    </row>
    <row r="1175">
      <c r="A1175" s="2">
        <v>1168.0</v>
      </c>
      <c r="B1175" s="15">
        <f>IFERROR(__xludf.DUMMYFUNCTION("""COMPUTED_VALUE"""),44098.64583333333)</f>
        <v>44098.64583</v>
      </c>
      <c r="C1175" s="8">
        <f>IFERROR(__xludf.DUMMYFUNCTION("""COMPUTED_VALUE"""),1636.85)</f>
        <v>1636.85</v>
      </c>
      <c r="E1175" s="15">
        <f>IFERROR(__xludf.DUMMYFUNCTION("""COMPUTED_VALUE"""),44098.64583333333)</f>
        <v>44098.64583</v>
      </c>
      <c r="F1175" s="8">
        <f>IFERROR(__xludf.DUMMYFUNCTION("""COMPUTED_VALUE"""),1030.4)</f>
        <v>1030.4</v>
      </c>
      <c r="H1175" s="4">
        <f t="shared" si="1"/>
        <v>606.45</v>
      </c>
      <c r="I1175" s="16">
        <f t="shared" si="2"/>
        <v>638.26</v>
      </c>
      <c r="J1175" s="16">
        <f t="shared" si="3"/>
        <v>25.42145747</v>
      </c>
      <c r="K1175" s="16">
        <f t="shared" si="4"/>
        <v>663.6814575</v>
      </c>
      <c r="L1175" s="16">
        <f t="shared" si="5"/>
        <v>612.8385425</v>
      </c>
      <c r="N1175" s="17" t="str">
        <f t="shared" si="6"/>
        <v>T</v>
      </c>
      <c r="O1175" s="17" t="str">
        <f t="shared" si="7"/>
        <v>F</v>
      </c>
      <c r="P1175" s="8">
        <f t="shared" si="8"/>
        <v>1</v>
      </c>
      <c r="R1175" s="17" t="str">
        <f t="shared" si="9"/>
        <v>F</v>
      </c>
      <c r="S1175" s="3" t="str">
        <f t="shared" si="10"/>
        <v>T</v>
      </c>
      <c r="T1175" s="8">
        <f t="shared" si="11"/>
        <v>0</v>
      </c>
      <c r="V1175" s="4">
        <f t="shared" si="12"/>
        <v>1</v>
      </c>
      <c r="W1175" s="8">
        <f t="shared" si="13"/>
        <v>-13.4</v>
      </c>
      <c r="X1175" s="8">
        <f t="shared" si="14"/>
        <v>-13.4</v>
      </c>
      <c r="Y1175" s="8">
        <f t="shared" si="15"/>
        <v>1894.07</v>
      </c>
    </row>
    <row r="1176">
      <c r="A1176" s="2">
        <v>1169.0</v>
      </c>
      <c r="B1176" s="15">
        <f>IFERROR(__xludf.DUMMYFUNCTION("""COMPUTED_VALUE"""),44099.64583333333)</f>
        <v>44099.64583</v>
      </c>
      <c r="C1176" s="8">
        <f>IFERROR(__xludf.DUMMYFUNCTION("""COMPUTED_VALUE"""),1652.0)</f>
        <v>1652</v>
      </c>
      <c r="E1176" s="15">
        <f>IFERROR(__xludf.DUMMYFUNCTION("""COMPUTED_VALUE"""),44099.64583333333)</f>
        <v>44099.64583</v>
      </c>
      <c r="F1176" s="8">
        <f>IFERROR(__xludf.DUMMYFUNCTION("""COMPUTED_VALUE"""),1044.0)</f>
        <v>1044</v>
      </c>
      <c r="H1176" s="4">
        <f t="shared" si="1"/>
        <v>608</v>
      </c>
      <c r="I1176" s="16">
        <f t="shared" si="2"/>
        <v>626.52</v>
      </c>
      <c r="J1176" s="16">
        <f t="shared" si="3"/>
        <v>22.37575697</v>
      </c>
      <c r="K1176" s="16">
        <f t="shared" si="4"/>
        <v>648.895757</v>
      </c>
      <c r="L1176" s="16">
        <f t="shared" si="5"/>
        <v>604.144243</v>
      </c>
      <c r="N1176" s="17" t="str">
        <f t="shared" si="6"/>
        <v>F</v>
      </c>
      <c r="O1176" s="17" t="str">
        <f t="shared" si="7"/>
        <v>F</v>
      </c>
      <c r="P1176" s="8">
        <f t="shared" si="8"/>
        <v>1</v>
      </c>
      <c r="R1176" s="17" t="str">
        <f t="shared" si="9"/>
        <v>F</v>
      </c>
      <c r="S1176" s="3" t="str">
        <f t="shared" si="10"/>
        <v>T</v>
      </c>
      <c r="T1176" s="8">
        <f t="shared" si="11"/>
        <v>0</v>
      </c>
      <c r="V1176" s="4">
        <f t="shared" si="12"/>
        <v>1</v>
      </c>
      <c r="W1176" s="8">
        <f t="shared" si="13"/>
        <v>1.55</v>
      </c>
      <c r="X1176" s="8">
        <f t="shared" si="14"/>
        <v>1.55</v>
      </c>
      <c r="Y1176" s="8">
        <f t="shared" si="15"/>
        <v>1895.62</v>
      </c>
    </row>
    <row r="1177">
      <c r="A1177" s="2">
        <v>1170.0</v>
      </c>
      <c r="B1177" s="15">
        <f>IFERROR(__xludf.DUMMYFUNCTION("""COMPUTED_VALUE"""),44102.64583333333)</f>
        <v>44102.64583</v>
      </c>
      <c r="C1177" s="8">
        <f>IFERROR(__xludf.DUMMYFUNCTION("""COMPUTED_VALUE"""),1681.45)</f>
        <v>1681.45</v>
      </c>
      <c r="E1177" s="15">
        <f>IFERROR(__xludf.DUMMYFUNCTION("""COMPUTED_VALUE"""),44102.64583333333)</f>
        <v>44102.64583</v>
      </c>
      <c r="F1177" s="8">
        <f>IFERROR(__xludf.DUMMYFUNCTION("""COMPUTED_VALUE"""),1054.2)</f>
        <v>1054.2</v>
      </c>
      <c r="H1177" s="4">
        <f t="shared" si="1"/>
        <v>627.25</v>
      </c>
      <c r="I1177" s="16">
        <f t="shared" si="2"/>
        <v>620.2</v>
      </c>
      <c r="J1177" s="16">
        <f t="shared" si="3"/>
        <v>13.76853296</v>
      </c>
      <c r="K1177" s="16">
        <f t="shared" si="4"/>
        <v>633.968533</v>
      </c>
      <c r="L1177" s="16">
        <f t="shared" si="5"/>
        <v>606.431467</v>
      </c>
      <c r="N1177" s="17" t="str">
        <f t="shared" si="6"/>
        <v>F</v>
      </c>
      <c r="O1177" s="17" t="str">
        <f t="shared" si="7"/>
        <v>T</v>
      </c>
      <c r="P1177" s="8">
        <f t="shared" si="8"/>
        <v>0</v>
      </c>
      <c r="R1177" s="17" t="str">
        <f t="shared" si="9"/>
        <v>F</v>
      </c>
      <c r="S1177" s="3" t="str">
        <f t="shared" si="10"/>
        <v>F</v>
      </c>
      <c r="T1177" s="8">
        <f t="shared" si="11"/>
        <v>0</v>
      </c>
      <c r="V1177" s="4">
        <f t="shared" si="12"/>
        <v>0</v>
      </c>
      <c r="W1177" s="8">
        <f t="shared" si="13"/>
        <v>19.25</v>
      </c>
      <c r="X1177" s="8">
        <f t="shared" si="14"/>
        <v>19.25</v>
      </c>
      <c r="Y1177" s="8">
        <f t="shared" si="15"/>
        <v>1914.87</v>
      </c>
    </row>
    <row r="1178">
      <c r="A1178" s="2">
        <v>1171.0</v>
      </c>
      <c r="B1178" s="15">
        <f>IFERROR(__xludf.DUMMYFUNCTION("""COMPUTED_VALUE"""),44103.64583333333)</f>
        <v>44103.64583</v>
      </c>
      <c r="C1178" s="8">
        <f>IFERROR(__xludf.DUMMYFUNCTION("""COMPUTED_VALUE"""),1713.1)</f>
        <v>1713.1</v>
      </c>
      <c r="E1178" s="15">
        <f>IFERROR(__xludf.DUMMYFUNCTION("""COMPUTED_VALUE"""),44103.64583333333)</f>
        <v>44103.64583</v>
      </c>
      <c r="F1178" s="8">
        <f>IFERROR(__xludf.DUMMYFUNCTION("""COMPUTED_VALUE"""),1062.55)</f>
        <v>1062.55</v>
      </c>
      <c r="H1178" s="4">
        <f t="shared" si="1"/>
        <v>650.55</v>
      </c>
      <c r="I1178" s="16">
        <f t="shared" si="2"/>
        <v>622.42</v>
      </c>
      <c r="J1178" s="16">
        <f t="shared" si="3"/>
        <v>17.91792399</v>
      </c>
      <c r="K1178" s="16">
        <f t="shared" si="4"/>
        <v>640.337924</v>
      </c>
      <c r="L1178" s="16">
        <f t="shared" si="5"/>
        <v>604.502076</v>
      </c>
      <c r="N1178" s="17" t="str">
        <f t="shared" si="6"/>
        <v>F</v>
      </c>
      <c r="O1178" s="17" t="str">
        <f t="shared" si="7"/>
        <v>T</v>
      </c>
      <c r="P1178" s="8">
        <f t="shared" si="8"/>
        <v>0</v>
      </c>
      <c r="R1178" s="17" t="str">
        <f t="shared" si="9"/>
        <v>T</v>
      </c>
      <c r="S1178" s="3" t="str">
        <f t="shared" si="10"/>
        <v>F</v>
      </c>
      <c r="T1178" s="8">
        <f t="shared" si="11"/>
        <v>-1</v>
      </c>
      <c r="V1178" s="4">
        <f t="shared" si="12"/>
        <v>-1</v>
      </c>
      <c r="W1178" s="8">
        <f t="shared" si="13"/>
        <v>23.3</v>
      </c>
      <c r="X1178" s="8">
        <f t="shared" si="14"/>
        <v>0</v>
      </c>
      <c r="Y1178" s="8">
        <f t="shared" si="15"/>
        <v>1914.87</v>
      </c>
    </row>
    <row r="1179">
      <c r="A1179" s="2">
        <v>1172.0</v>
      </c>
      <c r="B1179" s="15">
        <f>IFERROR(__xludf.DUMMYFUNCTION("""COMPUTED_VALUE"""),44104.64583333333)</f>
        <v>44104.64583</v>
      </c>
      <c r="C1179" s="8">
        <f>IFERROR(__xludf.DUMMYFUNCTION("""COMPUTED_VALUE"""),1740.05)</f>
        <v>1740.05</v>
      </c>
      <c r="E1179" s="15">
        <f>IFERROR(__xludf.DUMMYFUNCTION("""COMPUTED_VALUE"""),44104.64583333333)</f>
        <v>44104.64583</v>
      </c>
      <c r="F1179" s="8">
        <f>IFERROR(__xludf.DUMMYFUNCTION("""COMPUTED_VALUE"""),1078.6)</f>
        <v>1078.6</v>
      </c>
      <c r="H1179" s="4">
        <f t="shared" si="1"/>
        <v>661.45</v>
      </c>
      <c r="I1179" s="16">
        <f t="shared" si="2"/>
        <v>630.74</v>
      </c>
      <c r="J1179" s="16">
        <f t="shared" si="3"/>
        <v>24.77313061</v>
      </c>
      <c r="K1179" s="16">
        <f t="shared" si="4"/>
        <v>655.5131306</v>
      </c>
      <c r="L1179" s="16">
        <f t="shared" si="5"/>
        <v>605.9668694</v>
      </c>
      <c r="N1179" s="17" t="str">
        <f t="shared" si="6"/>
        <v>F</v>
      </c>
      <c r="O1179" s="17" t="str">
        <f t="shared" si="7"/>
        <v>T</v>
      </c>
      <c r="P1179" s="8">
        <f t="shared" si="8"/>
        <v>0</v>
      </c>
      <c r="R1179" s="17" t="str">
        <f t="shared" si="9"/>
        <v>T</v>
      </c>
      <c r="S1179" s="3" t="str">
        <f t="shared" si="10"/>
        <v>F</v>
      </c>
      <c r="T1179" s="8">
        <f t="shared" si="11"/>
        <v>-1</v>
      </c>
      <c r="V1179" s="4">
        <f t="shared" si="12"/>
        <v>-1</v>
      </c>
      <c r="W1179" s="8">
        <f t="shared" si="13"/>
        <v>10.9</v>
      </c>
      <c r="X1179" s="8">
        <f t="shared" si="14"/>
        <v>-10.9</v>
      </c>
      <c r="Y1179" s="8">
        <f t="shared" si="15"/>
        <v>1903.97</v>
      </c>
    </row>
    <row r="1180">
      <c r="A1180" s="2">
        <v>1173.0</v>
      </c>
      <c r="B1180" s="15">
        <f>IFERROR(__xludf.DUMMYFUNCTION("""COMPUTED_VALUE"""),44105.64583333333)</f>
        <v>44105.64583</v>
      </c>
      <c r="C1180" s="8">
        <f>IFERROR(__xludf.DUMMYFUNCTION("""COMPUTED_VALUE"""),1790.65)</f>
        <v>1790.65</v>
      </c>
      <c r="E1180" s="15">
        <f>IFERROR(__xludf.DUMMYFUNCTION("""COMPUTED_VALUE"""),44105.64583333333)</f>
        <v>44105.64583</v>
      </c>
      <c r="F1180" s="8">
        <f>IFERROR(__xludf.DUMMYFUNCTION("""COMPUTED_VALUE"""),1106.95)</f>
        <v>1106.95</v>
      </c>
      <c r="H1180" s="4">
        <f t="shared" si="1"/>
        <v>683.7</v>
      </c>
      <c r="I1180" s="16">
        <f t="shared" si="2"/>
        <v>646.19</v>
      </c>
      <c r="J1180" s="16">
        <f t="shared" si="3"/>
        <v>29.47913245</v>
      </c>
      <c r="K1180" s="16">
        <f t="shared" si="4"/>
        <v>675.6691324</v>
      </c>
      <c r="L1180" s="16">
        <f t="shared" si="5"/>
        <v>616.7108676</v>
      </c>
      <c r="N1180" s="17" t="str">
        <f t="shared" si="6"/>
        <v>F</v>
      </c>
      <c r="O1180" s="17" t="str">
        <f t="shared" si="7"/>
        <v>T</v>
      </c>
      <c r="P1180" s="8">
        <f t="shared" si="8"/>
        <v>0</v>
      </c>
      <c r="R1180" s="17" t="str">
        <f t="shared" si="9"/>
        <v>T</v>
      </c>
      <c r="S1180" s="3" t="str">
        <f t="shared" si="10"/>
        <v>F</v>
      </c>
      <c r="T1180" s="8">
        <f t="shared" si="11"/>
        <v>-1</v>
      </c>
      <c r="V1180" s="4">
        <f t="shared" si="12"/>
        <v>-1</v>
      </c>
      <c r="W1180" s="8">
        <f t="shared" si="13"/>
        <v>22.25</v>
      </c>
      <c r="X1180" s="8">
        <f t="shared" si="14"/>
        <v>-22.25</v>
      </c>
      <c r="Y1180" s="8">
        <f t="shared" si="15"/>
        <v>1881.72</v>
      </c>
    </row>
    <row r="1181">
      <c r="A1181" s="2">
        <v>1174.0</v>
      </c>
      <c r="B1181" s="15">
        <f>IFERROR(__xludf.DUMMYFUNCTION("""COMPUTED_VALUE"""),44109.64583333333)</f>
        <v>44109.64583</v>
      </c>
      <c r="C1181" s="8">
        <f>IFERROR(__xludf.DUMMYFUNCTION("""COMPUTED_VALUE"""),1785.1)</f>
        <v>1785.1</v>
      </c>
      <c r="E1181" s="15">
        <f>IFERROR(__xludf.DUMMYFUNCTION("""COMPUTED_VALUE"""),44109.64583333333)</f>
        <v>44109.64583</v>
      </c>
      <c r="F1181" s="8">
        <f>IFERROR(__xludf.DUMMYFUNCTION("""COMPUTED_VALUE"""),1114.35)</f>
        <v>1114.35</v>
      </c>
      <c r="H1181" s="4">
        <f t="shared" si="1"/>
        <v>670.75</v>
      </c>
      <c r="I1181" s="16">
        <f t="shared" si="2"/>
        <v>658.74</v>
      </c>
      <c r="J1181" s="16">
        <f t="shared" si="3"/>
        <v>21.40842124</v>
      </c>
      <c r="K1181" s="16">
        <f t="shared" si="4"/>
        <v>680.1484212</v>
      </c>
      <c r="L1181" s="16">
        <f t="shared" si="5"/>
        <v>637.3315788</v>
      </c>
      <c r="N1181" s="17" t="str">
        <f t="shared" si="6"/>
        <v>F</v>
      </c>
      <c r="O1181" s="17" t="str">
        <f t="shared" si="7"/>
        <v>T</v>
      </c>
      <c r="P1181" s="8">
        <f t="shared" si="8"/>
        <v>0</v>
      </c>
      <c r="R1181" s="17" t="str">
        <f t="shared" si="9"/>
        <v>F</v>
      </c>
      <c r="S1181" s="3" t="str">
        <f t="shared" si="10"/>
        <v>F</v>
      </c>
      <c r="T1181" s="8">
        <f t="shared" si="11"/>
        <v>-1</v>
      </c>
      <c r="V1181" s="4">
        <f t="shared" si="12"/>
        <v>-1</v>
      </c>
      <c r="W1181" s="8">
        <f t="shared" si="13"/>
        <v>-12.95</v>
      </c>
      <c r="X1181" s="8">
        <f t="shared" si="14"/>
        <v>12.95</v>
      </c>
      <c r="Y1181" s="8">
        <f t="shared" si="15"/>
        <v>1894.67</v>
      </c>
    </row>
    <row r="1182">
      <c r="A1182" s="2">
        <v>1175.0</v>
      </c>
      <c r="B1182" s="15">
        <f>IFERROR(__xludf.DUMMYFUNCTION("""COMPUTED_VALUE"""),44110.64583333333)</f>
        <v>44110.64583</v>
      </c>
      <c r="C1182" s="8">
        <f>IFERROR(__xludf.DUMMYFUNCTION("""COMPUTED_VALUE"""),1934.4)</f>
        <v>1934.4</v>
      </c>
      <c r="E1182" s="15">
        <f>IFERROR(__xludf.DUMMYFUNCTION("""COMPUTED_VALUE"""),44110.64583333333)</f>
        <v>44110.64583</v>
      </c>
      <c r="F1182" s="8">
        <f>IFERROR(__xludf.DUMMYFUNCTION("""COMPUTED_VALUE"""),1144.1)</f>
        <v>1144.1</v>
      </c>
      <c r="H1182" s="4">
        <f t="shared" si="1"/>
        <v>790.3</v>
      </c>
      <c r="I1182" s="16">
        <f t="shared" si="2"/>
        <v>691.35</v>
      </c>
      <c r="J1182" s="16">
        <f t="shared" si="3"/>
        <v>56.64061043</v>
      </c>
      <c r="K1182" s="16">
        <f t="shared" si="4"/>
        <v>747.9906104</v>
      </c>
      <c r="L1182" s="16">
        <f t="shared" si="5"/>
        <v>634.7093896</v>
      </c>
      <c r="N1182" s="17" t="str">
        <f t="shared" si="6"/>
        <v>F</v>
      </c>
      <c r="O1182" s="17" t="str">
        <f t="shared" si="7"/>
        <v>T</v>
      </c>
      <c r="P1182" s="8">
        <f t="shared" si="8"/>
        <v>0</v>
      </c>
      <c r="R1182" s="17" t="str">
        <f t="shared" si="9"/>
        <v>T</v>
      </c>
      <c r="S1182" s="3" t="str">
        <f t="shared" si="10"/>
        <v>F</v>
      </c>
      <c r="T1182" s="8">
        <f t="shared" si="11"/>
        <v>-1</v>
      </c>
      <c r="V1182" s="4">
        <f t="shared" si="12"/>
        <v>-1</v>
      </c>
      <c r="W1182" s="8">
        <f t="shared" si="13"/>
        <v>119.55</v>
      </c>
      <c r="X1182" s="8">
        <f t="shared" si="14"/>
        <v>-119.55</v>
      </c>
      <c r="Y1182" s="8">
        <f t="shared" si="15"/>
        <v>1775.12</v>
      </c>
    </row>
    <row r="1183">
      <c r="A1183" s="2">
        <v>1176.0</v>
      </c>
      <c r="B1183" s="15">
        <f>IFERROR(__xludf.DUMMYFUNCTION("""COMPUTED_VALUE"""),44111.64583333333)</f>
        <v>44111.64583</v>
      </c>
      <c r="C1183" s="8">
        <f>IFERROR(__xludf.DUMMYFUNCTION("""COMPUTED_VALUE"""),1948.75)</f>
        <v>1948.75</v>
      </c>
      <c r="E1183" s="15">
        <f>IFERROR(__xludf.DUMMYFUNCTION("""COMPUTED_VALUE"""),44111.64583333333)</f>
        <v>44111.64583</v>
      </c>
      <c r="F1183" s="8">
        <f>IFERROR(__xludf.DUMMYFUNCTION("""COMPUTED_VALUE"""),1162.25)</f>
        <v>1162.25</v>
      </c>
      <c r="H1183" s="4">
        <f t="shared" si="1"/>
        <v>786.5</v>
      </c>
      <c r="I1183" s="16">
        <f t="shared" si="2"/>
        <v>718.54</v>
      </c>
      <c r="J1183" s="16">
        <f t="shared" si="3"/>
        <v>64.27487262</v>
      </c>
      <c r="K1183" s="16">
        <f t="shared" si="4"/>
        <v>782.8148726</v>
      </c>
      <c r="L1183" s="16">
        <f t="shared" si="5"/>
        <v>654.2651274</v>
      </c>
      <c r="N1183" s="17" t="str">
        <f t="shared" si="6"/>
        <v>F</v>
      </c>
      <c r="O1183" s="17" t="str">
        <f t="shared" si="7"/>
        <v>T</v>
      </c>
      <c r="P1183" s="8">
        <f t="shared" si="8"/>
        <v>0</v>
      </c>
      <c r="R1183" s="17" t="str">
        <f t="shared" si="9"/>
        <v>T</v>
      </c>
      <c r="S1183" s="3" t="str">
        <f t="shared" si="10"/>
        <v>F</v>
      </c>
      <c r="T1183" s="8">
        <f t="shared" si="11"/>
        <v>-1</v>
      </c>
      <c r="V1183" s="4">
        <f t="shared" si="12"/>
        <v>-1</v>
      </c>
      <c r="W1183" s="8">
        <f t="shared" si="13"/>
        <v>-3.8</v>
      </c>
      <c r="X1183" s="8">
        <f t="shared" si="14"/>
        <v>3.8</v>
      </c>
      <c r="Y1183" s="8">
        <f t="shared" si="15"/>
        <v>1778.92</v>
      </c>
    </row>
    <row r="1184">
      <c r="A1184" s="2">
        <v>1177.0</v>
      </c>
      <c r="B1184" s="15">
        <f>IFERROR(__xludf.DUMMYFUNCTION("""COMPUTED_VALUE"""),44112.64583333333)</f>
        <v>44112.64583</v>
      </c>
      <c r="C1184" s="8">
        <f>IFERROR(__xludf.DUMMYFUNCTION("""COMPUTED_VALUE"""),1949.25)</f>
        <v>1949.25</v>
      </c>
      <c r="E1184" s="15">
        <f>IFERROR(__xludf.DUMMYFUNCTION("""COMPUTED_VALUE"""),44112.64583333333)</f>
        <v>44112.64583</v>
      </c>
      <c r="F1184" s="8">
        <f>IFERROR(__xludf.DUMMYFUNCTION("""COMPUTED_VALUE"""),1191.8)</f>
        <v>1191.8</v>
      </c>
      <c r="H1184" s="4">
        <f t="shared" si="1"/>
        <v>757.45</v>
      </c>
      <c r="I1184" s="16">
        <f t="shared" si="2"/>
        <v>737.74</v>
      </c>
      <c r="J1184" s="16">
        <f t="shared" si="3"/>
        <v>56.86949314</v>
      </c>
      <c r="K1184" s="16">
        <f t="shared" si="4"/>
        <v>794.6094931</v>
      </c>
      <c r="L1184" s="16">
        <f t="shared" si="5"/>
        <v>680.8705069</v>
      </c>
      <c r="N1184" s="17" t="str">
        <f t="shared" si="6"/>
        <v>F</v>
      </c>
      <c r="O1184" s="17" t="str">
        <f t="shared" si="7"/>
        <v>T</v>
      </c>
      <c r="P1184" s="8">
        <f t="shared" si="8"/>
        <v>0</v>
      </c>
      <c r="R1184" s="17" t="str">
        <f t="shared" si="9"/>
        <v>F</v>
      </c>
      <c r="S1184" s="3" t="str">
        <f t="shared" si="10"/>
        <v>F</v>
      </c>
      <c r="T1184" s="8">
        <f t="shared" si="11"/>
        <v>-1</v>
      </c>
      <c r="V1184" s="4">
        <f t="shared" si="12"/>
        <v>-1</v>
      </c>
      <c r="W1184" s="8">
        <f t="shared" si="13"/>
        <v>-29.05</v>
      </c>
      <c r="X1184" s="8">
        <f t="shared" si="14"/>
        <v>29.05</v>
      </c>
      <c r="Y1184" s="8">
        <f t="shared" si="15"/>
        <v>1807.97</v>
      </c>
    </row>
    <row r="1185">
      <c r="A1185" s="2">
        <v>1178.0</v>
      </c>
      <c r="B1185" s="15">
        <f>IFERROR(__xludf.DUMMYFUNCTION("""COMPUTED_VALUE"""),44113.64583333333)</f>
        <v>44113.64583</v>
      </c>
      <c r="C1185" s="8">
        <f>IFERROR(__xludf.DUMMYFUNCTION("""COMPUTED_VALUE"""),1957.65)</f>
        <v>1957.65</v>
      </c>
      <c r="E1185" s="15">
        <f>IFERROR(__xludf.DUMMYFUNCTION("""COMPUTED_VALUE"""),44113.64583333333)</f>
        <v>44113.64583</v>
      </c>
      <c r="F1185" s="8">
        <f>IFERROR(__xludf.DUMMYFUNCTION("""COMPUTED_VALUE"""),1233.55)</f>
        <v>1233.55</v>
      </c>
      <c r="H1185" s="4">
        <f t="shared" si="1"/>
        <v>724.1</v>
      </c>
      <c r="I1185" s="16">
        <f t="shared" si="2"/>
        <v>745.82</v>
      </c>
      <c r="J1185" s="16">
        <f t="shared" si="3"/>
        <v>49.68866319</v>
      </c>
      <c r="K1185" s="16">
        <f t="shared" si="4"/>
        <v>795.5086632</v>
      </c>
      <c r="L1185" s="16">
        <f t="shared" si="5"/>
        <v>696.1313368</v>
      </c>
      <c r="N1185" s="17" t="str">
        <f t="shared" si="6"/>
        <v>F</v>
      </c>
      <c r="O1185" s="17" t="str">
        <f t="shared" si="7"/>
        <v>F</v>
      </c>
      <c r="P1185" s="8">
        <f t="shared" si="8"/>
        <v>0</v>
      </c>
      <c r="R1185" s="17" t="str">
        <f t="shared" si="9"/>
        <v>F</v>
      </c>
      <c r="S1185" s="3" t="str">
        <f t="shared" si="10"/>
        <v>T</v>
      </c>
      <c r="T1185" s="8">
        <f t="shared" si="11"/>
        <v>0</v>
      </c>
      <c r="V1185" s="4">
        <f t="shared" si="12"/>
        <v>0</v>
      </c>
      <c r="W1185" s="8">
        <f t="shared" si="13"/>
        <v>-33.35</v>
      </c>
      <c r="X1185" s="8">
        <f t="shared" si="14"/>
        <v>33.35</v>
      </c>
      <c r="Y1185" s="8">
        <f t="shared" si="15"/>
        <v>1841.32</v>
      </c>
    </row>
    <row r="1186">
      <c r="A1186" s="2">
        <v>1179.0</v>
      </c>
      <c r="B1186" s="15">
        <f>IFERROR(__xludf.DUMMYFUNCTION("""COMPUTED_VALUE"""),44116.64583333333)</f>
        <v>44116.64583</v>
      </c>
      <c r="C1186" s="8">
        <f>IFERROR(__xludf.DUMMYFUNCTION("""COMPUTED_VALUE"""),1965.4)</f>
        <v>1965.4</v>
      </c>
      <c r="E1186" s="15">
        <f>IFERROR(__xludf.DUMMYFUNCTION("""COMPUTED_VALUE"""),44116.64583333333)</f>
        <v>44116.64583</v>
      </c>
      <c r="F1186" s="8">
        <f>IFERROR(__xludf.DUMMYFUNCTION("""COMPUTED_VALUE"""),1213.65)</f>
        <v>1213.65</v>
      </c>
      <c r="H1186" s="4">
        <f t="shared" si="1"/>
        <v>751.75</v>
      </c>
      <c r="I1186" s="16">
        <f t="shared" si="2"/>
        <v>762.02</v>
      </c>
      <c r="J1186" s="16">
        <f t="shared" si="3"/>
        <v>27.2181603</v>
      </c>
      <c r="K1186" s="16">
        <f t="shared" si="4"/>
        <v>789.2381603</v>
      </c>
      <c r="L1186" s="16">
        <f t="shared" si="5"/>
        <v>734.8018397</v>
      </c>
      <c r="N1186" s="17" t="str">
        <f t="shared" si="6"/>
        <v>F</v>
      </c>
      <c r="O1186" s="17" t="str">
        <f t="shared" si="7"/>
        <v>F</v>
      </c>
      <c r="P1186" s="8">
        <f t="shared" si="8"/>
        <v>0</v>
      </c>
      <c r="R1186" s="17" t="str">
        <f t="shared" si="9"/>
        <v>F</v>
      </c>
      <c r="S1186" s="3" t="str">
        <f t="shared" si="10"/>
        <v>T</v>
      </c>
      <c r="T1186" s="8">
        <f t="shared" si="11"/>
        <v>0</v>
      </c>
      <c r="V1186" s="4">
        <f t="shared" si="12"/>
        <v>0</v>
      </c>
      <c r="W1186" s="8">
        <f t="shared" si="13"/>
        <v>27.65</v>
      </c>
      <c r="X1186" s="8">
        <f t="shared" si="14"/>
        <v>0</v>
      </c>
      <c r="Y1186" s="8">
        <f t="shared" si="15"/>
        <v>1841.32</v>
      </c>
    </row>
    <row r="1187">
      <c r="A1187" s="2">
        <v>1180.0</v>
      </c>
      <c r="B1187" s="15">
        <f>IFERROR(__xludf.DUMMYFUNCTION("""COMPUTED_VALUE"""),44117.64583333333)</f>
        <v>44117.64583</v>
      </c>
      <c r="C1187" s="8">
        <f>IFERROR(__xludf.DUMMYFUNCTION("""COMPUTED_VALUE"""),1943.4)</f>
        <v>1943.4</v>
      </c>
      <c r="E1187" s="15">
        <f>IFERROR(__xludf.DUMMYFUNCTION("""COMPUTED_VALUE"""),44117.64583333333)</f>
        <v>44117.64583</v>
      </c>
      <c r="F1187" s="8">
        <f>IFERROR(__xludf.DUMMYFUNCTION("""COMPUTED_VALUE"""),1198.45)</f>
        <v>1198.45</v>
      </c>
      <c r="H1187" s="4">
        <f t="shared" si="1"/>
        <v>744.95</v>
      </c>
      <c r="I1187" s="16">
        <f t="shared" si="2"/>
        <v>752.95</v>
      </c>
      <c r="J1187" s="16">
        <f t="shared" si="3"/>
        <v>22.60318009</v>
      </c>
      <c r="K1187" s="16">
        <f t="shared" si="4"/>
        <v>775.5531801</v>
      </c>
      <c r="L1187" s="16">
        <f t="shared" si="5"/>
        <v>730.3468199</v>
      </c>
      <c r="N1187" s="17" t="str">
        <f t="shared" si="6"/>
        <v>F</v>
      </c>
      <c r="O1187" s="17" t="str">
        <f t="shared" si="7"/>
        <v>F</v>
      </c>
      <c r="P1187" s="8">
        <f t="shared" si="8"/>
        <v>0</v>
      </c>
      <c r="R1187" s="17" t="str">
        <f t="shared" si="9"/>
        <v>F</v>
      </c>
      <c r="S1187" s="3" t="str">
        <f t="shared" si="10"/>
        <v>T</v>
      </c>
      <c r="T1187" s="8">
        <f t="shared" si="11"/>
        <v>0</v>
      </c>
      <c r="V1187" s="4">
        <f t="shared" si="12"/>
        <v>0</v>
      </c>
      <c r="W1187" s="8">
        <f t="shared" si="13"/>
        <v>-6.8</v>
      </c>
      <c r="X1187" s="8">
        <f t="shared" si="14"/>
        <v>0</v>
      </c>
      <c r="Y1187" s="8">
        <f t="shared" si="15"/>
        <v>1841.32</v>
      </c>
    </row>
    <row r="1188">
      <c r="A1188" s="2">
        <v>1181.0</v>
      </c>
      <c r="B1188" s="15">
        <f>IFERROR(__xludf.DUMMYFUNCTION("""COMPUTED_VALUE"""),44118.64583333333)</f>
        <v>44118.64583</v>
      </c>
      <c r="C1188" s="8">
        <f>IFERROR(__xludf.DUMMYFUNCTION("""COMPUTED_VALUE"""),1979.85)</f>
        <v>1979.85</v>
      </c>
      <c r="E1188" s="15">
        <f>IFERROR(__xludf.DUMMYFUNCTION("""COMPUTED_VALUE"""),44118.64583333333)</f>
        <v>44118.64583</v>
      </c>
      <c r="F1188" s="8">
        <f>IFERROR(__xludf.DUMMYFUNCTION("""COMPUTED_VALUE"""),1211.5)</f>
        <v>1211.5</v>
      </c>
      <c r="H1188" s="4">
        <f t="shared" si="1"/>
        <v>768.35</v>
      </c>
      <c r="I1188" s="16">
        <f t="shared" si="2"/>
        <v>749.32</v>
      </c>
      <c r="J1188" s="16">
        <f t="shared" si="3"/>
        <v>16.50218167</v>
      </c>
      <c r="K1188" s="16">
        <f t="shared" si="4"/>
        <v>765.8221817</v>
      </c>
      <c r="L1188" s="16">
        <f t="shared" si="5"/>
        <v>732.8178183</v>
      </c>
      <c r="N1188" s="17" t="str">
        <f t="shared" si="6"/>
        <v>F</v>
      </c>
      <c r="O1188" s="17" t="str">
        <f t="shared" si="7"/>
        <v>T</v>
      </c>
      <c r="P1188" s="8">
        <f t="shared" si="8"/>
        <v>0</v>
      </c>
      <c r="R1188" s="17" t="str">
        <f t="shared" si="9"/>
        <v>T</v>
      </c>
      <c r="S1188" s="3" t="str">
        <f t="shared" si="10"/>
        <v>F</v>
      </c>
      <c r="T1188" s="8">
        <f t="shared" si="11"/>
        <v>-1</v>
      </c>
      <c r="V1188" s="4">
        <f t="shared" si="12"/>
        <v>-1</v>
      </c>
      <c r="W1188" s="8">
        <f t="shared" si="13"/>
        <v>23.4</v>
      </c>
      <c r="X1188" s="8">
        <f t="shared" si="14"/>
        <v>0</v>
      </c>
      <c r="Y1188" s="8">
        <f t="shared" si="15"/>
        <v>1841.32</v>
      </c>
    </row>
    <row r="1189">
      <c r="A1189" s="2">
        <v>1182.0</v>
      </c>
      <c r="B1189" s="15">
        <f>IFERROR(__xludf.DUMMYFUNCTION("""COMPUTED_VALUE"""),44119.64583333333)</f>
        <v>44119.64583</v>
      </c>
      <c r="C1189" s="8">
        <f>IFERROR(__xludf.DUMMYFUNCTION("""COMPUTED_VALUE"""),1947.2)</f>
        <v>1947.2</v>
      </c>
      <c r="E1189" s="15">
        <f>IFERROR(__xludf.DUMMYFUNCTION("""COMPUTED_VALUE"""),44119.64583333333)</f>
        <v>44119.64583</v>
      </c>
      <c r="F1189" s="8">
        <f>IFERROR(__xludf.DUMMYFUNCTION("""COMPUTED_VALUE"""),1169.25)</f>
        <v>1169.25</v>
      </c>
      <c r="H1189" s="4">
        <f t="shared" si="1"/>
        <v>777.95</v>
      </c>
      <c r="I1189" s="16">
        <f t="shared" si="2"/>
        <v>753.42</v>
      </c>
      <c r="J1189" s="16">
        <f t="shared" si="3"/>
        <v>20.96913208</v>
      </c>
      <c r="K1189" s="16">
        <f t="shared" si="4"/>
        <v>774.3891321</v>
      </c>
      <c r="L1189" s="16">
        <f t="shared" si="5"/>
        <v>732.4508679</v>
      </c>
      <c r="N1189" s="17" t="str">
        <f t="shared" si="6"/>
        <v>F</v>
      </c>
      <c r="O1189" s="17" t="str">
        <f t="shared" si="7"/>
        <v>T</v>
      </c>
      <c r="P1189" s="8">
        <f t="shared" si="8"/>
        <v>0</v>
      </c>
      <c r="R1189" s="17" t="str">
        <f t="shared" si="9"/>
        <v>T</v>
      </c>
      <c r="S1189" s="3" t="str">
        <f t="shared" si="10"/>
        <v>F</v>
      </c>
      <c r="T1189" s="8">
        <f t="shared" si="11"/>
        <v>-1</v>
      </c>
      <c r="V1189" s="4">
        <f t="shared" si="12"/>
        <v>-1</v>
      </c>
      <c r="W1189" s="8">
        <f t="shared" si="13"/>
        <v>9.6</v>
      </c>
      <c r="X1189" s="8">
        <f t="shared" si="14"/>
        <v>-9.6</v>
      </c>
      <c r="Y1189" s="8">
        <f t="shared" si="15"/>
        <v>1831.72</v>
      </c>
    </row>
    <row r="1190">
      <c r="A1190" s="2">
        <v>1183.0</v>
      </c>
      <c r="B1190" s="15">
        <f>IFERROR(__xludf.DUMMYFUNCTION("""COMPUTED_VALUE"""),44120.64583333333)</f>
        <v>44120.64583</v>
      </c>
      <c r="C1190" s="8">
        <f>IFERROR(__xludf.DUMMYFUNCTION("""COMPUTED_VALUE"""),1961.7)</f>
        <v>1961.7</v>
      </c>
      <c r="E1190" s="15">
        <f>IFERROR(__xludf.DUMMYFUNCTION("""COMPUTED_VALUE"""),44120.64583333333)</f>
        <v>44120.64583</v>
      </c>
      <c r="F1190" s="8">
        <f>IFERROR(__xludf.DUMMYFUNCTION("""COMPUTED_VALUE"""),1199.35)</f>
        <v>1199.35</v>
      </c>
      <c r="H1190" s="4">
        <f t="shared" si="1"/>
        <v>762.35</v>
      </c>
      <c r="I1190" s="16">
        <f t="shared" si="2"/>
        <v>761.07</v>
      </c>
      <c r="J1190" s="16">
        <f t="shared" si="3"/>
        <v>13.09854954</v>
      </c>
      <c r="K1190" s="16">
        <f t="shared" si="4"/>
        <v>774.1685495</v>
      </c>
      <c r="L1190" s="16">
        <f t="shared" si="5"/>
        <v>747.9714505</v>
      </c>
      <c r="N1190" s="17" t="str">
        <f t="shared" si="6"/>
        <v>F</v>
      </c>
      <c r="O1190" s="17" t="str">
        <f t="shared" si="7"/>
        <v>T</v>
      </c>
      <c r="P1190" s="8">
        <f t="shared" si="8"/>
        <v>0</v>
      </c>
      <c r="R1190" s="17" t="str">
        <f t="shared" si="9"/>
        <v>F</v>
      </c>
      <c r="S1190" s="3" t="str">
        <f t="shared" si="10"/>
        <v>F</v>
      </c>
      <c r="T1190" s="8">
        <f t="shared" si="11"/>
        <v>-1</v>
      </c>
      <c r="V1190" s="4">
        <f t="shared" si="12"/>
        <v>-1</v>
      </c>
      <c r="W1190" s="8">
        <f t="shared" si="13"/>
        <v>-15.6</v>
      </c>
      <c r="X1190" s="8">
        <f t="shared" si="14"/>
        <v>15.6</v>
      </c>
      <c r="Y1190" s="8">
        <f t="shared" si="15"/>
        <v>1847.32</v>
      </c>
    </row>
    <row r="1191">
      <c r="A1191" s="2">
        <v>1184.0</v>
      </c>
      <c r="B1191" s="15">
        <f>IFERROR(__xludf.DUMMYFUNCTION("""COMPUTED_VALUE"""),44123.64583333333)</f>
        <v>44123.64583</v>
      </c>
      <c r="C1191" s="8">
        <f>IFERROR(__xludf.DUMMYFUNCTION("""COMPUTED_VALUE"""),2031.5)</f>
        <v>2031.5</v>
      </c>
      <c r="E1191" s="15">
        <f>IFERROR(__xludf.DUMMYFUNCTION("""COMPUTED_VALUE"""),44123.64583333333)</f>
        <v>44123.64583</v>
      </c>
      <c r="F1191" s="8">
        <f>IFERROR(__xludf.DUMMYFUNCTION("""COMPUTED_VALUE"""),1203.55)</f>
        <v>1203.55</v>
      </c>
      <c r="H1191" s="4">
        <f t="shared" si="1"/>
        <v>827.95</v>
      </c>
      <c r="I1191" s="16">
        <f t="shared" si="2"/>
        <v>776.31</v>
      </c>
      <c r="J1191" s="16">
        <f t="shared" si="3"/>
        <v>31.26928205</v>
      </c>
      <c r="K1191" s="16">
        <f t="shared" si="4"/>
        <v>807.5792821</v>
      </c>
      <c r="L1191" s="16">
        <f t="shared" si="5"/>
        <v>745.0407179</v>
      </c>
      <c r="N1191" s="17" t="str">
        <f t="shared" si="6"/>
        <v>F</v>
      </c>
      <c r="O1191" s="17" t="str">
        <f t="shared" si="7"/>
        <v>T</v>
      </c>
      <c r="P1191" s="8">
        <f t="shared" si="8"/>
        <v>0</v>
      </c>
      <c r="R1191" s="17" t="str">
        <f t="shared" si="9"/>
        <v>T</v>
      </c>
      <c r="S1191" s="3" t="str">
        <f t="shared" si="10"/>
        <v>F</v>
      </c>
      <c r="T1191" s="8">
        <f t="shared" si="11"/>
        <v>-1</v>
      </c>
      <c r="V1191" s="4">
        <f t="shared" si="12"/>
        <v>-1</v>
      </c>
      <c r="W1191" s="8">
        <f t="shared" si="13"/>
        <v>65.6</v>
      </c>
      <c r="X1191" s="8">
        <f t="shared" si="14"/>
        <v>-65.6</v>
      </c>
      <c r="Y1191" s="8">
        <f t="shared" si="15"/>
        <v>1781.72</v>
      </c>
    </row>
    <row r="1192">
      <c r="A1192" s="2">
        <v>1185.0</v>
      </c>
      <c r="B1192" s="15">
        <f>IFERROR(__xludf.DUMMYFUNCTION("""COMPUTED_VALUE"""),44124.64583333333)</f>
        <v>44124.64583</v>
      </c>
      <c r="C1192" s="8">
        <f>IFERROR(__xludf.DUMMYFUNCTION("""COMPUTED_VALUE"""),2015.3)</f>
        <v>2015.3</v>
      </c>
      <c r="E1192" s="15">
        <f>IFERROR(__xludf.DUMMYFUNCTION("""COMPUTED_VALUE"""),44124.64583333333)</f>
        <v>44124.64583</v>
      </c>
      <c r="F1192" s="8">
        <f>IFERROR(__xludf.DUMMYFUNCTION("""COMPUTED_VALUE"""),1223.95)</f>
        <v>1223.95</v>
      </c>
      <c r="H1192" s="4">
        <f t="shared" si="1"/>
        <v>791.35</v>
      </c>
      <c r="I1192" s="16">
        <f t="shared" si="2"/>
        <v>785.59</v>
      </c>
      <c r="J1192" s="16">
        <f t="shared" si="3"/>
        <v>26.09229771</v>
      </c>
      <c r="K1192" s="16">
        <f t="shared" si="4"/>
        <v>811.6822977</v>
      </c>
      <c r="L1192" s="16">
        <f t="shared" si="5"/>
        <v>759.4977023</v>
      </c>
      <c r="N1192" s="17" t="str">
        <f t="shared" si="6"/>
        <v>F</v>
      </c>
      <c r="O1192" s="17" t="str">
        <f t="shared" si="7"/>
        <v>T</v>
      </c>
      <c r="P1192" s="8">
        <f t="shared" si="8"/>
        <v>0</v>
      </c>
      <c r="R1192" s="17" t="str">
        <f t="shared" si="9"/>
        <v>F</v>
      </c>
      <c r="S1192" s="3" t="str">
        <f t="shared" si="10"/>
        <v>F</v>
      </c>
      <c r="T1192" s="8">
        <f t="shared" si="11"/>
        <v>-1</v>
      </c>
      <c r="V1192" s="4">
        <f t="shared" si="12"/>
        <v>-1</v>
      </c>
      <c r="W1192" s="8">
        <f t="shared" si="13"/>
        <v>-36.6</v>
      </c>
      <c r="X1192" s="8">
        <f t="shared" si="14"/>
        <v>36.6</v>
      </c>
      <c r="Y1192" s="8">
        <f t="shared" si="15"/>
        <v>1818.32</v>
      </c>
    </row>
    <row r="1193">
      <c r="A1193" s="2">
        <v>1186.0</v>
      </c>
      <c r="B1193" s="15">
        <f>IFERROR(__xludf.DUMMYFUNCTION("""COMPUTED_VALUE"""),44125.64583333333)</f>
        <v>44125.64583</v>
      </c>
      <c r="C1193" s="8">
        <f>IFERROR(__xludf.DUMMYFUNCTION("""COMPUTED_VALUE"""),2048.75)</f>
        <v>2048.75</v>
      </c>
      <c r="E1193" s="15">
        <f>IFERROR(__xludf.DUMMYFUNCTION("""COMPUTED_VALUE"""),44125.64583333333)</f>
        <v>44125.64583</v>
      </c>
      <c r="F1193" s="8">
        <f>IFERROR(__xludf.DUMMYFUNCTION("""COMPUTED_VALUE"""),1246.7)</f>
        <v>1246.7</v>
      </c>
      <c r="H1193" s="4">
        <f t="shared" si="1"/>
        <v>802.05</v>
      </c>
      <c r="I1193" s="16">
        <f t="shared" si="2"/>
        <v>792.33</v>
      </c>
      <c r="J1193" s="16">
        <f t="shared" si="3"/>
        <v>24.84858145</v>
      </c>
      <c r="K1193" s="16">
        <f t="shared" si="4"/>
        <v>817.1785814</v>
      </c>
      <c r="L1193" s="16">
        <f t="shared" si="5"/>
        <v>767.4814186</v>
      </c>
      <c r="N1193" s="17" t="str">
        <f t="shared" si="6"/>
        <v>F</v>
      </c>
      <c r="O1193" s="17" t="str">
        <f t="shared" si="7"/>
        <v>T</v>
      </c>
      <c r="P1193" s="8">
        <f t="shared" si="8"/>
        <v>0</v>
      </c>
      <c r="R1193" s="17" t="str">
        <f t="shared" si="9"/>
        <v>F</v>
      </c>
      <c r="S1193" s="3" t="str">
        <f t="shared" si="10"/>
        <v>F</v>
      </c>
      <c r="T1193" s="8">
        <f t="shared" si="11"/>
        <v>-1</v>
      </c>
      <c r="V1193" s="4">
        <f t="shared" si="12"/>
        <v>-1</v>
      </c>
      <c r="W1193" s="8">
        <f t="shared" si="13"/>
        <v>10.7</v>
      </c>
      <c r="X1193" s="8">
        <f t="shared" si="14"/>
        <v>-10.7</v>
      </c>
      <c r="Y1193" s="8">
        <f t="shared" si="15"/>
        <v>1807.62</v>
      </c>
    </row>
    <row r="1194">
      <c r="A1194" s="2">
        <v>1187.0</v>
      </c>
      <c r="B1194" s="15">
        <f>IFERROR(__xludf.DUMMYFUNCTION("""COMPUTED_VALUE"""),44126.64583333333)</f>
        <v>44126.64583</v>
      </c>
      <c r="C1194" s="8">
        <f>IFERROR(__xludf.DUMMYFUNCTION("""COMPUTED_VALUE"""),2042.55)</f>
        <v>2042.55</v>
      </c>
      <c r="E1194" s="15">
        <f>IFERROR(__xludf.DUMMYFUNCTION("""COMPUTED_VALUE"""),44126.64583333333)</f>
        <v>44126.64583</v>
      </c>
      <c r="F1194" s="8">
        <f>IFERROR(__xludf.DUMMYFUNCTION("""COMPUTED_VALUE"""),1233.3)</f>
        <v>1233.3</v>
      </c>
      <c r="H1194" s="4">
        <f t="shared" si="1"/>
        <v>809.25</v>
      </c>
      <c r="I1194" s="16">
        <f t="shared" si="2"/>
        <v>798.59</v>
      </c>
      <c r="J1194" s="16">
        <f t="shared" si="3"/>
        <v>24.25578282</v>
      </c>
      <c r="K1194" s="16">
        <f t="shared" si="4"/>
        <v>822.8457828</v>
      </c>
      <c r="L1194" s="16">
        <f t="shared" si="5"/>
        <v>774.3342172</v>
      </c>
      <c r="N1194" s="17" t="str">
        <f t="shared" si="6"/>
        <v>F</v>
      </c>
      <c r="O1194" s="17" t="str">
        <f t="shared" si="7"/>
        <v>T</v>
      </c>
      <c r="P1194" s="8">
        <f t="shared" si="8"/>
        <v>0</v>
      </c>
      <c r="R1194" s="17" t="str">
        <f t="shared" si="9"/>
        <v>F</v>
      </c>
      <c r="S1194" s="3" t="str">
        <f t="shared" si="10"/>
        <v>F</v>
      </c>
      <c r="T1194" s="8">
        <f t="shared" si="11"/>
        <v>-1</v>
      </c>
      <c r="V1194" s="4">
        <f t="shared" si="12"/>
        <v>-1</v>
      </c>
      <c r="W1194" s="8">
        <f t="shared" si="13"/>
        <v>7.2</v>
      </c>
      <c r="X1194" s="8">
        <f t="shared" si="14"/>
        <v>-7.2</v>
      </c>
      <c r="Y1194" s="8">
        <f t="shared" si="15"/>
        <v>1800.42</v>
      </c>
    </row>
    <row r="1195">
      <c r="A1195" s="2">
        <v>1188.0</v>
      </c>
      <c r="B1195" s="15">
        <f>IFERROR(__xludf.DUMMYFUNCTION("""COMPUTED_VALUE"""),44127.64583333333)</f>
        <v>44127.64583</v>
      </c>
      <c r="C1195" s="8">
        <f>IFERROR(__xludf.DUMMYFUNCTION("""COMPUTED_VALUE"""),2059.7)</f>
        <v>2059.7</v>
      </c>
      <c r="E1195" s="15">
        <f>IFERROR(__xludf.DUMMYFUNCTION("""COMPUTED_VALUE"""),44127.64583333333)</f>
        <v>44127.64583</v>
      </c>
      <c r="F1195" s="8">
        <f>IFERROR(__xludf.DUMMYFUNCTION("""COMPUTED_VALUE"""),1235.8)</f>
        <v>1235.8</v>
      </c>
      <c r="H1195" s="4">
        <f t="shared" si="1"/>
        <v>823.9</v>
      </c>
      <c r="I1195" s="16">
        <f t="shared" si="2"/>
        <v>810.9</v>
      </c>
      <c r="J1195" s="16">
        <f t="shared" si="3"/>
        <v>15.19004608</v>
      </c>
      <c r="K1195" s="16">
        <f t="shared" si="4"/>
        <v>826.0900461</v>
      </c>
      <c r="L1195" s="16">
        <f t="shared" si="5"/>
        <v>795.7099539</v>
      </c>
      <c r="N1195" s="17" t="str">
        <f t="shared" si="6"/>
        <v>F</v>
      </c>
      <c r="O1195" s="17" t="str">
        <f t="shared" si="7"/>
        <v>T</v>
      </c>
      <c r="P1195" s="8">
        <f t="shared" si="8"/>
        <v>0</v>
      </c>
      <c r="R1195" s="17" t="str">
        <f t="shared" si="9"/>
        <v>F</v>
      </c>
      <c r="S1195" s="3" t="str">
        <f t="shared" si="10"/>
        <v>F</v>
      </c>
      <c r="T1195" s="8">
        <f t="shared" si="11"/>
        <v>-1</v>
      </c>
      <c r="V1195" s="4">
        <f t="shared" si="12"/>
        <v>-1</v>
      </c>
      <c r="W1195" s="8">
        <f t="shared" si="13"/>
        <v>14.65</v>
      </c>
      <c r="X1195" s="8">
        <f t="shared" si="14"/>
        <v>-14.65</v>
      </c>
      <c r="Y1195" s="8">
        <f t="shared" si="15"/>
        <v>1785.77</v>
      </c>
    </row>
    <row r="1196">
      <c r="A1196" s="2">
        <v>1189.0</v>
      </c>
      <c r="B1196" s="15">
        <f>IFERROR(__xludf.DUMMYFUNCTION("""COMPUTED_VALUE"""),44130.64583333333)</f>
        <v>44130.64583</v>
      </c>
      <c r="C1196" s="8">
        <f>IFERROR(__xludf.DUMMYFUNCTION("""COMPUTED_VALUE"""),2073.35)</f>
        <v>2073.35</v>
      </c>
      <c r="E1196" s="15">
        <f>IFERROR(__xludf.DUMMYFUNCTION("""COMPUTED_VALUE"""),44130.64583333333)</f>
        <v>44130.64583</v>
      </c>
      <c r="F1196" s="8">
        <f>IFERROR(__xludf.DUMMYFUNCTION("""COMPUTED_VALUE"""),1210.9)</f>
        <v>1210.9</v>
      </c>
      <c r="H1196" s="4">
        <f t="shared" si="1"/>
        <v>862.45</v>
      </c>
      <c r="I1196" s="16">
        <f t="shared" si="2"/>
        <v>817.8</v>
      </c>
      <c r="J1196" s="16">
        <f t="shared" si="3"/>
        <v>27.62064445</v>
      </c>
      <c r="K1196" s="16">
        <f t="shared" si="4"/>
        <v>845.4206445</v>
      </c>
      <c r="L1196" s="16">
        <f t="shared" si="5"/>
        <v>790.1793555</v>
      </c>
      <c r="N1196" s="17" t="str">
        <f t="shared" si="6"/>
        <v>F</v>
      </c>
      <c r="O1196" s="17" t="str">
        <f t="shared" si="7"/>
        <v>T</v>
      </c>
      <c r="P1196" s="8">
        <f t="shared" si="8"/>
        <v>0</v>
      </c>
      <c r="R1196" s="17" t="str">
        <f t="shared" si="9"/>
        <v>T</v>
      </c>
      <c r="S1196" s="3" t="str">
        <f t="shared" si="10"/>
        <v>F</v>
      </c>
      <c r="T1196" s="8">
        <f t="shared" si="11"/>
        <v>-1</v>
      </c>
      <c r="V1196" s="4">
        <f t="shared" si="12"/>
        <v>-1</v>
      </c>
      <c r="W1196" s="8">
        <f t="shared" si="13"/>
        <v>38.55</v>
      </c>
      <c r="X1196" s="8">
        <f t="shared" si="14"/>
        <v>-38.55</v>
      </c>
      <c r="Y1196" s="8">
        <f t="shared" si="15"/>
        <v>1747.22</v>
      </c>
    </row>
    <row r="1197">
      <c r="A1197" s="2">
        <v>1190.0</v>
      </c>
      <c r="B1197" s="15">
        <f>IFERROR(__xludf.DUMMYFUNCTION("""COMPUTED_VALUE"""),44131.64583333333)</f>
        <v>44131.64583</v>
      </c>
      <c r="C1197" s="8">
        <f>IFERROR(__xludf.DUMMYFUNCTION("""COMPUTED_VALUE"""),2041.35)</f>
        <v>2041.35</v>
      </c>
      <c r="E1197" s="15">
        <f>IFERROR(__xludf.DUMMYFUNCTION("""COMPUTED_VALUE"""),44131.64583333333)</f>
        <v>44131.64583</v>
      </c>
      <c r="F1197" s="8">
        <f>IFERROR(__xludf.DUMMYFUNCTION("""COMPUTED_VALUE"""),1233.1)</f>
        <v>1233.1</v>
      </c>
      <c r="H1197" s="4">
        <f t="shared" si="1"/>
        <v>808.25</v>
      </c>
      <c r="I1197" s="16">
        <f t="shared" si="2"/>
        <v>821.18</v>
      </c>
      <c r="J1197" s="16">
        <f t="shared" si="3"/>
        <v>24.42374869</v>
      </c>
      <c r="K1197" s="16">
        <f t="shared" si="4"/>
        <v>845.6037487</v>
      </c>
      <c r="L1197" s="16">
        <f t="shared" si="5"/>
        <v>796.7562513</v>
      </c>
      <c r="N1197" s="17" t="str">
        <f t="shared" si="6"/>
        <v>F</v>
      </c>
      <c r="O1197" s="17" t="str">
        <f t="shared" si="7"/>
        <v>F</v>
      </c>
      <c r="P1197" s="8">
        <f t="shared" si="8"/>
        <v>0</v>
      </c>
      <c r="R1197" s="17" t="str">
        <f t="shared" si="9"/>
        <v>F</v>
      </c>
      <c r="S1197" s="3" t="str">
        <f t="shared" si="10"/>
        <v>T</v>
      </c>
      <c r="T1197" s="8">
        <f t="shared" si="11"/>
        <v>0</v>
      </c>
      <c r="V1197" s="4">
        <f t="shared" si="12"/>
        <v>0</v>
      </c>
      <c r="W1197" s="8">
        <f t="shared" si="13"/>
        <v>-54.2</v>
      </c>
      <c r="X1197" s="8">
        <f t="shared" si="14"/>
        <v>54.2</v>
      </c>
      <c r="Y1197" s="8">
        <f t="shared" si="15"/>
        <v>1801.42</v>
      </c>
    </row>
    <row r="1198">
      <c r="A1198" s="2">
        <v>1191.0</v>
      </c>
      <c r="B1198" s="15">
        <f>IFERROR(__xludf.DUMMYFUNCTION("""COMPUTED_VALUE"""),44132.64583333333)</f>
        <v>44132.64583</v>
      </c>
      <c r="C1198" s="8">
        <f>IFERROR(__xludf.DUMMYFUNCTION("""COMPUTED_VALUE"""),1968.9)</f>
        <v>1968.9</v>
      </c>
      <c r="E1198" s="15">
        <f>IFERROR(__xludf.DUMMYFUNCTION("""COMPUTED_VALUE"""),44132.64583333333)</f>
        <v>44132.64583</v>
      </c>
      <c r="F1198" s="8">
        <f>IFERROR(__xludf.DUMMYFUNCTION("""COMPUTED_VALUE"""),1209.6)</f>
        <v>1209.6</v>
      </c>
      <c r="H1198" s="4">
        <f t="shared" si="1"/>
        <v>759.3</v>
      </c>
      <c r="I1198" s="16">
        <f t="shared" si="2"/>
        <v>812.63</v>
      </c>
      <c r="J1198" s="16">
        <f t="shared" si="3"/>
        <v>37.02614954</v>
      </c>
      <c r="K1198" s="16">
        <f t="shared" si="4"/>
        <v>849.6561495</v>
      </c>
      <c r="L1198" s="16">
        <f t="shared" si="5"/>
        <v>775.6038505</v>
      </c>
      <c r="N1198" s="17" t="str">
        <f t="shared" si="6"/>
        <v>T</v>
      </c>
      <c r="O1198" s="17" t="str">
        <f t="shared" si="7"/>
        <v>F</v>
      </c>
      <c r="P1198" s="8">
        <f t="shared" si="8"/>
        <v>1</v>
      </c>
      <c r="R1198" s="17" t="str">
        <f t="shared" si="9"/>
        <v>F</v>
      </c>
      <c r="S1198" s="3" t="str">
        <f t="shared" si="10"/>
        <v>T</v>
      </c>
      <c r="T1198" s="8">
        <f t="shared" si="11"/>
        <v>0</v>
      </c>
      <c r="V1198" s="4">
        <f t="shared" si="12"/>
        <v>1</v>
      </c>
      <c r="W1198" s="8">
        <f t="shared" si="13"/>
        <v>-48.95</v>
      </c>
      <c r="X1198" s="8">
        <f t="shared" si="14"/>
        <v>0</v>
      </c>
      <c r="Y1198" s="8">
        <f t="shared" si="15"/>
        <v>1801.42</v>
      </c>
    </row>
    <row r="1199">
      <c r="A1199" s="2">
        <v>1192.0</v>
      </c>
      <c r="B1199" s="15">
        <f>IFERROR(__xludf.DUMMYFUNCTION("""COMPUTED_VALUE"""),44133.64583333333)</f>
        <v>44133.64583</v>
      </c>
      <c r="C1199" s="8">
        <f>IFERROR(__xludf.DUMMYFUNCTION("""COMPUTED_VALUE"""),1934.3)</f>
        <v>1934.3</v>
      </c>
      <c r="E1199" s="15">
        <f>IFERROR(__xludf.DUMMYFUNCTION("""COMPUTED_VALUE"""),44133.64583333333)</f>
        <v>44133.64583</v>
      </c>
      <c r="F1199" s="8">
        <f>IFERROR(__xludf.DUMMYFUNCTION("""COMPUTED_VALUE"""),1187.2)</f>
        <v>1187.2</v>
      </c>
      <c r="H1199" s="4">
        <f t="shared" si="1"/>
        <v>747.1</v>
      </c>
      <c r="I1199" s="16">
        <f t="shared" si="2"/>
        <v>800.2</v>
      </c>
      <c r="J1199" s="16">
        <f t="shared" si="3"/>
        <v>47.41828498</v>
      </c>
      <c r="K1199" s="16">
        <f t="shared" si="4"/>
        <v>847.618285</v>
      </c>
      <c r="L1199" s="16">
        <f t="shared" si="5"/>
        <v>752.781715</v>
      </c>
      <c r="N1199" s="17" t="str">
        <f t="shared" si="6"/>
        <v>T</v>
      </c>
      <c r="O1199" s="17" t="str">
        <f t="shared" si="7"/>
        <v>F</v>
      </c>
      <c r="P1199" s="8">
        <f t="shared" si="8"/>
        <v>1</v>
      </c>
      <c r="R1199" s="17" t="str">
        <f t="shared" si="9"/>
        <v>F</v>
      </c>
      <c r="S1199" s="3" t="str">
        <f t="shared" si="10"/>
        <v>T</v>
      </c>
      <c r="T1199" s="8">
        <f t="shared" si="11"/>
        <v>0</v>
      </c>
      <c r="V1199" s="4">
        <f t="shared" si="12"/>
        <v>1</v>
      </c>
      <c r="W1199" s="8">
        <f t="shared" si="13"/>
        <v>-12.2</v>
      </c>
      <c r="X1199" s="8">
        <f t="shared" si="14"/>
        <v>-12.2</v>
      </c>
      <c r="Y1199" s="8">
        <f t="shared" si="15"/>
        <v>1789.22</v>
      </c>
    </row>
    <row r="1200">
      <c r="A1200" s="2">
        <v>1193.0</v>
      </c>
      <c r="B1200" s="15">
        <f>IFERROR(__xludf.DUMMYFUNCTION("""COMPUTED_VALUE"""),44134.64583333333)</f>
        <v>44134.64583</v>
      </c>
      <c r="C1200" s="8">
        <f>IFERROR(__xludf.DUMMYFUNCTION("""COMPUTED_VALUE"""),1923.55)</f>
        <v>1923.55</v>
      </c>
      <c r="E1200" s="15">
        <f>IFERROR(__xludf.DUMMYFUNCTION("""COMPUTED_VALUE"""),44134.64583333333)</f>
        <v>44134.64583</v>
      </c>
      <c r="F1200" s="8">
        <f>IFERROR(__xludf.DUMMYFUNCTION("""COMPUTED_VALUE"""),1183.55)</f>
        <v>1183.55</v>
      </c>
      <c r="H1200" s="4">
        <f t="shared" si="1"/>
        <v>740</v>
      </c>
      <c r="I1200" s="16">
        <f t="shared" si="2"/>
        <v>783.42</v>
      </c>
      <c r="J1200" s="16">
        <f t="shared" si="3"/>
        <v>51.59574353</v>
      </c>
      <c r="K1200" s="16">
        <f t="shared" si="4"/>
        <v>835.0157435</v>
      </c>
      <c r="L1200" s="16">
        <f t="shared" si="5"/>
        <v>731.8242565</v>
      </c>
      <c r="N1200" s="17" t="str">
        <f t="shared" si="6"/>
        <v>F</v>
      </c>
      <c r="O1200" s="17" t="str">
        <f t="shared" si="7"/>
        <v>F</v>
      </c>
      <c r="P1200" s="8">
        <f t="shared" si="8"/>
        <v>1</v>
      </c>
      <c r="R1200" s="17" t="str">
        <f t="shared" si="9"/>
        <v>F</v>
      </c>
      <c r="S1200" s="3" t="str">
        <f t="shared" si="10"/>
        <v>T</v>
      </c>
      <c r="T1200" s="8">
        <f t="shared" si="11"/>
        <v>0</v>
      </c>
      <c r="V1200" s="4">
        <f t="shared" si="12"/>
        <v>1</v>
      </c>
      <c r="W1200" s="8">
        <f t="shared" si="13"/>
        <v>-7.1</v>
      </c>
      <c r="X1200" s="8">
        <f t="shared" si="14"/>
        <v>-7.1</v>
      </c>
      <c r="Y1200" s="8">
        <f t="shared" si="15"/>
        <v>1782.12</v>
      </c>
    </row>
    <row r="1201">
      <c r="H1201" s="4"/>
      <c r="S1201" s="3"/>
      <c r="V1201" s="4"/>
    </row>
    <row r="1202">
      <c r="H1202" s="4"/>
      <c r="S1202" s="3"/>
      <c r="V1202" s="4"/>
    </row>
    <row r="1203">
      <c r="H1203" s="4"/>
      <c r="S1203" s="3"/>
      <c r="V1203" s="4"/>
    </row>
    <row r="1204">
      <c r="H1204" s="4"/>
      <c r="S1204" s="3"/>
      <c r="V1204" s="4"/>
    </row>
    <row r="1205">
      <c r="H1205" s="4"/>
      <c r="S1205" s="3"/>
      <c r="V1205" s="4"/>
    </row>
    <row r="1206">
      <c r="H1206" s="4"/>
      <c r="S1206" s="3"/>
      <c r="V1206" s="4"/>
    </row>
    <row r="1207">
      <c r="H1207" s="4"/>
      <c r="S1207" s="3"/>
      <c r="V1207" s="4"/>
    </row>
    <row r="1208">
      <c r="H1208" s="4"/>
      <c r="S1208" s="3"/>
      <c r="V1208" s="4"/>
    </row>
    <row r="1209">
      <c r="H1209" s="4"/>
      <c r="S1209" s="3"/>
      <c r="V1209" s="4"/>
    </row>
    <row r="1210">
      <c r="H1210" s="4"/>
      <c r="S1210" s="3"/>
      <c r="V1210" s="4"/>
    </row>
    <row r="1211">
      <c r="H1211" s="4"/>
      <c r="S1211" s="3"/>
      <c r="V1211" s="4"/>
    </row>
    <row r="1212">
      <c r="H1212" s="4"/>
      <c r="S1212" s="3"/>
      <c r="V1212" s="4"/>
    </row>
    <row r="1213">
      <c r="H1213" s="4"/>
      <c r="S1213" s="3"/>
      <c r="V1213" s="4"/>
    </row>
    <row r="1214">
      <c r="H1214" s="4"/>
      <c r="S1214" s="3"/>
      <c r="V1214" s="4"/>
    </row>
    <row r="1215">
      <c r="H1215" s="4"/>
      <c r="S1215" s="3"/>
      <c r="V1215" s="4"/>
    </row>
    <row r="1216">
      <c r="H1216" s="4"/>
      <c r="S1216" s="3"/>
      <c r="V1216" s="4"/>
    </row>
    <row r="1217">
      <c r="H1217" s="4"/>
      <c r="S1217" s="3"/>
      <c r="V1217" s="4"/>
    </row>
    <row r="1218">
      <c r="H1218" s="4"/>
      <c r="S1218" s="3"/>
      <c r="V1218" s="4"/>
    </row>
    <row r="1219">
      <c r="H1219" s="4"/>
      <c r="S1219" s="3"/>
      <c r="V1219" s="4"/>
    </row>
    <row r="1220">
      <c r="H1220" s="4"/>
      <c r="S1220" s="3"/>
      <c r="V1220" s="4"/>
    </row>
    <row r="1221">
      <c r="H1221" s="4"/>
      <c r="S1221" s="3"/>
      <c r="V1221" s="4"/>
    </row>
    <row r="1222">
      <c r="H1222" s="4"/>
      <c r="S1222" s="3"/>
      <c r="V1222" s="4"/>
    </row>
    <row r="1223">
      <c r="H1223" s="4"/>
      <c r="S1223" s="3"/>
      <c r="V1223" s="4"/>
    </row>
    <row r="1224">
      <c r="H1224" s="4"/>
      <c r="S1224" s="3"/>
      <c r="V1224" s="4"/>
    </row>
    <row r="1225">
      <c r="H1225" s="4"/>
      <c r="S1225" s="3"/>
      <c r="V1225" s="4"/>
    </row>
    <row r="1226">
      <c r="H1226" s="4"/>
      <c r="S1226" s="3"/>
      <c r="V1226" s="4"/>
    </row>
    <row r="1227">
      <c r="H1227" s="4"/>
      <c r="S1227" s="3"/>
      <c r="V1227" s="4"/>
    </row>
    <row r="1228">
      <c r="H1228" s="4"/>
      <c r="S1228" s="3"/>
      <c r="V1228" s="4"/>
    </row>
    <row r="1229">
      <c r="H1229" s="4"/>
      <c r="S1229" s="3"/>
      <c r="V1229" s="4"/>
    </row>
    <row r="1230">
      <c r="H1230" s="4"/>
      <c r="S1230" s="3"/>
      <c r="V1230" s="4"/>
    </row>
    <row r="1231">
      <c r="H1231" s="4"/>
      <c r="S1231" s="3"/>
      <c r="V1231" s="4"/>
    </row>
    <row r="1232">
      <c r="H1232" s="4"/>
      <c r="S1232" s="3"/>
      <c r="V1232" s="4"/>
    </row>
    <row r="1233">
      <c r="H1233" s="4"/>
      <c r="S1233" s="3"/>
      <c r="V1233" s="4"/>
    </row>
    <row r="1234">
      <c r="H1234" s="4"/>
      <c r="S1234" s="3"/>
      <c r="V1234" s="4"/>
    </row>
    <row r="1235">
      <c r="H1235" s="4"/>
      <c r="S1235" s="3"/>
      <c r="V1235" s="4"/>
    </row>
    <row r="1236">
      <c r="H1236" s="4"/>
      <c r="S1236" s="3"/>
      <c r="V1236" s="4"/>
    </row>
    <row r="1237">
      <c r="H1237" s="4"/>
      <c r="S1237" s="3"/>
      <c r="V1237" s="4"/>
    </row>
    <row r="1238">
      <c r="H1238" s="4"/>
      <c r="S1238" s="3"/>
      <c r="V1238" s="4"/>
    </row>
    <row r="1239">
      <c r="H1239" s="4"/>
      <c r="S1239" s="3"/>
      <c r="V1239" s="4"/>
    </row>
    <row r="1240">
      <c r="H1240" s="4"/>
      <c r="S1240" s="3"/>
      <c r="V1240" s="4"/>
    </row>
    <row r="1241">
      <c r="H1241" s="4"/>
      <c r="S1241" s="3"/>
      <c r="V1241" s="4"/>
    </row>
    <row r="1242">
      <c r="H1242" s="4"/>
      <c r="S1242" s="3"/>
      <c r="V1242" s="4"/>
    </row>
    <row r="1243">
      <c r="H1243" s="4"/>
      <c r="S1243" s="3"/>
      <c r="V1243" s="4"/>
    </row>
    <row r="1244">
      <c r="H1244" s="4"/>
      <c r="S1244" s="3"/>
      <c r="V1244" s="4"/>
    </row>
    <row r="1245">
      <c r="H1245" s="4"/>
      <c r="S1245" s="3"/>
      <c r="V1245" s="4"/>
    </row>
    <row r="1246">
      <c r="H1246" s="4"/>
      <c r="S1246" s="3"/>
      <c r="V1246" s="4"/>
    </row>
    <row r="1247">
      <c r="H1247" s="4"/>
      <c r="S1247" s="3"/>
      <c r="V1247" s="4"/>
    </row>
    <row r="1248">
      <c r="H1248" s="4"/>
      <c r="S1248" s="3"/>
      <c r="V1248" s="4"/>
    </row>
    <row r="1249">
      <c r="H1249" s="4"/>
      <c r="S1249" s="3"/>
      <c r="V1249" s="4"/>
    </row>
    <row r="1250">
      <c r="H1250" s="4"/>
      <c r="S1250" s="3"/>
      <c r="V1250" s="4"/>
    </row>
    <row r="1251">
      <c r="H1251" s="4"/>
      <c r="S1251" s="3"/>
      <c r="V1251" s="4"/>
    </row>
    <row r="1252">
      <c r="H1252" s="4"/>
      <c r="S1252" s="3"/>
      <c r="V1252" s="4"/>
    </row>
    <row r="1253">
      <c r="H1253" s="4"/>
      <c r="S1253" s="3"/>
      <c r="V1253" s="4"/>
    </row>
    <row r="1254">
      <c r="H1254" s="4"/>
      <c r="S1254" s="3"/>
      <c r="V1254" s="4"/>
    </row>
    <row r="1255">
      <c r="H1255" s="4"/>
      <c r="S1255" s="3"/>
      <c r="V1255" s="4"/>
    </row>
    <row r="1256">
      <c r="H1256" s="4"/>
      <c r="S1256" s="3"/>
      <c r="V1256" s="4"/>
    </row>
    <row r="1257">
      <c r="H1257" s="4"/>
      <c r="S1257" s="3"/>
      <c r="V1257" s="4"/>
    </row>
    <row r="1258">
      <c r="H1258" s="4"/>
      <c r="S1258" s="3"/>
      <c r="V1258" s="4"/>
    </row>
    <row r="1259">
      <c r="H1259" s="4"/>
      <c r="S1259" s="3"/>
      <c r="V1259" s="4"/>
    </row>
    <row r="1260">
      <c r="H1260" s="4"/>
      <c r="S1260" s="3"/>
      <c r="V1260" s="4"/>
    </row>
    <row r="1261">
      <c r="H1261" s="4"/>
      <c r="S1261" s="3"/>
      <c r="V1261" s="4"/>
    </row>
    <row r="1262">
      <c r="H1262" s="4"/>
      <c r="S1262" s="3"/>
      <c r="V1262" s="4"/>
    </row>
    <row r="1263">
      <c r="H1263" s="4"/>
      <c r="S1263" s="3"/>
      <c r="V1263" s="4"/>
    </row>
    <row r="1264">
      <c r="H1264" s="4"/>
      <c r="S1264" s="3"/>
      <c r="V1264" s="4"/>
    </row>
    <row r="1265">
      <c r="H1265" s="4"/>
      <c r="S1265" s="3"/>
      <c r="V1265" s="4"/>
    </row>
    <row r="1266">
      <c r="H1266" s="4"/>
      <c r="S1266" s="3"/>
      <c r="V1266" s="4"/>
    </row>
    <row r="1267">
      <c r="H1267" s="4"/>
      <c r="S1267" s="3"/>
      <c r="V1267" s="4"/>
    </row>
    <row r="1268">
      <c r="H1268" s="4"/>
      <c r="S1268" s="3"/>
      <c r="V1268" s="4"/>
    </row>
    <row r="1269">
      <c r="H1269" s="4"/>
      <c r="S1269" s="3"/>
      <c r="V1269" s="4"/>
    </row>
    <row r="1270">
      <c r="H1270" s="4"/>
      <c r="S1270" s="3"/>
      <c r="V1270" s="4"/>
    </row>
    <row r="1271">
      <c r="H1271" s="4"/>
      <c r="S1271" s="3"/>
      <c r="V1271" s="4"/>
    </row>
    <row r="1272">
      <c r="H1272" s="4"/>
      <c r="S1272" s="3"/>
      <c r="V1272" s="4"/>
    </row>
    <row r="1273">
      <c r="H1273" s="4"/>
      <c r="S1273" s="3"/>
      <c r="V1273" s="4"/>
    </row>
    <row r="1274">
      <c r="H1274" s="4"/>
      <c r="S1274" s="3"/>
      <c r="V1274" s="4"/>
    </row>
    <row r="1275">
      <c r="H1275" s="4"/>
      <c r="S1275" s="3"/>
      <c r="V1275" s="4"/>
    </row>
    <row r="1276">
      <c r="H1276" s="4"/>
      <c r="S1276" s="3"/>
      <c r="V1276" s="4"/>
    </row>
    <row r="1277">
      <c r="H1277" s="4"/>
      <c r="S1277" s="3"/>
      <c r="V1277" s="4"/>
    </row>
    <row r="1278">
      <c r="H1278" s="4"/>
      <c r="S1278" s="3"/>
      <c r="V1278" s="4"/>
    </row>
    <row r="1279">
      <c r="H1279" s="4"/>
      <c r="S1279" s="3"/>
      <c r="V1279" s="4"/>
    </row>
    <row r="1280">
      <c r="H1280" s="4"/>
      <c r="S1280" s="3"/>
      <c r="V1280" s="4"/>
    </row>
    <row r="1281">
      <c r="H1281" s="4"/>
      <c r="S1281" s="3"/>
      <c r="V1281" s="4"/>
    </row>
    <row r="1282">
      <c r="H1282" s="4"/>
      <c r="S1282" s="3"/>
      <c r="V1282" s="4"/>
    </row>
    <row r="1283">
      <c r="H1283" s="4"/>
      <c r="S1283" s="3"/>
      <c r="V1283" s="4"/>
    </row>
    <row r="1284">
      <c r="H1284" s="4"/>
      <c r="S1284" s="3"/>
      <c r="V1284" s="4"/>
    </row>
    <row r="1285">
      <c r="H1285" s="4"/>
      <c r="S1285" s="3"/>
      <c r="V1285" s="4"/>
    </row>
    <row r="1286">
      <c r="H1286" s="4"/>
      <c r="S1286" s="3"/>
      <c r="V1286" s="4"/>
    </row>
    <row r="1287">
      <c r="H1287" s="4"/>
      <c r="S1287" s="3"/>
      <c r="V1287" s="4"/>
    </row>
    <row r="1288">
      <c r="H1288" s="4"/>
      <c r="S1288" s="3"/>
      <c r="V1288" s="4"/>
    </row>
    <row r="1289">
      <c r="H1289" s="4"/>
      <c r="S1289" s="3"/>
      <c r="V1289" s="4"/>
    </row>
    <row r="1290">
      <c r="H1290" s="4"/>
      <c r="S1290" s="3"/>
      <c r="V1290" s="4"/>
    </row>
    <row r="1291">
      <c r="H1291" s="4"/>
      <c r="S1291" s="3"/>
      <c r="V1291" s="4"/>
    </row>
    <row r="1292">
      <c r="H1292" s="4"/>
      <c r="S1292" s="3"/>
      <c r="V1292" s="4"/>
    </row>
    <row r="1293">
      <c r="H1293" s="4"/>
      <c r="S1293" s="3"/>
      <c r="V1293" s="4"/>
    </row>
    <row r="1294">
      <c r="H1294" s="4"/>
      <c r="S1294" s="3"/>
      <c r="V1294" s="4"/>
    </row>
    <row r="1295">
      <c r="H1295" s="4"/>
      <c r="S1295" s="3"/>
      <c r="V1295" s="4"/>
    </row>
    <row r="1296">
      <c r="H1296" s="4"/>
      <c r="S1296" s="3"/>
      <c r="V1296" s="4"/>
    </row>
    <row r="1297">
      <c r="H1297" s="4"/>
      <c r="S1297" s="3"/>
      <c r="V1297" s="4"/>
    </row>
    <row r="1298">
      <c r="H1298" s="4"/>
      <c r="S1298" s="3"/>
      <c r="V1298" s="4"/>
    </row>
    <row r="1299">
      <c r="H1299" s="4"/>
      <c r="S1299" s="3"/>
      <c r="V1299" s="4"/>
    </row>
    <row r="1300">
      <c r="H1300" s="4"/>
      <c r="S1300" s="3"/>
      <c r="V1300" s="4"/>
    </row>
    <row r="1301">
      <c r="H1301" s="4"/>
      <c r="S1301" s="3"/>
      <c r="V1301" s="4"/>
    </row>
    <row r="1302">
      <c r="H1302" s="4"/>
      <c r="S1302" s="3"/>
      <c r="V1302" s="4"/>
    </row>
    <row r="1303">
      <c r="H1303" s="4"/>
      <c r="S1303" s="3"/>
      <c r="V1303" s="4"/>
    </row>
    <row r="1304">
      <c r="H1304" s="4"/>
      <c r="S1304" s="3"/>
      <c r="V1304" s="4"/>
    </row>
    <row r="1305">
      <c r="H1305" s="4"/>
      <c r="S1305" s="3"/>
      <c r="V1305" s="4"/>
    </row>
    <row r="1306">
      <c r="H1306" s="4"/>
      <c r="S1306" s="3"/>
      <c r="V1306" s="4"/>
    </row>
    <row r="1307">
      <c r="H1307" s="4"/>
      <c r="S1307" s="3"/>
      <c r="V1307" s="4"/>
    </row>
    <row r="1308">
      <c r="H1308" s="4"/>
      <c r="S1308" s="3"/>
      <c r="V1308" s="4"/>
    </row>
    <row r="1309">
      <c r="H1309" s="4"/>
      <c r="S1309" s="3"/>
      <c r="V1309" s="4"/>
    </row>
    <row r="1310">
      <c r="H1310" s="4"/>
      <c r="S1310" s="3"/>
      <c r="V1310" s="4"/>
    </row>
    <row r="1311">
      <c r="H1311" s="4"/>
      <c r="S1311" s="3"/>
      <c r="V1311" s="4"/>
    </row>
    <row r="1312">
      <c r="H1312" s="4"/>
      <c r="S1312" s="3"/>
      <c r="V1312" s="4"/>
    </row>
    <row r="1313">
      <c r="H1313" s="4"/>
      <c r="S1313" s="3"/>
      <c r="V1313" s="4"/>
    </row>
    <row r="1314">
      <c r="H1314" s="4"/>
      <c r="S1314" s="3"/>
      <c r="V1314" s="4"/>
    </row>
    <row r="1315">
      <c r="H1315" s="4"/>
      <c r="S1315" s="3"/>
      <c r="V1315" s="4"/>
    </row>
    <row r="1316">
      <c r="H1316" s="4"/>
      <c r="S1316" s="3"/>
      <c r="V1316" s="4"/>
    </row>
    <row r="1317">
      <c r="H1317" s="4"/>
      <c r="S1317" s="3"/>
      <c r="V1317" s="4"/>
    </row>
    <row r="1318">
      <c r="H1318" s="4"/>
      <c r="S1318" s="3"/>
      <c r="V1318" s="4"/>
    </row>
    <row r="1319">
      <c r="H1319" s="4"/>
      <c r="S1319" s="3"/>
      <c r="V1319" s="4"/>
    </row>
    <row r="1320">
      <c r="H1320" s="4"/>
      <c r="S1320" s="3"/>
      <c r="V1320" s="4"/>
    </row>
    <row r="1321">
      <c r="H1321" s="4"/>
      <c r="S1321" s="3"/>
      <c r="V1321" s="4"/>
    </row>
    <row r="1322">
      <c r="H1322" s="4"/>
      <c r="S1322" s="3"/>
      <c r="V1322" s="4"/>
    </row>
    <row r="1323">
      <c r="H1323" s="4"/>
      <c r="S1323" s="3"/>
      <c r="V1323" s="4"/>
    </row>
    <row r="1324">
      <c r="H1324" s="4"/>
      <c r="S1324" s="3"/>
      <c r="V1324" s="4"/>
    </row>
    <row r="1325">
      <c r="H1325" s="4"/>
      <c r="S1325" s="3"/>
      <c r="V1325" s="4"/>
    </row>
    <row r="1326">
      <c r="H1326" s="4"/>
      <c r="S1326" s="3"/>
      <c r="V1326" s="4"/>
    </row>
    <row r="1327">
      <c r="H1327" s="4"/>
      <c r="S1327" s="3"/>
      <c r="V1327" s="4"/>
    </row>
    <row r="1328">
      <c r="H1328" s="4"/>
      <c r="S1328" s="3"/>
      <c r="V1328" s="4"/>
    </row>
    <row r="1329">
      <c r="H1329" s="4"/>
      <c r="S1329" s="3"/>
      <c r="V1329" s="4"/>
    </row>
    <row r="1330">
      <c r="H1330" s="4"/>
      <c r="S1330" s="3"/>
      <c r="V1330" s="4"/>
    </row>
    <row r="1331">
      <c r="H1331" s="4"/>
      <c r="S1331" s="3"/>
      <c r="V1331" s="4"/>
    </row>
    <row r="1332">
      <c r="H1332" s="4"/>
      <c r="S1332" s="3"/>
      <c r="V1332" s="4"/>
    </row>
    <row r="1333">
      <c r="H1333" s="4"/>
      <c r="S1333" s="3"/>
      <c r="V1333" s="4"/>
    </row>
    <row r="1334">
      <c r="H1334" s="4"/>
      <c r="S1334" s="3"/>
      <c r="V1334" s="4"/>
    </row>
    <row r="1335">
      <c r="H1335" s="4"/>
      <c r="S1335" s="3"/>
      <c r="V1335" s="4"/>
    </row>
    <row r="1336">
      <c r="H1336" s="4"/>
      <c r="S1336" s="3"/>
      <c r="V1336" s="4"/>
    </row>
    <row r="1337">
      <c r="H1337" s="4"/>
      <c r="S1337" s="3"/>
      <c r="V1337" s="4"/>
    </row>
    <row r="1338">
      <c r="H1338" s="4"/>
      <c r="S1338" s="3"/>
      <c r="V1338" s="4"/>
    </row>
    <row r="1339">
      <c r="H1339" s="4"/>
      <c r="S1339" s="3"/>
      <c r="V1339" s="4"/>
    </row>
    <row r="1340">
      <c r="H1340" s="4"/>
      <c r="S1340" s="3"/>
      <c r="V1340" s="4"/>
    </row>
    <row r="1341">
      <c r="H1341" s="4"/>
      <c r="S1341" s="3"/>
      <c r="V1341" s="4"/>
    </row>
    <row r="1342">
      <c r="H1342" s="4"/>
      <c r="S1342" s="3"/>
      <c r="V1342" s="4"/>
    </row>
    <row r="1343">
      <c r="H1343" s="4"/>
      <c r="S1343" s="3"/>
      <c r="V1343" s="4"/>
    </row>
    <row r="1344">
      <c r="H1344" s="4"/>
      <c r="S1344" s="3"/>
      <c r="V1344" s="4"/>
    </row>
    <row r="1345">
      <c r="H1345" s="4"/>
      <c r="S1345" s="3"/>
      <c r="V1345" s="4"/>
    </row>
    <row r="1346">
      <c r="H1346" s="4"/>
      <c r="S1346" s="3"/>
      <c r="V1346" s="4"/>
    </row>
    <row r="1347">
      <c r="H1347" s="4"/>
      <c r="S1347" s="3"/>
      <c r="V1347" s="4"/>
    </row>
    <row r="1348">
      <c r="H1348" s="4"/>
      <c r="S1348" s="3"/>
      <c r="V1348" s="4"/>
    </row>
    <row r="1349">
      <c r="H1349" s="4"/>
      <c r="S1349" s="3"/>
      <c r="V1349" s="4"/>
    </row>
    <row r="1350">
      <c r="H1350" s="4"/>
      <c r="S1350" s="3"/>
      <c r="V1350" s="4"/>
    </row>
    <row r="1351">
      <c r="H1351" s="4"/>
      <c r="S1351" s="3"/>
      <c r="V1351" s="4"/>
    </row>
    <row r="1352">
      <c r="H1352" s="4"/>
      <c r="S1352" s="3"/>
      <c r="V1352" s="4"/>
    </row>
    <row r="1353">
      <c r="H1353" s="4"/>
      <c r="S1353" s="3"/>
      <c r="V1353" s="4"/>
    </row>
    <row r="1354">
      <c r="H1354" s="4"/>
      <c r="S1354" s="3"/>
      <c r="V1354" s="4"/>
    </row>
    <row r="1355">
      <c r="H1355" s="4"/>
      <c r="S1355" s="3"/>
      <c r="V1355" s="4"/>
    </row>
    <row r="1356">
      <c r="H1356" s="4"/>
      <c r="S1356" s="3"/>
      <c r="V1356" s="4"/>
    </row>
    <row r="1357">
      <c r="H1357" s="4"/>
      <c r="S1357" s="3"/>
      <c r="V1357" s="4"/>
    </row>
    <row r="1358">
      <c r="H1358" s="4"/>
      <c r="S1358" s="3"/>
      <c r="V1358" s="4"/>
    </row>
    <row r="1359">
      <c r="H1359" s="4"/>
      <c r="S1359" s="3"/>
      <c r="V1359" s="4"/>
    </row>
    <row r="1360">
      <c r="H1360" s="4"/>
      <c r="S1360" s="3"/>
      <c r="V1360" s="4"/>
    </row>
    <row r="1361">
      <c r="H1361" s="4"/>
      <c r="S1361" s="3"/>
      <c r="V1361" s="4"/>
    </row>
    <row r="1362">
      <c r="H1362" s="4"/>
      <c r="S1362" s="3"/>
      <c r="V1362" s="4"/>
    </row>
    <row r="1363">
      <c r="H1363" s="4"/>
      <c r="S1363" s="3"/>
      <c r="V1363" s="4"/>
    </row>
    <row r="1364">
      <c r="H1364" s="4"/>
      <c r="S1364" s="3"/>
      <c r="V1364" s="4"/>
    </row>
    <row r="1365">
      <c r="H1365" s="4"/>
      <c r="S1365" s="3"/>
      <c r="V1365" s="4"/>
    </row>
    <row r="1366">
      <c r="H1366" s="4"/>
      <c r="S1366" s="3"/>
      <c r="V1366" s="4"/>
    </row>
    <row r="1367">
      <c r="H1367" s="4"/>
      <c r="S1367" s="3"/>
      <c r="V1367" s="4"/>
    </row>
    <row r="1368">
      <c r="H1368" s="4"/>
      <c r="S1368" s="3"/>
      <c r="V1368" s="4"/>
    </row>
    <row r="1369">
      <c r="H1369" s="4"/>
      <c r="S1369" s="3"/>
      <c r="V1369" s="4"/>
    </row>
    <row r="1370">
      <c r="H1370" s="4"/>
      <c r="S1370" s="3"/>
      <c r="V1370" s="4"/>
    </row>
    <row r="1371">
      <c r="H1371" s="4"/>
      <c r="S1371" s="3"/>
      <c r="V1371" s="4"/>
    </row>
    <row r="1372">
      <c r="H1372" s="4"/>
      <c r="S1372" s="3"/>
      <c r="V1372" s="4"/>
    </row>
    <row r="1373">
      <c r="H1373" s="4"/>
      <c r="S1373" s="3"/>
      <c r="V1373" s="4"/>
    </row>
    <row r="1374">
      <c r="H1374" s="4"/>
      <c r="S1374" s="3"/>
      <c r="V1374" s="4"/>
    </row>
    <row r="1375">
      <c r="H1375" s="4"/>
      <c r="S1375" s="3"/>
      <c r="V1375" s="4"/>
    </row>
    <row r="1376">
      <c r="H1376" s="4"/>
      <c r="S1376" s="3"/>
      <c r="V1376" s="4"/>
    </row>
    <row r="1377">
      <c r="H1377" s="4"/>
      <c r="S1377" s="3"/>
      <c r="V1377" s="4"/>
    </row>
    <row r="1378">
      <c r="H1378" s="4"/>
      <c r="S1378" s="3"/>
      <c r="V1378" s="4"/>
    </row>
    <row r="1379">
      <c r="H1379" s="4"/>
      <c r="S1379" s="3"/>
      <c r="V1379" s="4"/>
    </row>
    <row r="1380">
      <c r="H1380" s="4"/>
      <c r="S1380" s="3"/>
      <c r="V1380" s="4"/>
    </row>
    <row r="1381">
      <c r="H1381" s="4"/>
      <c r="S1381" s="3"/>
      <c r="V1381" s="4"/>
    </row>
    <row r="1382">
      <c r="H1382" s="4"/>
      <c r="S1382" s="3"/>
      <c r="V1382" s="4"/>
    </row>
    <row r="1383">
      <c r="H1383" s="4"/>
      <c r="S1383" s="3"/>
      <c r="V1383" s="4"/>
    </row>
    <row r="1384">
      <c r="H1384" s="4"/>
      <c r="S1384" s="3"/>
      <c r="V1384" s="4"/>
    </row>
    <row r="1385">
      <c r="H1385" s="4"/>
      <c r="S1385" s="3"/>
      <c r="V1385" s="4"/>
    </row>
    <row r="1386">
      <c r="H1386" s="4"/>
      <c r="S1386" s="3"/>
      <c r="V1386" s="4"/>
    </row>
    <row r="1387">
      <c r="H1387" s="4"/>
      <c r="S1387" s="3"/>
      <c r="V1387" s="4"/>
    </row>
    <row r="1388">
      <c r="H1388" s="4"/>
      <c r="S1388" s="3"/>
      <c r="V1388" s="4"/>
    </row>
    <row r="1389">
      <c r="H1389" s="4"/>
      <c r="S1389" s="3"/>
      <c r="V1389" s="4"/>
    </row>
    <row r="1390">
      <c r="H1390" s="4"/>
      <c r="S1390" s="3"/>
      <c r="V1390" s="4"/>
    </row>
    <row r="1391">
      <c r="H1391" s="4"/>
      <c r="S1391" s="3"/>
      <c r="V1391" s="4"/>
    </row>
    <row r="1392">
      <c r="H1392" s="4"/>
      <c r="S1392" s="3"/>
      <c r="V1392" s="4"/>
    </row>
    <row r="1393">
      <c r="H1393" s="4"/>
      <c r="S1393" s="3"/>
      <c r="V1393" s="4"/>
    </row>
    <row r="1394">
      <c r="H1394" s="4"/>
      <c r="S1394" s="3"/>
      <c r="V1394" s="4"/>
    </row>
    <row r="1395">
      <c r="H1395" s="4"/>
      <c r="S1395" s="3"/>
      <c r="V1395" s="4"/>
    </row>
    <row r="1396">
      <c r="H1396" s="4"/>
      <c r="S1396" s="3"/>
      <c r="V1396" s="4"/>
    </row>
    <row r="1397">
      <c r="H1397" s="4"/>
      <c r="S1397" s="3"/>
      <c r="V1397" s="4"/>
    </row>
    <row r="1398">
      <c r="H1398" s="4"/>
      <c r="S1398" s="3"/>
      <c r="V1398" s="4"/>
    </row>
    <row r="1399">
      <c r="H1399" s="4"/>
      <c r="S1399" s="3"/>
      <c r="V1399" s="4"/>
    </row>
    <row r="1400">
      <c r="H1400" s="4"/>
      <c r="S1400" s="3"/>
      <c r="V1400" s="4"/>
    </row>
    <row r="1401">
      <c r="H1401" s="4"/>
      <c r="S1401" s="3"/>
      <c r="V1401" s="4"/>
    </row>
    <row r="1402">
      <c r="H1402" s="4"/>
      <c r="S1402" s="3"/>
      <c r="V1402" s="4"/>
    </row>
    <row r="1403">
      <c r="H1403" s="4"/>
      <c r="S1403" s="3"/>
      <c r="V1403" s="4"/>
    </row>
    <row r="1404">
      <c r="H1404" s="4"/>
      <c r="S1404" s="3"/>
      <c r="V1404" s="4"/>
    </row>
    <row r="1405">
      <c r="H1405" s="4"/>
      <c r="S1405" s="3"/>
      <c r="V1405" s="4"/>
    </row>
    <row r="1406">
      <c r="H1406" s="4"/>
      <c r="S1406" s="3"/>
      <c r="V1406" s="4"/>
    </row>
    <row r="1407">
      <c r="H1407" s="4"/>
      <c r="S1407" s="3"/>
      <c r="V1407" s="4"/>
    </row>
    <row r="1408">
      <c r="H1408" s="4"/>
      <c r="S1408" s="3"/>
      <c r="V1408" s="4"/>
    </row>
    <row r="1409">
      <c r="H1409" s="4"/>
      <c r="S1409" s="3"/>
      <c r="V1409" s="4"/>
    </row>
    <row r="1410">
      <c r="H1410" s="4"/>
      <c r="S1410" s="3"/>
      <c r="V1410" s="4"/>
    </row>
    <row r="1411">
      <c r="H1411" s="4"/>
      <c r="S1411" s="3"/>
      <c r="V1411" s="4"/>
    </row>
    <row r="1412">
      <c r="H1412" s="4"/>
      <c r="S1412" s="3"/>
      <c r="V1412" s="4"/>
    </row>
    <row r="1413">
      <c r="H1413" s="4"/>
      <c r="S1413" s="3"/>
      <c r="V1413" s="4"/>
    </row>
    <row r="1414">
      <c r="H1414" s="4"/>
      <c r="S1414" s="3"/>
      <c r="V1414" s="4"/>
    </row>
    <row r="1415">
      <c r="H1415" s="4"/>
      <c r="S1415" s="3"/>
      <c r="V1415" s="4"/>
    </row>
    <row r="1416">
      <c r="H1416" s="4"/>
      <c r="S1416" s="3"/>
      <c r="V1416" s="4"/>
    </row>
    <row r="1417">
      <c r="H1417" s="4"/>
      <c r="S1417" s="3"/>
      <c r="V1417" s="4"/>
    </row>
    <row r="1418">
      <c r="H1418" s="4"/>
      <c r="S1418" s="3"/>
      <c r="V1418" s="4"/>
    </row>
    <row r="1419">
      <c r="H1419" s="4"/>
      <c r="S1419" s="3"/>
      <c r="V1419" s="4"/>
    </row>
    <row r="1420">
      <c r="H1420" s="4"/>
      <c r="S1420" s="3"/>
      <c r="V1420" s="4"/>
    </row>
    <row r="1421">
      <c r="H1421" s="4"/>
      <c r="S1421" s="3"/>
      <c r="V1421" s="4"/>
    </row>
    <row r="1422">
      <c r="H1422" s="4"/>
      <c r="S1422" s="3"/>
      <c r="V1422" s="4"/>
    </row>
    <row r="1423">
      <c r="H1423" s="4"/>
      <c r="S1423" s="3"/>
      <c r="V1423" s="4"/>
    </row>
    <row r="1424">
      <c r="H1424" s="4"/>
      <c r="S1424" s="3"/>
      <c r="V1424" s="4"/>
    </row>
    <row r="1425">
      <c r="H1425" s="4"/>
      <c r="S1425" s="3"/>
      <c r="V1425" s="4"/>
    </row>
    <row r="1426">
      <c r="H1426" s="4"/>
      <c r="S1426" s="3"/>
      <c r="V1426" s="4"/>
    </row>
    <row r="1427">
      <c r="H1427" s="4"/>
      <c r="S1427" s="3"/>
      <c r="V1427" s="4"/>
    </row>
    <row r="1428">
      <c r="H1428" s="4"/>
      <c r="S1428" s="3"/>
      <c r="V1428" s="4"/>
    </row>
    <row r="1429">
      <c r="H1429" s="4"/>
      <c r="S1429" s="3"/>
      <c r="V1429" s="4"/>
    </row>
    <row r="1430">
      <c r="H1430" s="4"/>
      <c r="S1430" s="3"/>
      <c r="V1430" s="4"/>
    </row>
    <row r="1431">
      <c r="H1431" s="4"/>
      <c r="S1431" s="3"/>
      <c r="V1431" s="4"/>
    </row>
    <row r="1432">
      <c r="H1432" s="4"/>
      <c r="S1432" s="3"/>
      <c r="V1432" s="4"/>
    </row>
    <row r="1433">
      <c r="H1433" s="4"/>
      <c r="S1433" s="3"/>
      <c r="V1433" s="4"/>
    </row>
    <row r="1434">
      <c r="H1434" s="4"/>
      <c r="S1434" s="3"/>
      <c r="V1434" s="4"/>
    </row>
    <row r="1435">
      <c r="H1435" s="4"/>
      <c r="S1435" s="3"/>
      <c r="V1435" s="4"/>
    </row>
    <row r="1436">
      <c r="H1436" s="4"/>
      <c r="S1436" s="3"/>
      <c r="V1436" s="4"/>
    </row>
    <row r="1437">
      <c r="H1437" s="4"/>
      <c r="S1437" s="3"/>
      <c r="V1437" s="4"/>
    </row>
    <row r="1438">
      <c r="H1438" s="4"/>
      <c r="S1438" s="3"/>
      <c r="V1438" s="4"/>
    </row>
    <row r="1439">
      <c r="H1439" s="4"/>
      <c r="S1439" s="3"/>
      <c r="V1439" s="4"/>
    </row>
    <row r="1440">
      <c r="H1440" s="4"/>
      <c r="S1440" s="3"/>
      <c r="V1440" s="4"/>
    </row>
    <row r="1441">
      <c r="H1441" s="4"/>
      <c r="S1441" s="3"/>
      <c r="V1441" s="4"/>
    </row>
    <row r="1442">
      <c r="H1442" s="4"/>
      <c r="S1442" s="3"/>
      <c r="V1442" s="4"/>
    </row>
    <row r="1443">
      <c r="H1443" s="4"/>
      <c r="S1443" s="3"/>
      <c r="V1443" s="4"/>
    </row>
    <row r="1444">
      <c r="H1444" s="4"/>
      <c r="S1444" s="3"/>
      <c r="V1444" s="4"/>
    </row>
    <row r="1445">
      <c r="H1445" s="4"/>
      <c r="S1445" s="3"/>
      <c r="V1445" s="4"/>
    </row>
    <row r="1446">
      <c r="H1446" s="4"/>
      <c r="S1446" s="3"/>
      <c r="V1446" s="4"/>
    </row>
    <row r="1447">
      <c r="H1447" s="4"/>
      <c r="S1447" s="3"/>
      <c r="V1447" s="4"/>
    </row>
    <row r="1448">
      <c r="H1448" s="4"/>
      <c r="S1448" s="3"/>
      <c r="V1448" s="4"/>
    </row>
    <row r="1449">
      <c r="H1449" s="4"/>
      <c r="S1449" s="3"/>
      <c r="V1449" s="4"/>
    </row>
    <row r="1450">
      <c r="H1450" s="4"/>
      <c r="S1450" s="3"/>
      <c r="V1450" s="4"/>
    </row>
    <row r="1451">
      <c r="H1451" s="4"/>
      <c r="S1451" s="3"/>
      <c r="V1451" s="4"/>
    </row>
    <row r="1452">
      <c r="H1452" s="4"/>
      <c r="S1452" s="3"/>
      <c r="V1452" s="4"/>
    </row>
    <row r="1453">
      <c r="H1453" s="4"/>
      <c r="S1453" s="3"/>
      <c r="V1453" s="4"/>
    </row>
    <row r="1454">
      <c r="H1454" s="4"/>
      <c r="S1454" s="3"/>
      <c r="V1454" s="4"/>
    </row>
    <row r="1455">
      <c r="H1455" s="4"/>
      <c r="S1455" s="3"/>
      <c r="V1455" s="4"/>
    </row>
    <row r="1456">
      <c r="H1456" s="4"/>
      <c r="S1456" s="3"/>
      <c r="V1456" s="4"/>
    </row>
    <row r="1457">
      <c r="H1457" s="4"/>
      <c r="S1457" s="3"/>
      <c r="V1457" s="4"/>
    </row>
    <row r="1458">
      <c r="H1458" s="4"/>
      <c r="S1458" s="3"/>
      <c r="V1458" s="4"/>
    </row>
    <row r="1459">
      <c r="H1459" s="4"/>
      <c r="S1459" s="3"/>
      <c r="V1459" s="4"/>
    </row>
    <row r="1460">
      <c r="H1460" s="4"/>
      <c r="S1460" s="3"/>
      <c r="V1460" s="4"/>
    </row>
    <row r="1461">
      <c r="H1461" s="4"/>
      <c r="S1461" s="3"/>
      <c r="V1461" s="4"/>
    </row>
    <row r="1462">
      <c r="H1462" s="4"/>
      <c r="S1462" s="3"/>
      <c r="V1462" s="4"/>
    </row>
    <row r="1463">
      <c r="H1463" s="4"/>
      <c r="S1463" s="3"/>
      <c r="V1463" s="4"/>
    </row>
    <row r="1464">
      <c r="H1464" s="4"/>
      <c r="S1464" s="3"/>
      <c r="V1464" s="4"/>
    </row>
    <row r="1465">
      <c r="H1465" s="4"/>
      <c r="S1465" s="3"/>
      <c r="V1465" s="4"/>
    </row>
    <row r="1466">
      <c r="H1466" s="4"/>
      <c r="S1466" s="3"/>
      <c r="V1466" s="4"/>
    </row>
    <row r="1467">
      <c r="H1467" s="4"/>
      <c r="S1467" s="3"/>
      <c r="V1467" s="4"/>
    </row>
    <row r="1468">
      <c r="H1468" s="4"/>
      <c r="S1468" s="3"/>
      <c r="V1468" s="4"/>
    </row>
    <row r="1469">
      <c r="H1469" s="4"/>
      <c r="S1469" s="3"/>
      <c r="V1469" s="4"/>
    </row>
    <row r="1470">
      <c r="H1470" s="4"/>
      <c r="S1470" s="3"/>
      <c r="V1470" s="4"/>
    </row>
    <row r="1471">
      <c r="H1471" s="4"/>
      <c r="S1471" s="3"/>
      <c r="V1471" s="4"/>
    </row>
    <row r="1472">
      <c r="H1472" s="4"/>
      <c r="S1472" s="3"/>
      <c r="V1472" s="4"/>
    </row>
    <row r="1473">
      <c r="H1473" s="4"/>
      <c r="S1473" s="3"/>
      <c r="V1473" s="4"/>
    </row>
    <row r="1474">
      <c r="H1474" s="4"/>
      <c r="S1474" s="3"/>
      <c r="V1474" s="4"/>
    </row>
    <row r="1475">
      <c r="H1475" s="4"/>
      <c r="S1475" s="3"/>
      <c r="V1475" s="4"/>
    </row>
    <row r="1476">
      <c r="H1476" s="4"/>
      <c r="S1476" s="3"/>
      <c r="V1476" s="4"/>
    </row>
    <row r="1477">
      <c r="H1477" s="4"/>
      <c r="S1477" s="3"/>
      <c r="V1477" s="4"/>
    </row>
    <row r="1478">
      <c r="H1478" s="4"/>
      <c r="S1478" s="3"/>
      <c r="V1478" s="4"/>
    </row>
    <row r="1479">
      <c r="H1479" s="4"/>
      <c r="S1479" s="3"/>
      <c r="V1479" s="4"/>
    </row>
    <row r="1480">
      <c r="H1480" s="4"/>
      <c r="S1480" s="3"/>
      <c r="V1480" s="4"/>
    </row>
    <row r="1481">
      <c r="H1481" s="4"/>
      <c r="S1481" s="3"/>
      <c r="V1481" s="4"/>
    </row>
    <row r="1482">
      <c r="H1482" s="4"/>
      <c r="S1482" s="3"/>
      <c r="V1482" s="4"/>
    </row>
    <row r="1483">
      <c r="H1483" s="4"/>
      <c r="S1483" s="3"/>
      <c r="V1483" s="4"/>
    </row>
    <row r="1484">
      <c r="H1484" s="4"/>
      <c r="S1484" s="3"/>
      <c r="V1484" s="4"/>
    </row>
    <row r="1485">
      <c r="H1485" s="4"/>
      <c r="S1485" s="3"/>
      <c r="V1485" s="4"/>
    </row>
    <row r="1486">
      <c r="H1486" s="4"/>
      <c r="S1486" s="3"/>
      <c r="V1486" s="4"/>
    </row>
    <row r="1487">
      <c r="H1487" s="4"/>
      <c r="S1487" s="3"/>
      <c r="V1487" s="4"/>
    </row>
    <row r="1488">
      <c r="H1488" s="4"/>
      <c r="S1488" s="3"/>
      <c r="V1488" s="4"/>
    </row>
    <row r="1489">
      <c r="H1489" s="4"/>
      <c r="S1489" s="3"/>
      <c r="V1489" s="4"/>
    </row>
    <row r="1490">
      <c r="H1490" s="4"/>
      <c r="S1490" s="3"/>
      <c r="V1490" s="4"/>
    </row>
    <row r="1491">
      <c r="H1491" s="4"/>
      <c r="S1491" s="3"/>
      <c r="V1491" s="4"/>
    </row>
    <row r="1492">
      <c r="H1492" s="4"/>
      <c r="S1492" s="3"/>
      <c r="V1492" s="4"/>
    </row>
    <row r="1493">
      <c r="H1493" s="4"/>
      <c r="S1493" s="3"/>
      <c r="V1493" s="4"/>
    </row>
    <row r="1494">
      <c r="H1494" s="4"/>
      <c r="S1494" s="3"/>
      <c r="V1494" s="4"/>
    </row>
    <row r="1495">
      <c r="H1495" s="4"/>
      <c r="S1495" s="3"/>
      <c r="V1495" s="4"/>
    </row>
    <row r="1496">
      <c r="H1496" s="4"/>
      <c r="S1496" s="3"/>
      <c r="V1496" s="4"/>
    </row>
    <row r="1497">
      <c r="H1497" s="4"/>
      <c r="S1497" s="3"/>
      <c r="V1497" s="4"/>
    </row>
    <row r="1498">
      <c r="H1498" s="4"/>
      <c r="S1498" s="3"/>
      <c r="V1498" s="4"/>
    </row>
    <row r="1499">
      <c r="H1499" s="4"/>
      <c r="S1499" s="3"/>
      <c r="V1499" s="4"/>
    </row>
    <row r="1500">
      <c r="H1500" s="4"/>
      <c r="S1500" s="3"/>
      <c r="V1500" s="4"/>
    </row>
    <row r="1501">
      <c r="H1501" s="4"/>
      <c r="S1501" s="3"/>
      <c r="V1501" s="4"/>
    </row>
    <row r="1502">
      <c r="H1502" s="4"/>
      <c r="S1502" s="3"/>
      <c r="V1502" s="4"/>
    </row>
    <row r="1503">
      <c r="H1503" s="4"/>
      <c r="S1503" s="3"/>
      <c r="V1503" s="4"/>
    </row>
    <row r="1504">
      <c r="H1504" s="4"/>
      <c r="S1504" s="3"/>
      <c r="V1504" s="4"/>
    </row>
    <row r="1505">
      <c r="H1505" s="4"/>
      <c r="S1505" s="3"/>
      <c r="V1505" s="4"/>
    </row>
    <row r="1506">
      <c r="H1506" s="4"/>
      <c r="S1506" s="3"/>
      <c r="V1506" s="4"/>
    </row>
    <row r="1507">
      <c r="H1507" s="4"/>
      <c r="S1507" s="3"/>
      <c r="V1507" s="4"/>
    </row>
    <row r="1508">
      <c r="H1508" s="4"/>
      <c r="S1508" s="3"/>
      <c r="V1508" s="4"/>
    </row>
    <row r="1509">
      <c r="H1509" s="4"/>
      <c r="S1509" s="3"/>
      <c r="V1509" s="4"/>
    </row>
    <row r="1510">
      <c r="H1510" s="4"/>
      <c r="S1510" s="3"/>
      <c r="V1510" s="4"/>
    </row>
    <row r="1511">
      <c r="H1511" s="4"/>
      <c r="S1511" s="3"/>
      <c r="V1511" s="4"/>
    </row>
    <row r="1512">
      <c r="H1512" s="4"/>
      <c r="S1512" s="3"/>
      <c r="V1512" s="4"/>
    </row>
    <row r="1513">
      <c r="H1513" s="4"/>
      <c r="S1513" s="3"/>
      <c r="V1513" s="4"/>
    </row>
    <row r="1514">
      <c r="H1514" s="4"/>
      <c r="S1514" s="3"/>
      <c r="V1514" s="4"/>
    </row>
    <row r="1515">
      <c r="H1515" s="4"/>
      <c r="S1515" s="3"/>
      <c r="V1515" s="4"/>
    </row>
    <row r="1516">
      <c r="H1516" s="4"/>
      <c r="S1516" s="3"/>
      <c r="V1516" s="4"/>
    </row>
    <row r="1517">
      <c r="H1517" s="4"/>
      <c r="S1517" s="3"/>
      <c r="V1517" s="4"/>
    </row>
    <row r="1518">
      <c r="H1518" s="4"/>
      <c r="S1518" s="3"/>
      <c r="V1518" s="4"/>
    </row>
    <row r="1519">
      <c r="H1519" s="4"/>
      <c r="S1519" s="3"/>
      <c r="V1519" s="4"/>
    </row>
    <row r="1520">
      <c r="H1520" s="4"/>
      <c r="S1520" s="3"/>
      <c r="V1520" s="4"/>
    </row>
    <row r="1521">
      <c r="H1521" s="4"/>
      <c r="S1521" s="3"/>
      <c r="V1521" s="4"/>
    </row>
    <row r="1522">
      <c r="H1522" s="4"/>
      <c r="S1522" s="3"/>
      <c r="V1522" s="4"/>
    </row>
    <row r="1523">
      <c r="H1523" s="4"/>
      <c r="S1523" s="3"/>
      <c r="V1523" s="4"/>
    </row>
    <row r="1524">
      <c r="H1524" s="4"/>
      <c r="S1524" s="3"/>
      <c r="V1524" s="4"/>
    </row>
    <row r="1525">
      <c r="H1525" s="4"/>
      <c r="S1525" s="3"/>
      <c r="V1525" s="4"/>
    </row>
    <row r="1526">
      <c r="H1526" s="4"/>
      <c r="S1526" s="3"/>
      <c r="V1526" s="4"/>
    </row>
    <row r="1527">
      <c r="H1527" s="4"/>
      <c r="S1527" s="3"/>
      <c r="V1527" s="4"/>
    </row>
    <row r="1528">
      <c r="H1528" s="4"/>
      <c r="S1528" s="3"/>
      <c r="V1528" s="4"/>
    </row>
    <row r="1529">
      <c r="H1529" s="4"/>
      <c r="S1529" s="3"/>
      <c r="V1529" s="4"/>
    </row>
    <row r="1530">
      <c r="H1530" s="4"/>
      <c r="S1530" s="3"/>
      <c r="V1530" s="4"/>
    </row>
    <row r="1531">
      <c r="H1531" s="4"/>
      <c r="S1531" s="3"/>
      <c r="V1531" s="4"/>
    </row>
    <row r="1532">
      <c r="H1532" s="4"/>
      <c r="S1532" s="3"/>
      <c r="V1532" s="4"/>
    </row>
    <row r="1533">
      <c r="H1533" s="4"/>
      <c r="S1533" s="3"/>
      <c r="V1533" s="4"/>
    </row>
    <row r="1534">
      <c r="H1534" s="4"/>
      <c r="S1534" s="3"/>
      <c r="V1534" s="4"/>
    </row>
    <row r="1535">
      <c r="H1535" s="4"/>
      <c r="S1535" s="3"/>
      <c r="V1535" s="4"/>
    </row>
    <row r="1536">
      <c r="H1536" s="4"/>
      <c r="S1536" s="3"/>
      <c r="V1536" s="4"/>
    </row>
    <row r="1537">
      <c r="H1537" s="4"/>
      <c r="S1537" s="3"/>
      <c r="V1537" s="4"/>
    </row>
    <row r="1538">
      <c r="H1538" s="4"/>
      <c r="S1538" s="3"/>
      <c r="V1538" s="4"/>
    </row>
    <row r="1539">
      <c r="H1539" s="4"/>
      <c r="S1539" s="3"/>
      <c r="V1539" s="4"/>
    </row>
    <row r="1540">
      <c r="H1540" s="4"/>
      <c r="S1540" s="3"/>
      <c r="V1540" s="4"/>
    </row>
    <row r="1541">
      <c r="H1541" s="4"/>
      <c r="S1541" s="3"/>
      <c r="V1541" s="4"/>
    </row>
    <row r="1542">
      <c r="H1542" s="4"/>
      <c r="S1542" s="3"/>
      <c r="V1542" s="4"/>
    </row>
    <row r="1543">
      <c r="H1543" s="4"/>
      <c r="S1543" s="3"/>
      <c r="V1543" s="4"/>
    </row>
    <row r="1544">
      <c r="H1544" s="4"/>
      <c r="S1544" s="3"/>
      <c r="V1544" s="4"/>
    </row>
    <row r="1545">
      <c r="H1545" s="4"/>
      <c r="S1545" s="3"/>
      <c r="V1545" s="4"/>
    </row>
    <row r="1546">
      <c r="H1546" s="4"/>
      <c r="S1546" s="3"/>
      <c r="V1546" s="4"/>
    </row>
    <row r="1547">
      <c r="H1547" s="4"/>
      <c r="S1547" s="3"/>
      <c r="V1547" s="4"/>
    </row>
    <row r="1548">
      <c r="H1548" s="4"/>
      <c r="S1548" s="3"/>
      <c r="V1548" s="4"/>
    </row>
    <row r="1549">
      <c r="H1549" s="4"/>
      <c r="S1549" s="3"/>
      <c r="V1549" s="4"/>
    </row>
    <row r="1550">
      <c r="H1550" s="4"/>
      <c r="S1550" s="3"/>
      <c r="V1550" s="4"/>
    </row>
    <row r="1551">
      <c r="H1551" s="4"/>
      <c r="S1551" s="3"/>
      <c r="V1551" s="4"/>
    </row>
    <row r="1552">
      <c r="H1552" s="4"/>
      <c r="S1552" s="3"/>
      <c r="V1552" s="4"/>
    </row>
    <row r="1553">
      <c r="H1553" s="4"/>
      <c r="S1553" s="3"/>
      <c r="V1553" s="4"/>
    </row>
    <row r="1554">
      <c r="H1554" s="4"/>
      <c r="S1554" s="3"/>
      <c r="V1554" s="4"/>
    </row>
    <row r="1555">
      <c r="H1555" s="4"/>
      <c r="S1555" s="3"/>
      <c r="V1555" s="4"/>
    </row>
    <row r="1556">
      <c r="H1556" s="4"/>
      <c r="S1556" s="3"/>
      <c r="V1556" s="4"/>
    </row>
    <row r="1557">
      <c r="H1557" s="4"/>
      <c r="S1557" s="3"/>
      <c r="V1557" s="4"/>
    </row>
    <row r="1558">
      <c r="H1558" s="4"/>
      <c r="S1558" s="3"/>
      <c r="V1558" s="4"/>
    </row>
    <row r="1559">
      <c r="H1559" s="4"/>
      <c r="S1559" s="3"/>
      <c r="V1559" s="4"/>
    </row>
    <row r="1560">
      <c r="H1560" s="4"/>
      <c r="S1560" s="3"/>
      <c r="V1560" s="4"/>
    </row>
    <row r="1561">
      <c r="H1561" s="4"/>
      <c r="S1561" s="3"/>
      <c r="V1561" s="4"/>
    </row>
    <row r="1562">
      <c r="H1562" s="4"/>
      <c r="S1562" s="3"/>
      <c r="V1562" s="4"/>
    </row>
    <row r="1563">
      <c r="H1563" s="4"/>
      <c r="S1563" s="3"/>
      <c r="V1563" s="4"/>
    </row>
    <row r="1564">
      <c r="H1564" s="4"/>
      <c r="S1564" s="3"/>
      <c r="V1564" s="4"/>
    </row>
    <row r="1565">
      <c r="H1565" s="4"/>
      <c r="S1565" s="3"/>
      <c r="V1565" s="4"/>
    </row>
    <row r="1566">
      <c r="H1566" s="4"/>
      <c r="S1566" s="3"/>
      <c r="V1566" s="4"/>
    </row>
    <row r="1567">
      <c r="H1567" s="4"/>
      <c r="S1567" s="3"/>
      <c r="V1567" s="4"/>
    </row>
    <row r="1568">
      <c r="H1568" s="4"/>
      <c r="S1568" s="3"/>
      <c r="V1568" s="4"/>
    </row>
    <row r="1569">
      <c r="H1569" s="4"/>
      <c r="S1569" s="3"/>
      <c r="V1569" s="4"/>
    </row>
    <row r="1570">
      <c r="H1570" s="4"/>
      <c r="S1570" s="3"/>
      <c r="V1570" s="4"/>
    </row>
    <row r="1571">
      <c r="H1571" s="4"/>
      <c r="S1571" s="3"/>
      <c r="V1571" s="4"/>
    </row>
    <row r="1572">
      <c r="H1572" s="4"/>
      <c r="S1572" s="3"/>
      <c r="V1572" s="4"/>
    </row>
    <row r="1573">
      <c r="H1573" s="4"/>
      <c r="S1573" s="3"/>
      <c r="V1573" s="4"/>
    </row>
    <row r="1574">
      <c r="H1574" s="4"/>
      <c r="S1574" s="3"/>
      <c r="V1574" s="4"/>
    </row>
    <row r="1575">
      <c r="H1575" s="4"/>
      <c r="S1575" s="3"/>
      <c r="V1575" s="4"/>
    </row>
    <row r="1576">
      <c r="H1576" s="4"/>
      <c r="S1576" s="3"/>
      <c r="V1576" s="4"/>
    </row>
    <row r="1577">
      <c r="H1577" s="4"/>
      <c r="S1577" s="3"/>
      <c r="V1577" s="4"/>
    </row>
    <row r="1578">
      <c r="H1578" s="4"/>
      <c r="S1578" s="3"/>
      <c r="V1578" s="4"/>
    </row>
    <row r="1579">
      <c r="H1579" s="4"/>
      <c r="S1579" s="3"/>
      <c r="V1579" s="4"/>
    </row>
    <row r="1580">
      <c r="H1580" s="4"/>
      <c r="S1580" s="3"/>
      <c r="V1580" s="4"/>
    </row>
    <row r="1581">
      <c r="H1581" s="4"/>
      <c r="S1581" s="3"/>
      <c r="V1581" s="4"/>
    </row>
    <row r="1582">
      <c r="H1582" s="4"/>
      <c r="S1582" s="3"/>
      <c r="V1582" s="4"/>
    </row>
    <row r="1583">
      <c r="H1583" s="4"/>
      <c r="S1583" s="3"/>
      <c r="V1583" s="4"/>
    </row>
    <row r="1584">
      <c r="H1584" s="4"/>
      <c r="S1584" s="3"/>
      <c r="V1584" s="4"/>
    </row>
    <row r="1585">
      <c r="H1585" s="4"/>
      <c r="S1585" s="3"/>
      <c r="V1585" s="4"/>
    </row>
    <row r="1586">
      <c r="H1586" s="4"/>
      <c r="S1586" s="3"/>
      <c r="V1586" s="4"/>
    </row>
    <row r="1587">
      <c r="H1587" s="4"/>
      <c r="S1587" s="3"/>
      <c r="V1587" s="4"/>
    </row>
    <row r="1588">
      <c r="H1588" s="4"/>
      <c r="S1588" s="3"/>
      <c r="V1588" s="4"/>
    </row>
    <row r="1589">
      <c r="H1589" s="4"/>
      <c r="S1589" s="3"/>
      <c r="V1589" s="4"/>
    </row>
    <row r="1590">
      <c r="H1590" s="4"/>
      <c r="S1590" s="3"/>
      <c r="V1590" s="4"/>
    </row>
    <row r="1591">
      <c r="H1591" s="4"/>
      <c r="S1591" s="3"/>
      <c r="V1591" s="4"/>
    </row>
    <row r="1592">
      <c r="H1592" s="4"/>
      <c r="S1592" s="3"/>
      <c r="V1592" s="4"/>
    </row>
    <row r="1593">
      <c r="H1593" s="4"/>
      <c r="S1593" s="3"/>
      <c r="V1593" s="4"/>
    </row>
    <row r="1594">
      <c r="H1594" s="4"/>
      <c r="S1594" s="3"/>
      <c r="V1594" s="4"/>
    </row>
    <row r="1595">
      <c r="H1595" s="4"/>
      <c r="S1595" s="3"/>
      <c r="V1595" s="4"/>
    </row>
    <row r="1596">
      <c r="H1596" s="4"/>
      <c r="S1596" s="3"/>
      <c r="V1596" s="4"/>
    </row>
    <row r="1597">
      <c r="H1597" s="4"/>
      <c r="S1597" s="3"/>
      <c r="V1597" s="4"/>
    </row>
    <row r="1598">
      <c r="H1598" s="4"/>
      <c r="S1598" s="3"/>
      <c r="V1598" s="4"/>
    </row>
    <row r="1599">
      <c r="H1599" s="4"/>
      <c r="S1599" s="3"/>
      <c r="V1599" s="4"/>
    </row>
    <row r="1600">
      <c r="H1600" s="4"/>
      <c r="S1600" s="3"/>
      <c r="V1600" s="4"/>
    </row>
    <row r="1601">
      <c r="H1601" s="4"/>
      <c r="S1601" s="3"/>
      <c r="V1601" s="4"/>
    </row>
    <row r="1602">
      <c r="H1602" s="4"/>
      <c r="S1602" s="3"/>
      <c r="V1602" s="4"/>
    </row>
    <row r="1603">
      <c r="H1603" s="4"/>
      <c r="S1603" s="3"/>
      <c r="V1603" s="4"/>
    </row>
    <row r="1604">
      <c r="H1604" s="4"/>
      <c r="S1604" s="3"/>
      <c r="V1604" s="4"/>
    </row>
    <row r="1605">
      <c r="H1605" s="4"/>
      <c r="S1605" s="3"/>
      <c r="V1605" s="4"/>
    </row>
    <row r="1606">
      <c r="H1606" s="4"/>
      <c r="S1606" s="3"/>
      <c r="V1606" s="4"/>
    </row>
    <row r="1607">
      <c r="H1607" s="4"/>
      <c r="S1607" s="3"/>
      <c r="V1607" s="4"/>
    </row>
    <row r="1608">
      <c r="H1608" s="4"/>
      <c r="S1608" s="3"/>
      <c r="V1608" s="4"/>
    </row>
    <row r="1609">
      <c r="H1609" s="4"/>
      <c r="S1609" s="3"/>
      <c r="V1609" s="4"/>
    </row>
    <row r="1610">
      <c r="H1610" s="4"/>
      <c r="S1610" s="3"/>
      <c r="V1610" s="4"/>
    </row>
    <row r="1611">
      <c r="H1611" s="4"/>
      <c r="S1611" s="3"/>
      <c r="V1611" s="4"/>
    </row>
    <row r="1612">
      <c r="H1612" s="4"/>
      <c r="S1612" s="3"/>
      <c r="V1612" s="4"/>
    </row>
    <row r="1613">
      <c r="H1613" s="4"/>
      <c r="S1613" s="3"/>
      <c r="V1613" s="4"/>
    </row>
    <row r="1614">
      <c r="H1614" s="4"/>
      <c r="S1614" s="3"/>
      <c r="V1614" s="4"/>
    </row>
    <row r="1615">
      <c r="H1615" s="4"/>
      <c r="S1615" s="3"/>
      <c r="V1615" s="4"/>
    </row>
    <row r="1616">
      <c r="H1616" s="4"/>
      <c r="S1616" s="3"/>
      <c r="V1616" s="4"/>
    </row>
    <row r="1617">
      <c r="H1617" s="4"/>
      <c r="S1617" s="3"/>
      <c r="V1617" s="4"/>
    </row>
    <row r="1618">
      <c r="H1618" s="4"/>
      <c r="S1618" s="3"/>
      <c r="V1618" s="4"/>
    </row>
    <row r="1619">
      <c r="H1619" s="4"/>
      <c r="S1619" s="3"/>
      <c r="V1619" s="4"/>
    </row>
    <row r="1620">
      <c r="H1620" s="4"/>
      <c r="S1620" s="3"/>
      <c r="V1620" s="4"/>
    </row>
    <row r="1621">
      <c r="H1621" s="4"/>
      <c r="S1621" s="3"/>
      <c r="V1621" s="4"/>
    </row>
    <row r="1622">
      <c r="H1622" s="4"/>
      <c r="S1622" s="3"/>
      <c r="V1622" s="4"/>
    </row>
    <row r="1623">
      <c r="H1623" s="4"/>
      <c r="S1623" s="3"/>
      <c r="V1623" s="4"/>
    </row>
    <row r="1624">
      <c r="H1624" s="4"/>
      <c r="S1624" s="3"/>
      <c r="V1624" s="4"/>
    </row>
    <row r="1625">
      <c r="H1625" s="4"/>
      <c r="S1625" s="3"/>
      <c r="V1625" s="4"/>
    </row>
    <row r="1626">
      <c r="H1626" s="4"/>
      <c r="S1626" s="3"/>
      <c r="V1626" s="4"/>
    </row>
    <row r="1627">
      <c r="H1627" s="4"/>
      <c r="S1627" s="3"/>
      <c r="V1627" s="4"/>
    </row>
    <row r="1628">
      <c r="H1628" s="4"/>
      <c r="S1628" s="3"/>
      <c r="V1628" s="4"/>
    </row>
    <row r="1629">
      <c r="H1629" s="4"/>
      <c r="S1629" s="3"/>
      <c r="V1629" s="4"/>
    </row>
    <row r="1630">
      <c r="H1630" s="4"/>
      <c r="S1630" s="3"/>
      <c r="V1630" s="4"/>
    </row>
    <row r="1631">
      <c r="H1631" s="4"/>
      <c r="S1631" s="3"/>
      <c r="V1631" s="4"/>
    </row>
    <row r="1632">
      <c r="H1632" s="4"/>
      <c r="S1632" s="3"/>
      <c r="V1632" s="4"/>
    </row>
    <row r="1633">
      <c r="H1633" s="4"/>
      <c r="S1633" s="3"/>
      <c r="V1633" s="4"/>
    </row>
    <row r="1634">
      <c r="H1634" s="4"/>
      <c r="S1634" s="3"/>
      <c r="V1634" s="4"/>
    </row>
    <row r="1635">
      <c r="H1635" s="4"/>
      <c r="S1635" s="3"/>
      <c r="V1635" s="4"/>
    </row>
    <row r="1636">
      <c r="H1636" s="4"/>
      <c r="S1636" s="3"/>
      <c r="V1636" s="4"/>
    </row>
    <row r="1637">
      <c r="H1637" s="4"/>
      <c r="S1637" s="3"/>
      <c r="V1637" s="4"/>
    </row>
    <row r="1638">
      <c r="H1638" s="4"/>
      <c r="S1638" s="3"/>
      <c r="V1638" s="4"/>
    </row>
    <row r="1639">
      <c r="H1639" s="4"/>
      <c r="S1639" s="3"/>
      <c r="V1639" s="4"/>
    </row>
    <row r="1640">
      <c r="H1640" s="4"/>
      <c r="S1640" s="3"/>
      <c r="V1640" s="4"/>
    </row>
    <row r="1641">
      <c r="H1641" s="4"/>
      <c r="S1641" s="3"/>
      <c r="V1641" s="4"/>
    </row>
    <row r="1642">
      <c r="H1642" s="4"/>
      <c r="S1642" s="3"/>
      <c r="V1642" s="4"/>
    </row>
    <row r="1643">
      <c r="H1643" s="4"/>
      <c r="S1643" s="3"/>
      <c r="V1643" s="4"/>
    </row>
    <row r="1644">
      <c r="H1644" s="4"/>
      <c r="S1644" s="3"/>
      <c r="V1644" s="4"/>
    </row>
    <row r="1645">
      <c r="H1645" s="4"/>
      <c r="S1645" s="3"/>
      <c r="V1645" s="4"/>
    </row>
    <row r="1646">
      <c r="H1646" s="4"/>
      <c r="S1646" s="3"/>
      <c r="V1646" s="4"/>
    </row>
    <row r="1647">
      <c r="H1647" s="4"/>
      <c r="S1647" s="3"/>
      <c r="V1647" s="4"/>
    </row>
    <row r="1648">
      <c r="H1648" s="4"/>
      <c r="S1648" s="3"/>
      <c r="V1648" s="4"/>
    </row>
    <row r="1649">
      <c r="H1649" s="4"/>
      <c r="S1649" s="3"/>
      <c r="V1649" s="4"/>
    </row>
    <row r="1650">
      <c r="H1650" s="4"/>
      <c r="S1650" s="3"/>
      <c r="V1650" s="4"/>
    </row>
    <row r="1651">
      <c r="H1651" s="4"/>
      <c r="S1651" s="3"/>
      <c r="V1651" s="4"/>
    </row>
    <row r="1652">
      <c r="H1652" s="4"/>
      <c r="S1652" s="3"/>
      <c r="V1652" s="4"/>
    </row>
    <row r="1653">
      <c r="H1653" s="4"/>
      <c r="S1653" s="3"/>
      <c r="V1653" s="4"/>
    </row>
    <row r="1654">
      <c r="H1654" s="4"/>
      <c r="S1654" s="3"/>
      <c r="V1654" s="4"/>
    </row>
    <row r="1655">
      <c r="H1655" s="4"/>
      <c r="S1655" s="3"/>
      <c r="V1655" s="4"/>
    </row>
    <row r="1656">
      <c r="H1656" s="4"/>
      <c r="S1656" s="3"/>
      <c r="V1656" s="4"/>
    </row>
    <row r="1657">
      <c r="H1657" s="4"/>
      <c r="S1657" s="3"/>
      <c r="V1657" s="4"/>
    </row>
    <row r="1658">
      <c r="H1658" s="4"/>
      <c r="S1658" s="3"/>
      <c r="V1658" s="4"/>
    </row>
    <row r="1659">
      <c r="H1659" s="4"/>
      <c r="S1659" s="3"/>
      <c r="V1659" s="4"/>
    </row>
    <row r="1660">
      <c r="H1660" s="4"/>
      <c r="S1660" s="3"/>
      <c r="V1660" s="4"/>
    </row>
    <row r="1661">
      <c r="H1661" s="4"/>
      <c r="S1661" s="3"/>
      <c r="V1661" s="4"/>
    </row>
    <row r="1662">
      <c r="H1662" s="4"/>
      <c r="S1662" s="3"/>
      <c r="V1662" s="4"/>
    </row>
    <row r="1663">
      <c r="H1663" s="4"/>
      <c r="S1663" s="3"/>
      <c r="V1663" s="4"/>
    </row>
    <row r="1664">
      <c r="H1664" s="4"/>
      <c r="S1664" s="3"/>
      <c r="V1664" s="4"/>
    </row>
    <row r="1665">
      <c r="H1665" s="4"/>
      <c r="S1665" s="3"/>
      <c r="V1665" s="4"/>
    </row>
    <row r="1666">
      <c r="H1666" s="4"/>
      <c r="S1666" s="3"/>
      <c r="V1666" s="4"/>
    </row>
    <row r="1667">
      <c r="H1667" s="4"/>
      <c r="S1667" s="3"/>
      <c r="V1667" s="4"/>
    </row>
    <row r="1668">
      <c r="H1668" s="4"/>
      <c r="S1668" s="3"/>
      <c r="V1668" s="4"/>
    </row>
    <row r="1669">
      <c r="H1669" s="4"/>
      <c r="S1669" s="3"/>
      <c r="V1669" s="4"/>
    </row>
    <row r="1670">
      <c r="H1670" s="4"/>
      <c r="S1670" s="3"/>
      <c r="V1670" s="4"/>
    </row>
    <row r="1671">
      <c r="H1671" s="4"/>
      <c r="S1671" s="3"/>
      <c r="V1671" s="4"/>
    </row>
    <row r="1672">
      <c r="H1672" s="4"/>
      <c r="S1672" s="3"/>
      <c r="V1672" s="4"/>
    </row>
    <row r="1673">
      <c r="H1673" s="4"/>
      <c r="S1673" s="3"/>
      <c r="V1673" s="4"/>
    </row>
    <row r="1674">
      <c r="H1674" s="4"/>
      <c r="S1674" s="3"/>
      <c r="V1674" s="4"/>
    </row>
    <row r="1675">
      <c r="H1675" s="4"/>
      <c r="S1675" s="3"/>
      <c r="V1675" s="4"/>
    </row>
    <row r="1676">
      <c r="H1676" s="4"/>
      <c r="S1676" s="3"/>
      <c r="V1676" s="4"/>
    </row>
    <row r="1677">
      <c r="H1677" s="4"/>
      <c r="S1677" s="3"/>
      <c r="V1677" s="4"/>
    </row>
    <row r="1678">
      <c r="H1678" s="4"/>
      <c r="S1678" s="3"/>
      <c r="V1678" s="4"/>
    </row>
    <row r="1679">
      <c r="H1679" s="4"/>
      <c r="S1679" s="3"/>
      <c r="V1679" s="4"/>
    </row>
    <row r="1680">
      <c r="H1680" s="4"/>
      <c r="S1680" s="3"/>
      <c r="V1680" s="4"/>
    </row>
    <row r="1681">
      <c r="H1681" s="4"/>
      <c r="S1681" s="3"/>
      <c r="V1681" s="4"/>
    </row>
    <row r="1682">
      <c r="H1682" s="4"/>
      <c r="S1682" s="3"/>
      <c r="V1682" s="4"/>
    </row>
    <row r="1683">
      <c r="H1683" s="4"/>
      <c r="S1683" s="3"/>
      <c r="V1683" s="4"/>
    </row>
    <row r="1684">
      <c r="H1684" s="4"/>
      <c r="S1684" s="3"/>
      <c r="V1684" s="4"/>
    </row>
    <row r="1685">
      <c r="H1685" s="4"/>
      <c r="S1685" s="3"/>
      <c r="V1685" s="4"/>
    </row>
    <row r="1686">
      <c r="H1686" s="4"/>
      <c r="S1686" s="3"/>
      <c r="V1686" s="4"/>
    </row>
    <row r="1687">
      <c r="H1687" s="4"/>
      <c r="S1687" s="3"/>
      <c r="V1687" s="4"/>
    </row>
    <row r="1688">
      <c r="H1688" s="4"/>
      <c r="S1688" s="3"/>
      <c r="V1688" s="4"/>
    </row>
    <row r="1689">
      <c r="H1689" s="4"/>
      <c r="S1689" s="3"/>
      <c r="V1689" s="4"/>
    </row>
    <row r="1690">
      <c r="H1690" s="4"/>
      <c r="S1690" s="3"/>
      <c r="V1690" s="4"/>
    </row>
    <row r="1691">
      <c r="H1691" s="4"/>
      <c r="S1691" s="3"/>
      <c r="V1691" s="4"/>
    </row>
    <row r="1692">
      <c r="H1692" s="4"/>
      <c r="S1692" s="3"/>
      <c r="V1692" s="4"/>
    </row>
    <row r="1693">
      <c r="H1693" s="4"/>
      <c r="S1693" s="3"/>
      <c r="V1693" s="4"/>
    </row>
    <row r="1694">
      <c r="H1694" s="4"/>
      <c r="S1694" s="3"/>
      <c r="V1694" s="4"/>
    </row>
    <row r="1695">
      <c r="H1695" s="4"/>
      <c r="S1695" s="3"/>
      <c r="V1695" s="4"/>
    </row>
    <row r="1696">
      <c r="H1696" s="4"/>
      <c r="S1696" s="3"/>
      <c r="V1696" s="4"/>
    </row>
    <row r="1697">
      <c r="H1697" s="4"/>
      <c r="S1697" s="3"/>
      <c r="V1697" s="4"/>
    </row>
    <row r="1698">
      <c r="H1698" s="4"/>
      <c r="S1698" s="3"/>
      <c r="V1698" s="4"/>
    </row>
    <row r="1699">
      <c r="H1699" s="4"/>
      <c r="S1699" s="3"/>
      <c r="V1699" s="4"/>
    </row>
    <row r="1700">
      <c r="H1700" s="4"/>
      <c r="S1700" s="3"/>
      <c r="V1700" s="4"/>
    </row>
  </sheetData>
  <hyperlinks>
    <hyperlink r:id="rId1" ref="A7"/>
  </hyperlinks>
  <drawing r:id="rId2"/>
</worksheet>
</file>