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" sheetId="1" r:id="rId4"/>
    <sheet state="visible" name="Orbit calculations" sheetId="2" r:id="rId5"/>
  </sheets>
  <definedNames/>
  <calcPr/>
  <extLst>
    <ext uri="GoogleSheetsCustomDataVersion1">
      <go:sheetsCustomData xmlns:go="http://customooxmlschemas.google.com/" r:id="rId6" roundtripDataSignature="AMtx7mgMZo/wTGH1aajq4eHhwwUvW13QBA=="/>
    </ext>
  </extLst>
</workbook>
</file>

<file path=xl/sharedStrings.xml><?xml version="1.0" encoding="utf-8"?>
<sst xmlns="http://schemas.openxmlformats.org/spreadsheetml/2006/main" count="184" uniqueCount="152">
  <si>
    <t>band</t>
  </si>
  <si>
    <t>Link budget for SelfieSat</t>
  </si>
  <si>
    <t xml:space="preserve">Sheet updated/valid from  </t>
  </si>
  <si>
    <t>16/01/2022</t>
  </si>
  <si>
    <t>Sheet updated by</t>
  </si>
  <si>
    <t>Astrid Christine Zieritz</t>
  </si>
  <si>
    <t xml:space="preserve">Sheet LOCKED </t>
  </si>
  <si>
    <t>NO (edits OK)</t>
  </si>
  <si>
    <t>dB in</t>
  </si>
  <si>
    <t>lin in</t>
  </si>
  <si>
    <t>x lin</t>
  </si>
  <si>
    <t>x dB</t>
  </si>
  <si>
    <t>Constants</t>
  </si>
  <si>
    <t>Speed of light</t>
  </si>
  <si>
    <t>[m/s]</t>
  </si>
  <si>
    <t>Distance vs. Elevation angle Calculator (only considers passes directly over head):</t>
  </si>
  <si>
    <t>MHz and km</t>
  </si>
  <si>
    <t>[1]</t>
  </si>
  <si>
    <t>What</t>
  </si>
  <si>
    <t>Value</t>
  </si>
  <si>
    <t>Unit</t>
  </si>
  <si>
    <t>Boltzmans constant</t>
  </si>
  <si>
    <t>[J/K]</t>
  </si>
  <si>
    <t>Orbit height above ground</t>
  </si>
  <si>
    <t>[km]</t>
  </si>
  <si>
    <t>[dBW/K/Hz]</t>
  </si>
  <si>
    <t>Earth radius</t>
  </si>
  <si>
    <t>[dBm/K/Hz]</t>
  </si>
  <si>
    <t>(Minimum) elevation angle</t>
  </si>
  <si>
    <t>[degrees]</t>
  </si>
  <si>
    <t>Resulting distance GS to Satellite [km]</t>
  </si>
  <si>
    <t>Pass duration [s]</t>
  </si>
  <si>
    <t>[s]</t>
  </si>
  <si>
    <t>Pass duration [hh:mm:ss]</t>
  </si>
  <si>
    <t>[hh:mm:ss]</t>
  </si>
  <si>
    <t>Data pr. pass [b]</t>
  </si>
  <si>
    <t>[b]</t>
  </si>
  <si>
    <t>Data pr. pass [kB]</t>
  </si>
  <si>
    <t>[kB]</t>
  </si>
  <si>
    <t>Data pr. day [kB]</t>
  </si>
  <si>
    <t>Parameter</t>
  </si>
  <si>
    <t>UHF down</t>
  </si>
  <si>
    <t>UHF up</t>
  </si>
  <si>
    <t>general</t>
  </si>
  <si>
    <t>Valid numbers in calculation?</t>
  </si>
  <si>
    <t>NO</t>
  </si>
  <si>
    <t>f</t>
  </si>
  <si>
    <t>Carrier Frequency</t>
  </si>
  <si>
    <t>[MHz]</t>
  </si>
  <si>
    <t>Wavelength</t>
  </si>
  <si>
    <t>[meter]</t>
  </si>
  <si>
    <t>d</t>
  </si>
  <si>
    <t>Distance</t>
  </si>
  <si>
    <t>R</t>
  </si>
  <si>
    <t>Data rate</t>
  </si>
  <si>
    <t>[bps]</t>
  </si>
  <si>
    <t>Modulation</t>
  </si>
  <si>
    <t>2-fsk</t>
  </si>
  <si>
    <t>Required BER</t>
  </si>
  <si>
    <t>Required E_b/N_0 for BER</t>
  </si>
  <si>
    <t>[dB]</t>
  </si>
  <si>
    <t>TX</t>
  </si>
  <si>
    <t>Power</t>
  </si>
  <si>
    <t>[mW]</t>
  </si>
  <si>
    <t>Pt</t>
  </si>
  <si>
    <t>Power input to antenna, eff = 1</t>
  </si>
  <si>
    <t>[dBm]</t>
  </si>
  <si>
    <t>Connection Loss</t>
  </si>
  <si>
    <t>Cable Loss</t>
  </si>
  <si>
    <t>Gt</t>
  </si>
  <si>
    <t>Antenna Gain</t>
  </si>
  <si>
    <t>[dBi]</t>
  </si>
  <si>
    <t>EIRP</t>
  </si>
  <si>
    <t>Propagation</t>
  </si>
  <si>
    <t>Free Space Loss</t>
  </si>
  <si>
    <t>Pointing Loss</t>
  </si>
  <si>
    <t>Atmospheric loss</t>
  </si>
  <si>
    <t>Ionospheric loss (scintillation + auroral abs)</t>
  </si>
  <si>
    <t>Polarization Loss (circ --&gt; lin)</t>
  </si>
  <si>
    <t>Total Transmission Loss</t>
  </si>
  <si>
    <t>RX</t>
  </si>
  <si>
    <t>Gr</t>
  </si>
  <si>
    <t>Connector/cable/filter Loss</t>
  </si>
  <si>
    <t>Receiver frontend gain</t>
  </si>
  <si>
    <t>S</t>
  </si>
  <si>
    <t>Received Power at demodulator</t>
  </si>
  <si>
    <t>Noise</t>
  </si>
  <si>
    <t>T</t>
  </si>
  <si>
    <t>Noise temperature</t>
  </si>
  <si>
    <t>[K]</t>
  </si>
  <si>
    <t>B</t>
  </si>
  <si>
    <t>Bandwidth</t>
  </si>
  <si>
    <t>[Hz]</t>
  </si>
  <si>
    <t>I</t>
  </si>
  <si>
    <t>Expected noise added from interference</t>
  </si>
  <si>
    <t>G/T</t>
  </si>
  <si>
    <t>Receiver G/T</t>
  </si>
  <si>
    <t>N</t>
  </si>
  <si>
    <t>Noise Power excl. interference</t>
  </si>
  <si>
    <t>Resulting Link Quality</t>
  </si>
  <si>
    <t>Signal to noise ratio, C/N</t>
  </si>
  <si>
    <t>[dBHz]</t>
  </si>
  <si>
    <t>C/(N0+I0)</t>
  </si>
  <si>
    <t>Eb/N0 for link (incl. interference)</t>
  </si>
  <si>
    <t>Eb/N0 for link (excl.  interference)</t>
  </si>
  <si>
    <t>SYSTEM FADE MARGIN (excl. interference)</t>
  </si>
  <si>
    <t>SYSTEM FADE MARGIN (incl. interference)</t>
  </si>
  <si>
    <t>Calculations for orbit period and duration of satellite passes</t>
  </si>
  <si>
    <t>Law of sines:</t>
  </si>
  <si>
    <t>e=elevation angle between horizon and satellite with ground station as origin</t>
  </si>
  <si>
    <t>ψ [psi]=angle between zenith and satellite with earth center as origin</t>
  </si>
  <si>
    <t>(corresponds to A in the ABC triangle)</t>
  </si>
  <si>
    <t>θ [theta]=angle between earth center and ground station with satellite as origin</t>
  </si>
  <si>
    <t>(corresponds to C in the ABC triangle)</t>
  </si>
  <si>
    <t>γ [gamma]=e+90 degrees</t>
  </si>
  <si>
    <t>(corresponds to B in the ABC triangle)</t>
  </si>
  <si>
    <t>Distance between satellite and ground station can be calculated the following way:</t>
  </si>
  <si>
    <t>Using ABC instead of psi, theta and e, and defining: c as earth radius, a is distance between satellite and ground station, b is (earth radius + orbit height)</t>
  </si>
  <si>
    <t>Law of sines #1:</t>
  </si>
  <si>
    <t>(sin(C)/c)=(sin(B)/b)</t>
  </si>
  <si>
    <t>Law of sines #2:</t>
  </si>
  <si>
    <t>(sin(A)/a)=(sin(B)/b)</t>
  </si>
  <si>
    <t>Comment</t>
  </si>
  <si>
    <t>Variable</t>
  </si>
  <si>
    <t>GS/Sat-distance [km]</t>
  </si>
  <si>
    <t>a</t>
  </si>
  <si>
    <t>Rework L.O.S #2 to become a=b*sin(A)/sin(B)</t>
  </si>
  <si>
    <t>Re+h [km]</t>
  </si>
  <si>
    <t>b</t>
  </si>
  <si>
    <t>Radius Earth (Re) [km]</t>
  </si>
  <si>
    <t>c</t>
  </si>
  <si>
    <t>Orbit height [km]</t>
  </si>
  <si>
    <t>h</t>
  </si>
  <si>
    <t>µ= gravitational constant []</t>
  </si>
  <si>
    <t>µ</t>
  </si>
  <si>
    <t>θ [theta]=C [degrees]</t>
  </si>
  <si>
    <t>Find this angle first [sin(C)/c=sin(B)/b] and use it to calculate psi</t>
  </si>
  <si>
    <t>ψ [psi]=A [degrees]</t>
  </si>
  <si>
    <t>ψ</t>
  </si>
  <si>
    <t>e [elevation] [degrees]</t>
  </si>
  <si>
    <t>e</t>
  </si>
  <si>
    <t>γ [gamma]=e+90 [degrees]</t>
  </si>
  <si>
    <t>γ</t>
  </si>
  <si>
    <t>Orbit (total) period [s]</t>
  </si>
  <si>
    <t>Kepler's 3rd: T=2π*sqrt(b^3/µ)</t>
  </si>
  <si>
    <t>b=orbit radius=Re+h</t>
  </si>
  <si>
    <t>Total angle 2*psi Satellite is visible</t>
  </si>
  <si>
    <t>2ψ</t>
  </si>
  <si>
    <t>Satellite pass duration [s]</t>
  </si>
  <si>
    <t>T_vis</t>
  </si>
  <si>
    <t>Whole # of passes pr day</t>
  </si>
  <si>
    <t>#P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</si>
</sst>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[$-F400]h:mm:ss\ AM/PM"/>
    <numFmt numFmtId="166" formatCode="0.000"/>
    <numFmt numFmtId="167" formatCode="0E+00"/>
    <numFmt numFmtId="168" formatCode="0.0"/>
    <numFmt numFmtId="169" formatCode="0.0000"/>
  </numFmts>
  <fonts count="10">
    <font>
      <sz val="11.0"/>
      <color rgb="FF000000"/>
      <name val="Calibri"/>
    </font>
    <font>
      <b/>
      <color theme="1"/>
      <name val="Calibri"/>
    </font>
    <font>
      <color theme="1"/>
      <name val="Calibri"/>
    </font>
    <font>
      <sz val="11.0"/>
      <color rgb="FF006100"/>
      <name val="Calibri"/>
    </font>
    <font/>
    <font>
      <b/>
      <sz val="11.0"/>
      <color rgb="FF3F3F3F"/>
      <name val="Calibri"/>
    </font>
    <font>
      <sz val="11.0"/>
      <color rgb="FF3F3F76"/>
      <name val="Calibri"/>
    </font>
    <font>
      <b/>
      <sz val="11.0"/>
      <color rgb="FF000000"/>
      <name val="Calibri"/>
    </font>
    <font>
      <b/>
      <sz val="11.0"/>
      <color rgb="FFFA7D00"/>
      <name val="Calibri"/>
    </font>
    <font>
      <b/>
      <sz val="14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FFE699"/>
        <bgColor rgb="FFFFE699"/>
      </patternFill>
    </fill>
    <fill>
      <patternFill patternType="solid">
        <fgColor rgb="FFB4C7E7"/>
        <bgColor rgb="FFB4C7E7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</fills>
  <borders count="30">
    <border/>
    <border>
      <left/>
      <top/>
      <bottom/>
    </border>
    <border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7F7F7F"/>
      </right>
      <bottom style="thin">
        <color rgb="FF000000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horizontal="left" readingOrder="0"/>
    </xf>
    <xf borderId="0" fillId="0" fontId="0" numFmtId="164" xfId="0" applyAlignment="1" applyFont="1" applyNumberFormat="1">
      <alignment horizontal="left"/>
    </xf>
    <xf borderId="0" fillId="0" fontId="0" numFmtId="0" xfId="0" applyAlignment="1" applyFont="1">
      <alignment horizontal="left"/>
    </xf>
    <xf borderId="1" fillId="2" fontId="3" numFmtId="0" xfId="0" applyAlignment="1" applyBorder="1" applyFill="1" applyFont="1">
      <alignment horizontal="left"/>
    </xf>
    <xf borderId="2" fillId="0" fontId="4" numFmtId="0" xfId="0" applyBorder="1" applyFont="1"/>
    <xf borderId="3" fillId="3" fontId="5" numFmtId="0" xfId="0" applyBorder="1" applyFill="1" applyFont="1"/>
    <xf borderId="4" fillId="4" fontId="6" numFmtId="0" xfId="0" applyBorder="1" applyFill="1" applyFont="1"/>
    <xf borderId="5" fillId="0" fontId="7" numFmtId="0" xfId="0" applyBorder="1" applyFont="1"/>
    <xf borderId="6" fillId="2" fontId="3" numFmtId="0" xfId="0" applyBorder="1" applyFont="1"/>
    <xf borderId="7" fillId="2" fontId="3" numFmtId="0" xfId="0" applyBorder="1" applyFont="1"/>
    <xf borderId="8" fillId="2" fontId="3" numFmtId="0" xfId="0" applyBorder="1" applyFont="1"/>
    <xf borderId="9" fillId="5" fontId="7" numFmtId="0" xfId="0" applyBorder="1" applyFill="1" applyFont="1"/>
    <xf borderId="10" fillId="5" fontId="7" numFmtId="0" xfId="0" applyBorder="1" applyFont="1"/>
    <xf borderId="11" fillId="5" fontId="7" numFmtId="0" xfId="0" applyBorder="1" applyFont="1"/>
    <xf borderId="12" fillId="2" fontId="3" numFmtId="0" xfId="0" applyBorder="1" applyFont="1"/>
    <xf borderId="13" fillId="2" fontId="3" numFmtId="0" xfId="0" applyBorder="1" applyFont="1"/>
    <xf borderId="14" fillId="5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13" fillId="2" fontId="3" numFmtId="11" xfId="0" applyBorder="1" applyFont="1" applyNumberFormat="1"/>
    <xf borderId="17" fillId="5" fontId="0" numFmtId="0" xfId="0" applyBorder="1" applyFont="1"/>
    <xf borderId="18" fillId="0" fontId="0" numFmtId="0" xfId="0" applyBorder="1" applyFont="1"/>
    <xf borderId="18" fillId="6" fontId="0" numFmtId="0" xfId="0" applyBorder="1" applyFill="1" applyFont="1"/>
    <xf borderId="19" fillId="0" fontId="0" numFmtId="0" xfId="0" applyBorder="1" applyFont="1"/>
    <xf borderId="20" fillId="0" fontId="0" numFmtId="0" xfId="0" applyBorder="1" applyFont="1"/>
    <xf borderId="21" fillId="3" fontId="8" numFmtId="0" xfId="0" applyBorder="1" applyFont="1"/>
    <xf borderId="4" fillId="3" fontId="8" numFmtId="2" xfId="0" applyBorder="1" applyFont="1" applyNumberFormat="1"/>
    <xf borderId="22" fillId="0" fontId="0" numFmtId="0" xfId="0" applyBorder="1" applyFont="1"/>
    <xf borderId="23" fillId="3" fontId="8" numFmtId="0" xfId="0" applyBorder="1" applyFont="1"/>
    <xf borderId="24" fillId="3" fontId="8" numFmtId="2" xfId="0" applyBorder="1" applyFont="1" applyNumberFormat="1"/>
    <xf borderId="18" fillId="0" fontId="0" numFmtId="1" xfId="0" applyBorder="1" applyFont="1" applyNumberFormat="1"/>
    <xf borderId="18" fillId="0" fontId="0" numFmtId="2" xfId="0" applyBorder="1" applyFont="1" applyNumberFormat="1"/>
    <xf borderId="18" fillId="0" fontId="0" numFmtId="165" xfId="0" applyBorder="1" applyFont="1" applyNumberFormat="1"/>
    <xf borderId="25" fillId="5" fontId="0" numFmtId="0" xfId="0" applyBorder="1" applyFont="1"/>
    <xf borderId="26" fillId="0" fontId="0" numFmtId="0" xfId="0" applyBorder="1" applyFont="1"/>
    <xf borderId="26" fillId="0" fontId="0" numFmtId="2" xfId="0" applyBorder="1" applyFont="1" applyNumberFormat="1"/>
    <xf borderId="27" fillId="0" fontId="0" numFmtId="0" xfId="0" applyBorder="1" applyFont="1"/>
    <xf borderId="0" fillId="0" fontId="0" numFmtId="2" xfId="0" applyFont="1" applyNumberFormat="1"/>
    <xf borderId="0" fillId="0" fontId="7" numFmtId="0" xfId="0" applyFont="1"/>
    <xf borderId="13" fillId="7" fontId="7" numFmtId="0" xfId="0" applyBorder="1" applyFill="1" applyFont="1"/>
    <xf borderId="13" fillId="7" fontId="0" numFmtId="0" xfId="0" applyBorder="1" applyFont="1"/>
    <xf borderId="13" fillId="7" fontId="0" numFmtId="0" xfId="0" applyAlignment="1" applyBorder="1" applyFont="1">
      <alignment readingOrder="0"/>
    </xf>
    <xf borderId="13" fillId="7" fontId="0" numFmtId="166" xfId="0" applyBorder="1" applyFont="1" applyNumberFormat="1"/>
    <xf borderId="13" fillId="7" fontId="0" numFmtId="1" xfId="0" applyBorder="1" applyFont="1" applyNumberFormat="1"/>
    <xf borderId="13" fillId="7" fontId="0" numFmtId="0" xfId="0" applyAlignment="1" applyBorder="1" applyFont="1">
      <alignment horizontal="right" readingOrder="0"/>
    </xf>
    <xf borderId="13" fillId="7" fontId="0" numFmtId="167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3" fillId="8" fontId="7" numFmtId="0" xfId="0" applyBorder="1" applyFill="1" applyFont="1"/>
    <xf borderId="13" fillId="8" fontId="0" numFmtId="0" xfId="0" applyBorder="1" applyFont="1"/>
    <xf borderId="4" fillId="3" fontId="8" numFmtId="168" xfId="0" applyBorder="1" applyFont="1" applyNumberFormat="1"/>
    <xf borderId="13" fillId="8" fontId="0" numFmtId="0" xfId="0" applyAlignment="1" applyBorder="1" applyFont="1">
      <alignment readingOrder="0"/>
    </xf>
    <xf borderId="28" fillId="8" fontId="0" numFmtId="0" xfId="0" applyBorder="1" applyFont="1"/>
    <xf borderId="29" fillId="3" fontId="8" numFmtId="168" xfId="0" applyBorder="1" applyFont="1" applyNumberFormat="1"/>
    <xf borderId="13" fillId="9" fontId="7" numFmtId="0" xfId="0" applyBorder="1" applyFill="1" applyFont="1"/>
    <xf borderId="13" fillId="9" fontId="0" numFmtId="0" xfId="0" applyBorder="1" applyFont="1"/>
    <xf borderId="13" fillId="9" fontId="0" numFmtId="168" xfId="0" applyBorder="1" applyFont="1" applyNumberFormat="1"/>
    <xf borderId="13" fillId="9" fontId="0" numFmtId="0" xfId="0" applyAlignment="1" applyBorder="1" applyFont="1">
      <alignment readingOrder="0"/>
    </xf>
    <xf borderId="28" fillId="9" fontId="0" numFmtId="0" xfId="0" applyBorder="1" applyFont="1"/>
    <xf borderId="13" fillId="10" fontId="7" numFmtId="0" xfId="0" applyBorder="1" applyFill="1" applyFont="1"/>
    <xf borderId="13" fillId="10" fontId="0" numFmtId="0" xfId="0" applyBorder="1" applyFont="1"/>
    <xf borderId="13" fillId="10" fontId="0" numFmtId="0" xfId="0" applyAlignment="1" applyBorder="1" applyFont="1">
      <alignment readingOrder="0"/>
    </xf>
    <xf borderId="28" fillId="10" fontId="0" numFmtId="0" xfId="0" applyBorder="1" applyFont="1"/>
    <xf borderId="13" fillId="11" fontId="7" numFmtId="0" xfId="0" applyBorder="1" applyFill="1" applyFont="1"/>
    <xf borderId="13" fillId="11" fontId="0" numFmtId="0" xfId="0" applyBorder="1" applyFont="1"/>
    <xf borderId="13" fillId="11" fontId="0" numFmtId="169" xfId="0" applyBorder="1" applyFont="1" applyNumberFormat="1"/>
    <xf borderId="28" fillId="11" fontId="0" numFmtId="0" xfId="0" applyBorder="1" applyFont="1"/>
    <xf borderId="13" fillId="12" fontId="7" numFmtId="0" xfId="0" applyBorder="1" applyFill="1" applyFont="1"/>
    <xf borderId="13" fillId="12" fontId="0" numFmtId="0" xfId="0" applyBorder="1" applyFont="1"/>
    <xf borderId="0" fillId="0" fontId="9" numFmtId="0" xfId="0" applyFont="1"/>
    <xf borderId="0" fillId="0" fontId="0" numFmtId="166" xfId="0" applyFont="1" applyNumberFormat="1"/>
    <xf borderId="0" fillId="0" fontId="0" numFmtId="11" xfId="0" applyFont="1" applyNumberFormat="1"/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180975</xdr:colOff>
      <xdr:row>3</xdr:row>
      <xdr:rowOff>19050</xdr:rowOff>
    </xdr:from>
    <xdr:ext cx="2447925" cy="2114550"/>
    <xdr:pic>
      <xdr:nvPicPr>
        <xdr:cNvPr descr="https://upload.wikimedia.org/wikipedia/commons/thumb/5/5e/Acute_Triangle.svg/1280px-Acute_Triangle.svg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14</xdr:row>
      <xdr:rowOff>114300</xdr:rowOff>
    </xdr:from>
    <xdr:ext cx="1943100" cy="5143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</xdr:row>
      <xdr:rowOff>171450</xdr:rowOff>
    </xdr:from>
    <xdr:ext cx="3181350" cy="31146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57"/>
    <col customWidth="1" min="4" max="4" width="4.29"/>
    <col customWidth="1" min="5" max="5" width="42.29"/>
    <col customWidth="1" min="6" max="6" width="11.43"/>
    <col customWidth="1" min="7" max="9" width="12.71"/>
    <col customWidth="1" min="10" max="10" width="12.86"/>
    <col customWidth="1" min="11" max="11" width="21.29"/>
    <col customWidth="1" min="12" max="12" width="5.0"/>
    <col customWidth="1" min="13" max="13" width="11.29"/>
    <col customWidth="1" min="14" max="14" width="12.29"/>
    <col customWidth="1" min="15" max="15" width="12.71"/>
    <col customWidth="1" min="16" max="16" width="59.71"/>
    <col customWidth="1" min="17" max="19" width="8.57"/>
    <col customWidth="1" min="20" max="26" width="8.71"/>
  </cols>
  <sheetData>
    <row r="1">
      <c r="A1" s="1" t="s">
        <v>0</v>
      </c>
      <c r="E1" s="2" t="s">
        <v>1</v>
      </c>
    </row>
    <row r="2">
      <c r="E2" s="2" t="s">
        <v>2</v>
      </c>
      <c r="F2" s="3" t="s">
        <v>3</v>
      </c>
      <c r="G2" s="4"/>
      <c r="H2" s="5"/>
    </row>
    <row r="3">
      <c r="E3" s="2" t="s">
        <v>4</v>
      </c>
      <c r="F3" s="3" t="s">
        <v>5</v>
      </c>
    </row>
    <row r="4">
      <c r="E4" s="2" t="s">
        <v>6</v>
      </c>
      <c r="F4" s="6" t="s">
        <v>7</v>
      </c>
      <c r="G4" s="7"/>
      <c r="H4" s="7"/>
      <c r="M4" s="2" t="s">
        <v>8</v>
      </c>
      <c r="N4" s="2" t="s">
        <v>9</v>
      </c>
    </row>
    <row r="5">
      <c r="L5" s="2" t="s">
        <v>10</v>
      </c>
      <c r="M5" s="8">
        <f>10^(M6/10)</f>
        <v>1.21338885</v>
      </c>
      <c r="N5" s="9">
        <v>2.0</v>
      </c>
      <c r="S5" s="2"/>
    </row>
    <row r="6">
      <c r="L6" s="2" t="s">
        <v>11</v>
      </c>
      <c r="M6" s="9">
        <v>0.84</v>
      </c>
      <c r="N6" s="8">
        <f>10*LOG10(N5)</f>
        <v>3.010299957</v>
      </c>
    </row>
    <row r="7">
      <c r="E7" s="10" t="s">
        <v>12</v>
      </c>
    </row>
    <row r="8">
      <c r="E8" s="11" t="s">
        <v>13</v>
      </c>
      <c r="F8" s="12" t="s">
        <v>14</v>
      </c>
      <c r="G8" s="12"/>
      <c r="H8" s="13">
        <f>2.99792458*10^8</f>
        <v>299792458</v>
      </c>
      <c r="K8" s="14" t="s">
        <v>15</v>
      </c>
      <c r="L8" s="15"/>
      <c r="M8" s="15"/>
      <c r="N8" s="15"/>
      <c r="O8" s="15"/>
      <c r="P8" s="16"/>
    </row>
    <row r="9">
      <c r="E9" s="11" t="s">
        <v>16</v>
      </c>
      <c r="F9" s="17" t="s">
        <v>17</v>
      </c>
      <c r="G9" s="17"/>
      <c r="H9" s="18">
        <f>10^6*10^3</f>
        <v>1000000000</v>
      </c>
      <c r="K9" s="19" t="s">
        <v>18</v>
      </c>
      <c r="L9" s="20"/>
      <c r="M9" s="20"/>
      <c r="N9" s="20" t="s">
        <v>19</v>
      </c>
      <c r="O9" s="20" t="s">
        <v>20</v>
      </c>
      <c r="P9" s="21"/>
    </row>
    <row r="10">
      <c r="E10" s="11" t="s">
        <v>21</v>
      </c>
      <c r="F10" s="17" t="s">
        <v>22</v>
      </c>
      <c r="G10" s="17"/>
      <c r="H10" s="22">
        <f>1.3806488*10^-23</f>
        <v>0</v>
      </c>
      <c r="I10" s="2"/>
      <c r="K10" s="23" t="s">
        <v>23</v>
      </c>
      <c r="L10" s="24"/>
      <c r="M10" s="24"/>
      <c r="N10" s="25">
        <v>500.0</v>
      </c>
      <c r="O10" s="24" t="s">
        <v>24</v>
      </c>
      <c r="P10" s="26"/>
    </row>
    <row r="11">
      <c r="E11" s="27"/>
      <c r="F11" s="28" t="s">
        <v>25</v>
      </c>
      <c r="G11" s="28"/>
      <c r="H11" s="29">
        <f>10*LOG(H10)</f>
        <v>-228.5991678</v>
      </c>
      <c r="K11" s="23" t="s">
        <v>26</v>
      </c>
      <c r="L11" s="24"/>
      <c r="M11" s="24"/>
      <c r="N11" s="24">
        <v>6371.0</v>
      </c>
      <c r="O11" s="24" t="s">
        <v>24</v>
      </c>
      <c r="P11" s="26"/>
    </row>
    <row r="12">
      <c r="E12" s="30"/>
      <c r="F12" s="31" t="s">
        <v>27</v>
      </c>
      <c r="G12" s="31"/>
      <c r="H12" s="32">
        <f>H11+30</f>
        <v>-198.5991678</v>
      </c>
      <c r="K12" s="23" t="s">
        <v>28</v>
      </c>
      <c r="L12" s="24"/>
      <c r="M12" s="24"/>
      <c r="N12" s="25">
        <v>10.0</v>
      </c>
      <c r="O12" s="24" t="s">
        <v>29</v>
      </c>
      <c r="P12" s="26"/>
    </row>
    <row r="13">
      <c r="K13" s="23" t="s">
        <v>30</v>
      </c>
      <c r="L13" s="24"/>
      <c r="M13" s="24"/>
      <c r="N13" s="33">
        <f>'Orbit calculations'!D38</f>
        <v>1694.567221</v>
      </c>
      <c r="O13" s="24" t="s">
        <v>24</v>
      </c>
      <c r="P13" s="26"/>
    </row>
    <row r="14">
      <c r="K14" s="23" t="s">
        <v>31</v>
      </c>
      <c r="L14" s="24"/>
      <c r="M14" s="24"/>
      <c r="N14" s="34">
        <f>'Orbit calculations'!D51</f>
        <v>442.6361949</v>
      </c>
      <c r="O14" s="24" t="s">
        <v>32</v>
      </c>
      <c r="P14" s="26"/>
    </row>
    <row r="15">
      <c r="K15" s="23" t="s">
        <v>33</v>
      </c>
      <c r="L15" s="24"/>
      <c r="M15" s="24"/>
      <c r="N15" s="35">
        <f>N14/86400</f>
        <v>0.005123104107</v>
      </c>
      <c r="O15" s="24" t="s">
        <v>34</v>
      </c>
      <c r="P15" s="26"/>
    </row>
    <row r="16">
      <c r="K16" s="23" t="s">
        <v>35</v>
      </c>
      <c r="L16" s="24"/>
      <c r="M16" s="24"/>
      <c r="N16" s="24">
        <f>G26*N14</f>
        <v>4249307.471</v>
      </c>
      <c r="O16" s="24" t="s">
        <v>36</v>
      </c>
      <c r="P16" s="26"/>
    </row>
    <row r="17">
      <c r="K17" s="23" t="s">
        <v>37</v>
      </c>
      <c r="L17" s="24"/>
      <c r="M17" s="24"/>
      <c r="N17" s="34">
        <f>N16/8000</f>
        <v>531.1634338</v>
      </c>
      <c r="O17" s="24" t="s">
        <v>38</v>
      </c>
      <c r="P17" s="26"/>
    </row>
    <row r="18">
      <c r="K18" s="36" t="s">
        <v>39</v>
      </c>
      <c r="L18" s="37"/>
      <c r="M18" s="37"/>
      <c r="N18" s="38">
        <f>N17*'Orbit calculations'!D52</f>
        <v>8096.564283</v>
      </c>
      <c r="O18" s="37" t="s">
        <v>38</v>
      </c>
      <c r="P18" s="39"/>
    </row>
    <row r="19">
      <c r="N19" s="40"/>
    </row>
    <row r="20">
      <c r="E20" s="41" t="s">
        <v>40</v>
      </c>
      <c r="F20" s="41" t="s">
        <v>20</v>
      </c>
      <c r="G20" s="41" t="s">
        <v>41</v>
      </c>
      <c r="H20" s="41" t="s">
        <v>42</v>
      </c>
      <c r="I20" s="41"/>
    </row>
    <row r="21" ht="15.75" customHeight="1">
      <c r="E21" s="42" t="s">
        <v>43</v>
      </c>
    </row>
    <row r="22" ht="15.75" customHeight="1">
      <c r="E22" s="43" t="s">
        <v>44</v>
      </c>
      <c r="F22" s="43"/>
      <c r="G22" s="43" t="s">
        <v>45</v>
      </c>
      <c r="H22" s="43" t="s">
        <v>45</v>
      </c>
      <c r="O22" s="2"/>
    </row>
    <row r="23" ht="15.75" customHeight="1">
      <c r="D23" s="2" t="s">
        <v>46</v>
      </c>
      <c r="E23" s="43" t="s">
        <v>47</v>
      </c>
      <c r="F23" s="43" t="s">
        <v>48</v>
      </c>
      <c r="G23" s="44">
        <v>437.5</v>
      </c>
      <c r="H23" s="44">
        <v>437.5</v>
      </c>
      <c r="O23" s="2"/>
      <c r="P23" s="2"/>
    </row>
    <row r="24" ht="15.75" customHeight="1">
      <c r="E24" s="43" t="s">
        <v>49</v>
      </c>
      <c r="F24" s="43" t="s">
        <v>50</v>
      </c>
      <c r="G24" s="45">
        <f t="shared" ref="G24:H24" si="1">$H$8/(G23*1000000)</f>
        <v>0.685239904</v>
      </c>
      <c r="H24" s="45">
        <f t="shared" si="1"/>
        <v>0.685239904</v>
      </c>
      <c r="O24" s="2"/>
      <c r="P24" s="2"/>
    </row>
    <row r="25" ht="15.75" customHeight="1">
      <c r="D25" s="2" t="s">
        <v>51</v>
      </c>
      <c r="E25" s="43" t="s">
        <v>52</v>
      </c>
      <c r="F25" s="43" t="s">
        <v>24</v>
      </c>
      <c r="G25" s="46">
        <f>N13</f>
        <v>1694.567221</v>
      </c>
      <c r="H25" s="46">
        <f>N13</f>
        <v>1694.567221</v>
      </c>
      <c r="I25" s="2"/>
    </row>
    <row r="26" ht="15.75" customHeight="1">
      <c r="D26" s="2" t="s">
        <v>53</v>
      </c>
      <c r="E26" s="43" t="s">
        <v>54</v>
      </c>
      <c r="F26" s="43" t="s">
        <v>55</v>
      </c>
      <c r="G26" s="43">
        <v>9600.0</v>
      </c>
      <c r="H26" s="43">
        <v>9600.0</v>
      </c>
      <c r="I26" s="2"/>
    </row>
    <row r="27" ht="15.75" customHeight="1">
      <c r="E27" s="43" t="s">
        <v>56</v>
      </c>
      <c r="F27" s="43"/>
      <c r="G27" s="47" t="s">
        <v>57</v>
      </c>
      <c r="H27" s="47" t="s">
        <v>57</v>
      </c>
    </row>
    <row r="28">
      <c r="E28" s="43" t="s">
        <v>58</v>
      </c>
      <c r="F28" s="43"/>
      <c r="G28" s="48">
        <v>1.0E-4</v>
      </c>
      <c r="H28" s="48">
        <v>1.0E-4</v>
      </c>
      <c r="I28" s="2"/>
    </row>
    <row r="29" ht="13.5" customHeight="1">
      <c r="E29" s="43" t="s">
        <v>59</v>
      </c>
      <c r="F29" s="43" t="s">
        <v>60</v>
      </c>
      <c r="G29" s="44">
        <v>12.3</v>
      </c>
      <c r="H29" s="44">
        <v>12.3</v>
      </c>
      <c r="I29" s="49"/>
    </row>
    <row r="30" ht="15.75" customHeight="1"/>
    <row r="31" ht="15.75" customHeight="1">
      <c r="E31" s="50" t="s">
        <v>61</v>
      </c>
    </row>
    <row r="32" ht="15.75" customHeight="1">
      <c r="E32" s="51" t="s">
        <v>62</v>
      </c>
      <c r="F32" s="51" t="s">
        <v>63</v>
      </c>
      <c r="G32" s="51">
        <v>2000.0</v>
      </c>
      <c r="H32" s="51">
        <v>2000.0</v>
      </c>
      <c r="I32" s="2"/>
    </row>
    <row r="33" ht="15.75" customHeight="1">
      <c r="D33" s="2" t="s">
        <v>64</v>
      </c>
      <c r="E33" s="51" t="s">
        <v>65</v>
      </c>
      <c r="F33" s="51" t="s">
        <v>66</v>
      </c>
      <c r="G33" s="52">
        <f t="shared" ref="G33:H33" si="2">10*LOG10(G32)</f>
        <v>33.01029996</v>
      </c>
      <c r="H33" s="52">
        <f t="shared" si="2"/>
        <v>33.01029996</v>
      </c>
      <c r="I33" s="2"/>
    </row>
    <row r="34" ht="15.75" customHeight="1">
      <c r="E34" s="51" t="s">
        <v>67</v>
      </c>
      <c r="F34" s="51" t="s">
        <v>60</v>
      </c>
      <c r="G34" s="53">
        <v>0.1</v>
      </c>
      <c r="H34" s="53">
        <v>0.1</v>
      </c>
    </row>
    <row r="35" ht="15.75" customHeight="1">
      <c r="E35" s="51" t="s">
        <v>68</v>
      </c>
      <c r="F35" s="51" t="s">
        <v>60</v>
      </c>
      <c r="G35" s="53">
        <v>0.3</v>
      </c>
      <c r="H35" s="53">
        <v>1.8</v>
      </c>
    </row>
    <row r="36" ht="15.75" customHeight="1">
      <c r="D36" s="2" t="s">
        <v>69</v>
      </c>
      <c r="E36" s="51" t="s">
        <v>70</v>
      </c>
      <c r="F36" s="51" t="s">
        <v>71</v>
      </c>
      <c r="G36" s="53">
        <v>-4.3</v>
      </c>
      <c r="H36" s="53">
        <v>14.1</v>
      </c>
      <c r="I36" s="49"/>
    </row>
    <row r="37" ht="15.75" customHeight="1">
      <c r="E37" s="54" t="s">
        <v>72</v>
      </c>
      <c r="F37" s="54" t="s">
        <v>66</v>
      </c>
      <c r="G37" s="55">
        <f t="shared" ref="G37:H37" si="3">G33+G36-G35-G34</f>
        <v>28.31029996</v>
      </c>
      <c r="H37" s="55">
        <f t="shared" si="3"/>
        <v>45.21029996</v>
      </c>
    </row>
    <row r="38" ht="15.75" customHeight="1"/>
    <row r="39" ht="15.75" customHeight="1">
      <c r="E39" s="56" t="s">
        <v>73</v>
      </c>
    </row>
    <row r="40" ht="15.75" customHeight="1">
      <c r="E40" s="57" t="s">
        <v>74</v>
      </c>
      <c r="F40" s="57" t="s">
        <v>60</v>
      </c>
      <c r="G40" s="58">
        <f t="shared" ref="G40:H40" si="4">(20*LOG10( G24/(4*PI()*G25*1000)))</f>
        <v>-149.8485204</v>
      </c>
      <c r="H40" s="58">
        <f t="shared" si="4"/>
        <v>-149.8485204</v>
      </c>
      <c r="I40" s="2"/>
    </row>
    <row r="41" ht="15.75" customHeight="1">
      <c r="E41" s="57" t="s">
        <v>75</v>
      </c>
      <c r="F41" s="57" t="s">
        <v>60</v>
      </c>
      <c r="G41" s="57">
        <v>0.0</v>
      </c>
      <c r="H41" s="57">
        <v>0.0</v>
      </c>
    </row>
    <row r="42" ht="15.75" customHeight="1">
      <c r="E42" s="57" t="s">
        <v>76</v>
      </c>
      <c r="F42" s="57" t="s">
        <v>60</v>
      </c>
      <c r="G42" s="59">
        <v>-0.2</v>
      </c>
      <c r="H42" s="59">
        <v>-0.2</v>
      </c>
    </row>
    <row r="43" ht="15.75" customHeight="1">
      <c r="E43" s="57" t="s">
        <v>77</v>
      </c>
      <c r="F43" s="57" t="s">
        <v>60</v>
      </c>
      <c r="G43" s="57">
        <v>-6.0</v>
      </c>
      <c r="H43" s="57">
        <v>-6.0</v>
      </c>
    </row>
    <row r="44" ht="15.75" customHeight="1">
      <c r="E44" s="59" t="s">
        <v>78</v>
      </c>
      <c r="F44" s="57" t="s">
        <v>60</v>
      </c>
      <c r="G44" s="57">
        <v>-3.0</v>
      </c>
      <c r="H44" s="57">
        <v>-3.0</v>
      </c>
    </row>
    <row r="45" ht="15.75" customHeight="1">
      <c r="E45" s="60" t="s">
        <v>79</v>
      </c>
      <c r="F45" s="60" t="s">
        <v>60</v>
      </c>
      <c r="G45" s="55">
        <f t="shared" ref="G45:H45" si="5">SUM(G40:G44)</f>
        <v>-159.0485204</v>
      </c>
      <c r="H45" s="55">
        <f t="shared" si="5"/>
        <v>-159.0485204</v>
      </c>
    </row>
    <row r="46" ht="15.75" customHeight="1">
      <c r="I46" s="2"/>
    </row>
    <row r="47" ht="15.75" customHeight="1">
      <c r="E47" s="61" t="s">
        <v>80</v>
      </c>
    </row>
    <row r="48" ht="15.75" customHeight="1">
      <c r="D48" s="2" t="s">
        <v>81</v>
      </c>
      <c r="E48" s="62" t="s">
        <v>70</v>
      </c>
      <c r="F48" s="62" t="s">
        <v>71</v>
      </c>
      <c r="G48" s="63">
        <v>14.1</v>
      </c>
      <c r="H48" s="63">
        <v>-4.3</v>
      </c>
      <c r="I48" s="2"/>
    </row>
    <row r="49" ht="15.75" customHeight="1">
      <c r="E49" s="62" t="s">
        <v>82</v>
      </c>
      <c r="F49" s="62" t="s">
        <v>60</v>
      </c>
      <c r="G49" s="63">
        <v>-1.8</v>
      </c>
      <c r="H49" s="63">
        <v>-0.3</v>
      </c>
    </row>
    <row r="50" ht="15.75" customHeight="1">
      <c r="E50" s="63" t="s">
        <v>83</v>
      </c>
      <c r="F50" s="62" t="s">
        <v>60</v>
      </c>
      <c r="G50" s="63">
        <v>13.6</v>
      </c>
      <c r="H50" s="63">
        <v>13.6</v>
      </c>
      <c r="I50" s="49"/>
    </row>
    <row r="51" ht="15.75" customHeight="1">
      <c r="D51" s="2" t="s">
        <v>84</v>
      </c>
      <c r="E51" s="64" t="s">
        <v>85</v>
      </c>
      <c r="F51" s="64" t="s">
        <v>66</v>
      </c>
      <c r="G51" s="55">
        <f t="shared" ref="G51:H51" si="6">G37+G45+G48+G49+G50</f>
        <v>-104.8382204</v>
      </c>
      <c r="H51" s="55">
        <f t="shared" si="6"/>
        <v>-104.8382204</v>
      </c>
    </row>
    <row r="52" ht="15.75" customHeight="1"/>
    <row r="53" ht="15.75" customHeight="1">
      <c r="E53" s="65" t="s">
        <v>86</v>
      </c>
    </row>
    <row r="54" ht="15.75" customHeight="1">
      <c r="D54" s="2" t="s">
        <v>87</v>
      </c>
      <c r="E54" s="66" t="s">
        <v>88</v>
      </c>
      <c r="F54" s="66" t="s">
        <v>89</v>
      </c>
      <c r="G54" s="66">
        <v>348.0</v>
      </c>
      <c r="H54" s="66">
        <v>348.0</v>
      </c>
      <c r="I54" s="2"/>
    </row>
    <row r="55" ht="15.75" customHeight="1">
      <c r="D55" s="2" t="s">
        <v>90</v>
      </c>
      <c r="E55" s="66" t="s">
        <v>91</v>
      </c>
      <c r="F55" s="66" t="s">
        <v>92</v>
      </c>
      <c r="G55" s="66">
        <f t="shared" ref="G55:H55" si="7">G26*2</f>
        <v>19200</v>
      </c>
      <c r="H55" s="66">
        <f t="shared" si="7"/>
        <v>19200</v>
      </c>
      <c r="I55" s="2"/>
    </row>
    <row r="56" ht="15.75" customHeight="1">
      <c r="D56" s="2" t="s">
        <v>93</v>
      </c>
      <c r="E56" s="66" t="s">
        <v>94</v>
      </c>
      <c r="F56" s="66" t="s">
        <v>60</v>
      </c>
      <c r="G56" s="66">
        <v>8.4</v>
      </c>
      <c r="H56" s="66">
        <v>8.4</v>
      </c>
    </row>
    <row r="57" ht="15.75" customHeight="1">
      <c r="D57" s="2" t="s">
        <v>95</v>
      </c>
      <c r="E57" s="66" t="s">
        <v>96</v>
      </c>
      <c r="F57" s="66"/>
      <c r="G57" s="67">
        <f t="shared" ref="G57:H57" si="8">G48/G54</f>
        <v>0.04051724138</v>
      </c>
      <c r="H57" s="67">
        <f t="shared" si="8"/>
        <v>-0.01235632184</v>
      </c>
    </row>
    <row r="58" ht="15.75" customHeight="1">
      <c r="D58" s="2" t="s">
        <v>97</v>
      </c>
      <c r="E58" s="68" t="s">
        <v>98</v>
      </c>
      <c r="F58" s="68"/>
      <c r="G58" s="55">
        <f t="shared" ref="G58:H58" si="9">10*LOG10(G54*G55)+$H$12</f>
        <v>-130.3503631</v>
      </c>
      <c r="H58" s="55">
        <f t="shared" si="9"/>
        <v>-130.3503631</v>
      </c>
    </row>
    <row r="59" ht="15.75" customHeight="1"/>
    <row r="60" ht="15.75" customHeight="1">
      <c r="E60" s="69" t="s">
        <v>99</v>
      </c>
    </row>
    <row r="61" ht="15.75" customHeight="1">
      <c r="E61" s="70" t="s">
        <v>100</v>
      </c>
      <c r="F61" s="70" t="s">
        <v>60</v>
      </c>
      <c r="G61" s="52">
        <f t="shared" ref="G61:H61" si="10">G51-G58</f>
        <v>25.51214264</v>
      </c>
      <c r="H61" s="52">
        <f t="shared" si="10"/>
        <v>25.51214264</v>
      </c>
    </row>
    <row r="62" ht="15.75" customHeight="1">
      <c r="E62" s="70" t="s">
        <v>100</v>
      </c>
      <c r="F62" s="70" t="s">
        <v>101</v>
      </c>
      <c r="G62" s="52">
        <f t="shared" ref="G62:H62" si="11">G61+10*LOG(G55)</f>
        <v>68.34515492</v>
      </c>
      <c r="H62" s="52">
        <f t="shared" si="11"/>
        <v>68.34515492</v>
      </c>
    </row>
    <row r="63" ht="15.75" customHeight="1">
      <c r="E63" s="70" t="s">
        <v>102</v>
      </c>
      <c r="F63" s="70" t="s">
        <v>60</v>
      </c>
      <c r="G63" s="52">
        <f t="shared" ref="G63:H63" si="12">G61-G56</f>
        <v>17.11214264</v>
      </c>
      <c r="H63" s="52">
        <f t="shared" si="12"/>
        <v>17.11214264</v>
      </c>
    </row>
    <row r="64" ht="15.75" customHeight="1">
      <c r="E64" s="70" t="s">
        <v>103</v>
      </c>
      <c r="F64" s="70" t="s">
        <v>60</v>
      </c>
      <c r="G64" s="52">
        <f t="shared" ref="G64:H64" si="13">G63+10*LOG10(G55)-10*LOG(G26)</f>
        <v>20.12244259</v>
      </c>
      <c r="H64" s="52">
        <f t="shared" si="13"/>
        <v>20.12244259</v>
      </c>
      <c r="I64" s="2"/>
    </row>
    <row r="65" ht="15.75" customHeight="1">
      <c r="E65" s="70" t="s">
        <v>104</v>
      </c>
      <c r="F65" s="70" t="s">
        <v>60</v>
      </c>
      <c r="G65" s="52">
        <f t="shared" ref="G65:H65" si="14">G64+G56</f>
        <v>28.52244259</v>
      </c>
      <c r="H65" s="52">
        <f t="shared" si="14"/>
        <v>28.52244259</v>
      </c>
    </row>
    <row r="66" ht="15.75" customHeight="1">
      <c r="E66" s="70"/>
      <c r="F66" s="70"/>
      <c r="G66" s="70"/>
      <c r="H66" s="70"/>
    </row>
    <row r="67" ht="15.75" customHeight="1">
      <c r="E67" s="70" t="s">
        <v>105</v>
      </c>
      <c r="F67" s="70" t="s">
        <v>60</v>
      </c>
      <c r="G67" s="52">
        <f t="shared" ref="G67:H67" si="15">G65-$G$29</f>
        <v>16.22244259</v>
      </c>
      <c r="H67" s="52">
        <f t="shared" si="15"/>
        <v>16.22244259</v>
      </c>
    </row>
    <row r="68" ht="15.75" customHeight="1">
      <c r="E68" s="70" t="s">
        <v>106</v>
      </c>
      <c r="F68" s="70" t="s">
        <v>60</v>
      </c>
      <c r="G68" s="52">
        <f t="shared" ref="G68:H68" si="16">G64-$G$29</f>
        <v>7.822442592</v>
      </c>
      <c r="H68" s="52">
        <f t="shared" si="16"/>
        <v>7.822442592</v>
      </c>
    </row>
    <row r="69" ht="15.75" customHeight="1">
      <c r="G69" s="41" t="str">
        <f t="shared" ref="G69:H69" si="17">G20</f>
        <v>UHF down</v>
      </c>
      <c r="H69" s="41" t="str">
        <f t="shared" si="17"/>
        <v>UHF up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3:H3"/>
    <mergeCell ref="F4:H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86"/>
    <col customWidth="1" min="3" max="3" width="8.71"/>
    <col customWidth="1" min="4" max="4" width="12.43"/>
    <col customWidth="1" min="5" max="5" width="8.71"/>
    <col customWidth="1" min="6" max="6" width="17.43"/>
    <col customWidth="1" min="7" max="26" width="8.71"/>
  </cols>
  <sheetData>
    <row r="3">
      <c r="B3" s="71" t="s">
        <v>107</v>
      </c>
    </row>
    <row r="16">
      <c r="J16" s="2" t="s">
        <v>108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B27" s="2" t="s">
        <v>109</v>
      </c>
    </row>
    <row r="28" ht="15.75" customHeight="1">
      <c r="B28" s="2" t="s">
        <v>110</v>
      </c>
      <c r="K28" s="2" t="s">
        <v>111</v>
      </c>
    </row>
    <row r="29" ht="15.75" customHeight="1">
      <c r="B29" s="2" t="s">
        <v>112</v>
      </c>
      <c r="K29" s="2" t="s">
        <v>113</v>
      </c>
    </row>
    <row r="30" ht="15.75" customHeight="1">
      <c r="B30" s="2" t="s">
        <v>114</v>
      </c>
      <c r="K30" s="2" t="s">
        <v>115</v>
      </c>
    </row>
    <row r="31" ht="15.75" customHeight="1"/>
    <row r="32" ht="15.75" customHeight="1">
      <c r="B32" s="2" t="s">
        <v>116</v>
      </c>
    </row>
    <row r="33" ht="15.75" customHeight="1">
      <c r="B33" s="2" t="s">
        <v>117</v>
      </c>
    </row>
    <row r="34" ht="15.75" customHeight="1">
      <c r="B34" s="2" t="s">
        <v>118</v>
      </c>
      <c r="C34" s="2" t="s">
        <v>119</v>
      </c>
    </row>
    <row r="35" ht="15.75" customHeight="1">
      <c r="B35" s="2" t="s">
        <v>120</v>
      </c>
      <c r="C35" s="2" t="s">
        <v>121</v>
      </c>
    </row>
    <row r="36" ht="15.75" customHeight="1"/>
    <row r="37" ht="15.75" customHeight="1">
      <c r="B37" s="2" t="s">
        <v>122</v>
      </c>
      <c r="C37" s="2" t="s">
        <v>123</v>
      </c>
      <c r="D37" s="2" t="s">
        <v>19</v>
      </c>
      <c r="F37" s="2" t="s">
        <v>122</v>
      </c>
    </row>
    <row r="38" ht="15.75" customHeight="1">
      <c r="B38" s="2" t="s">
        <v>124</v>
      </c>
      <c r="C38" s="2" t="s">
        <v>125</v>
      </c>
      <c r="D38" s="72">
        <f>D39*SIN(RADIANS(D44))/SIN(RADIANS(D46))</f>
        <v>1694.567221</v>
      </c>
      <c r="F38" s="40" t="s">
        <v>126</v>
      </c>
    </row>
    <row r="39" ht="15.75" customHeight="1">
      <c r="B39" s="2" t="s">
        <v>127</v>
      </c>
      <c r="C39" s="2" t="s">
        <v>128</v>
      </c>
      <c r="D39" s="2">
        <f>D40+D41</f>
        <v>6871</v>
      </c>
    </row>
    <row r="40" ht="15.75" customHeight="1">
      <c r="B40" s="2" t="s">
        <v>129</v>
      </c>
      <c r="C40" s="2" t="s">
        <v>130</v>
      </c>
      <c r="D40" s="2">
        <f>Complete!N11</f>
        <v>6371</v>
      </c>
    </row>
    <row r="41" ht="15.75" customHeight="1">
      <c r="B41" s="2" t="s">
        <v>131</v>
      </c>
      <c r="C41" s="2" t="s">
        <v>132</v>
      </c>
      <c r="D41" s="2">
        <f>Complete!N10</f>
        <v>500</v>
      </c>
    </row>
    <row r="42" ht="15.75" customHeight="1">
      <c r="B42" s="2" t="s">
        <v>133</v>
      </c>
      <c r="C42" s="2" t="s">
        <v>134</v>
      </c>
      <c r="D42" s="73">
        <v>398600.0</v>
      </c>
    </row>
    <row r="43" ht="15.75" customHeight="1">
      <c r="B43" s="2" t="s">
        <v>135</v>
      </c>
      <c r="D43" s="2">
        <f>DEGREES(ASIN(D40*SIN(RADIANS(D46))/D39))</f>
        <v>65.94346479</v>
      </c>
      <c r="F43" s="2" t="s">
        <v>136</v>
      </c>
    </row>
    <row r="44" ht="15.75" customHeight="1">
      <c r="B44" s="2" t="s">
        <v>137</v>
      </c>
      <c r="C44" s="2" t="s">
        <v>138</v>
      </c>
      <c r="D44" s="2">
        <f>180-D46-D43</f>
        <v>14.05653521</v>
      </c>
    </row>
    <row r="45" ht="15.75" customHeight="1">
      <c r="B45" s="2" t="s">
        <v>139</v>
      </c>
      <c r="C45" s="2" t="s">
        <v>140</v>
      </c>
      <c r="D45" s="2">
        <f>Complete!N12-1E-13</f>
        <v>10</v>
      </c>
    </row>
    <row r="46" ht="15.75" customHeight="1">
      <c r="B46" s="2" t="s">
        <v>141</v>
      </c>
      <c r="C46" s="2" t="s">
        <v>142</v>
      </c>
      <c r="D46" s="2">
        <f>D45+90-1E-13</f>
        <v>100</v>
      </c>
    </row>
    <row r="47" ht="15.75" customHeight="1"/>
    <row r="48" ht="15.75" customHeight="1"/>
    <row r="49" ht="15.75" customHeight="1">
      <c r="B49" s="2" t="s">
        <v>143</v>
      </c>
      <c r="C49" s="2" t="s">
        <v>87</v>
      </c>
      <c r="D49" s="40">
        <f>2*PI()*SQRT(POWER(D39,3)/D42)</f>
        <v>5668.14751</v>
      </c>
      <c r="F49" s="2" t="s">
        <v>144</v>
      </c>
      <c r="I49" s="2" t="s">
        <v>145</v>
      </c>
    </row>
    <row r="50" ht="15.75" customHeight="1">
      <c r="B50" s="2" t="s">
        <v>146</v>
      </c>
      <c r="C50" s="2" t="s">
        <v>147</v>
      </c>
      <c r="D50" s="2">
        <f>2*D44</f>
        <v>28.11307043</v>
      </c>
    </row>
    <row r="51" ht="15.75" customHeight="1">
      <c r="B51" s="2" t="s">
        <v>148</v>
      </c>
      <c r="C51" s="2" t="s">
        <v>149</v>
      </c>
      <c r="D51" s="40">
        <f>D50/360*D49</f>
        <v>442.6361949</v>
      </c>
    </row>
    <row r="52" ht="15.75" customHeight="1">
      <c r="B52" s="2" t="s">
        <v>150</v>
      </c>
      <c r="C52" s="2" t="s">
        <v>151</v>
      </c>
      <c r="D52" s="74">
        <f>60*60*24/D49</f>
        <v>15.24307542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2014-02-27T12:16:14Z</dcterms:created>
  <dc:creator>rogerbi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