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9185B133-6CC8-4009-AAC7-4D6CE22318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lec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25" i="2"/>
  <c r="E36" i="2"/>
  <c r="L43" i="2"/>
  <c r="E90" i="2"/>
  <c r="I93" i="2"/>
  <c r="D20" i="2"/>
  <c r="C44" i="2"/>
  <c r="D97" i="2"/>
  <c r="J9" i="2"/>
  <c r="E73" i="2"/>
  <c r="K98" i="2"/>
  <c r="I103" i="2"/>
  <c r="G90" i="2"/>
  <c r="I86" i="2"/>
  <c r="H32" i="2"/>
  <c r="E97" i="2"/>
  <c r="G100" i="2"/>
  <c r="C102" i="2"/>
  <c r="H16" i="2"/>
  <c r="G103" i="2"/>
  <c r="F90" i="2"/>
  <c r="F78" i="2"/>
  <c r="J93" i="2"/>
  <c r="E29" i="2"/>
  <c r="E8" i="2"/>
  <c r="J103" i="2"/>
  <c r="H90" i="2"/>
  <c r="D102" i="2"/>
  <c r="F97" i="2"/>
  <c r="H100" i="2"/>
  <c r="K26" i="2"/>
  <c r="G47" i="2"/>
  <c r="I74" i="2"/>
  <c r="G36" i="2"/>
  <c r="L91" i="2"/>
  <c r="K47" i="2"/>
  <c r="L98" i="2"/>
  <c r="K21" i="2"/>
  <c r="I98" i="2"/>
  <c r="L74" i="2"/>
  <c r="F61" i="2"/>
  <c r="F54" i="2"/>
  <c r="D44" i="2"/>
  <c r="K32" i="2"/>
  <c r="C63" i="2"/>
  <c r="C41" i="2"/>
  <c r="E44" i="2"/>
  <c r="I66" i="2"/>
  <c r="I42" i="2"/>
  <c r="G73" i="2"/>
  <c r="F13" i="2"/>
  <c r="C75" i="2"/>
  <c r="K81" i="2"/>
  <c r="K69" i="2"/>
  <c r="G85" i="2"/>
  <c r="I78" i="2"/>
  <c r="I90" i="2"/>
  <c r="K93" i="2"/>
  <c r="C87" i="2"/>
  <c r="D99" i="2"/>
  <c r="C99" i="2"/>
  <c r="K103" i="2"/>
  <c r="G97" i="2"/>
  <c r="I100" i="2"/>
  <c r="E102" i="2"/>
  <c r="D63" i="2"/>
  <c r="J66" i="2"/>
  <c r="H73" i="2"/>
  <c r="L47" i="2"/>
  <c r="D87" i="2"/>
  <c r="J100" i="2"/>
  <c r="F44" i="2"/>
  <c r="L81" i="2"/>
  <c r="L69" i="2"/>
  <c r="L93" i="2"/>
  <c r="J78" i="2"/>
  <c r="K57" i="2"/>
  <c r="H97" i="2"/>
  <c r="J90" i="2"/>
  <c r="H85" i="2"/>
  <c r="K43" i="2"/>
  <c r="L103" i="2"/>
  <c r="D75" i="2"/>
  <c r="F102" i="2"/>
  <c r="L14" i="2"/>
  <c r="H42" i="2"/>
  <c r="K74" i="2"/>
  <c r="L62" i="2"/>
  <c r="J81" i="2"/>
  <c r="J69" i="2"/>
  <c r="H25" i="2"/>
  <c r="F36" i="2"/>
  <c r="I25" i="2"/>
  <c r="F15" i="2"/>
  <c r="G8" i="2"/>
  <c r="I8" i="2"/>
  <c r="J13" i="2"/>
  <c r="D22" i="2"/>
  <c r="L16" i="2"/>
  <c r="H20" i="2"/>
  <c r="D41" i="2"/>
  <c r="L32" i="2"/>
  <c r="H36" i="2"/>
  <c r="G15" i="2"/>
  <c r="J42" i="2"/>
  <c r="E22" i="2"/>
  <c r="G58" i="2"/>
  <c r="G49" i="2"/>
  <c r="E15" i="2"/>
  <c r="F29" i="2"/>
  <c r="E41" i="2"/>
  <c r="E10" i="2"/>
  <c r="K25" i="2"/>
  <c r="J25" i="2"/>
  <c r="I36" i="2"/>
  <c r="C19" i="2"/>
  <c r="I20" i="2"/>
  <c r="G29" i="2"/>
  <c r="G44" i="2"/>
  <c r="K42" i="2"/>
  <c r="I61" i="2"/>
  <c r="I54" i="2"/>
  <c r="K13" i="2"/>
  <c r="C48" i="2"/>
  <c r="K66" i="2"/>
  <c r="K78" i="2"/>
  <c r="E63" i="2"/>
  <c r="C82" i="2"/>
  <c r="I73" i="2"/>
  <c r="E75" i="2"/>
  <c r="I85" i="2"/>
  <c r="E99" i="2"/>
  <c r="E87" i="2"/>
  <c r="C104" i="2"/>
  <c r="C94" i="2"/>
  <c r="K90" i="2"/>
  <c r="F100" i="2"/>
  <c r="C22" i="2"/>
  <c r="C15" i="2"/>
  <c r="I97" i="2"/>
  <c r="J16" i="2"/>
  <c r="K100" i="2"/>
  <c r="K16" i="2"/>
  <c r="J32" i="2"/>
  <c r="G102" i="2"/>
  <c r="D85" i="2"/>
  <c r="I81" i="2"/>
  <c r="I69" i="2"/>
  <c r="H66" i="2"/>
  <c r="I13" i="2"/>
  <c r="F8" i="2"/>
  <c r="G66" i="2"/>
  <c r="L86" i="2"/>
  <c r="H78" i="2"/>
  <c r="J47" i="2"/>
  <c r="G20" i="2"/>
  <c r="G61" i="2"/>
  <c r="G54" i="2"/>
  <c r="D10" i="2"/>
  <c r="L13" i="2"/>
  <c r="H8" i="2"/>
  <c r="H15" i="2"/>
  <c r="J8" i="2"/>
  <c r="F10" i="2"/>
  <c r="D19" i="2"/>
  <c r="F22" i="2"/>
  <c r="J20" i="2"/>
  <c r="H44" i="2"/>
  <c r="L25" i="2"/>
  <c r="L42" i="2"/>
  <c r="H29" i="2"/>
  <c r="J36" i="2"/>
  <c r="J61" i="2"/>
  <c r="J54" i="2"/>
  <c r="F63" i="2"/>
  <c r="H58" i="2"/>
  <c r="H49" i="2"/>
  <c r="L78" i="2"/>
  <c r="D48" i="2"/>
  <c r="F41" i="2"/>
  <c r="F75" i="2"/>
  <c r="H102" i="2"/>
  <c r="J73" i="2"/>
  <c r="L66" i="2"/>
  <c r="D94" i="2"/>
  <c r="J85" i="2"/>
  <c r="J97" i="2"/>
  <c r="D82" i="2"/>
  <c r="F87" i="2"/>
  <c r="L90" i="2"/>
  <c r="F99" i="2"/>
  <c r="D104" i="2"/>
  <c r="E100" i="2"/>
  <c r="L100" i="2"/>
  <c r="H93" i="2"/>
  <c r="I29" i="2"/>
  <c r="J74" i="2"/>
  <c r="K9" i="2"/>
  <c r="F85" i="2"/>
  <c r="D15" i="2"/>
  <c r="I15" i="2"/>
  <c r="D29" i="2"/>
  <c r="G10" i="2"/>
  <c r="K8" i="2"/>
  <c r="C10" i="2"/>
  <c r="C26" i="2"/>
  <c r="K36" i="2"/>
  <c r="C14" i="2"/>
  <c r="K20" i="2"/>
  <c r="E48" i="2"/>
  <c r="E19" i="2"/>
  <c r="G41" i="2"/>
  <c r="C43" i="2"/>
  <c r="G22" i="2"/>
  <c r="E80" i="2"/>
  <c r="E68" i="2"/>
  <c r="E35" i="2"/>
  <c r="G75" i="2"/>
  <c r="C79" i="2"/>
  <c r="C67" i="2"/>
  <c r="I44" i="2"/>
  <c r="G63" i="2"/>
  <c r="C57" i="2"/>
  <c r="K61" i="2"/>
  <c r="K54" i="2"/>
  <c r="K73" i="2"/>
  <c r="C101" i="2"/>
  <c r="E82" i="2"/>
  <c r="K85" i="2"/>
  <c r="G87" i="2"/>
  <c r="C91" i="2"/>
  <c r="E94" i="2"/>
  <c r="K97" i="2"/>
  <c r="G99" i="2"/>
  <c r="F94" i="2"/>
  <c r="C36" i="2"/>
  <c r="C8" i="2"/>
  <c r="I102" i="2"/>
  <c r="I58" i="2"/>
  <c r="I49" i="2"/>
  <c r="I21" i="2"/>
  <c r="E104" i="2"/>
  <c r="L97" i="2"/>
  <c r="I47" i="2"/>
  <c r="F66" i="2"/>
  <c r="K91" i="2"/>
  <c r="I62" i="2"/>
  <c r="G13" i="2"/>
  <c r="H103" i="2"/>
  <c r="D26" i="2"/>
  <c r="G25" i="2"/>
  <c r="F48" i="2"/>
  <c r="H87" i="2"/>
  <c r="H99" i="2"/>
  <c r="J58" i="2"/>
  <c r="J49" i="2"/>
  <c r="H59" i="2"/>
  <c r="H53" i="2"/>
  <c r="F82" i="2"/>
  <c r="H75" i="2"/>
  <c r="L73" i="2"/>
  <c r="D91" i="2"/>
  <c r="D58" i="2"/>
  <c r="D49" i="2"/>
  <c r="C80" i="2"/>
  <c r="C68" i="2"/>
  <c r="C35" i="2"/>
  <c r="L36" i="2"/>
  <c r="L85" i="2"/>
  <c r="H10" i="2"/>
  <c r="G32" i="2"/>
  <c r="F104" i="2"/>
  <c r="D101" i="2"/>
  <c r="J102" i="2"/>
  <c r="F42" i="2"/>
  <c r="E58" i="2"/>
  <c r="E49" i="2"/>
  <c r="L101" i="2"/>
  <c r="L26" i="2"/>
  <c r="I32" i="2"/>
  <c r="G93" i="2"/>
  <c r="L79" i="2"/>
  <c r="L67" i="2"/>
  <c r="I9" i="2"/>
  <c r="K79" i="2"/>
  <c r="K67" i="2"/>
  <c r="C58" i="2"/>
  <c r="C49" i="2"/>
  <c r="C20" i="2"/>
  <c r="E78" i="2"/>
  <c r="D57" i="2"/>
  <c r="I10" i="2"/>
  <c r="D43" i="2"/>
  <c r="J44" i="2"/>
  <c r="H41" i="2"/>
  <c r="J29" i="2"/>
  <c r="D79" i="2"/>
  <c r="D67" i="2"/>
  <c r="C21" i="2"/>
  <c r="E43" i="2"/>
  <c r="H63" i="2"/>
  <c r="E14" i="2"/>
  <c r="L20" i="2"/>
  <c r="K15" i="2"/>
  <c r="L61" i="2"/>
  <c r="L54" i="2"/>
  <c r="G19" i="2"/>
  <c r="I22" i="2"/>
  <c r="E26" i="2"/>
  <c r="K29" i="2"/>
  <c r="C60" i="2"/>
  <c r="C50" i="2"/>
  <c r="G80" i="2"/>
  <c r="G68" i="2"/>
  <c r="G35" i="2"/>
  <c r="C86" i="2"/>
  <c r="E79" i="2"/>
  <c r="E67" i="2"/>
  <c r="K58" i="2"/>
  <c r="K49" i="2"/>
  <c r="C9" i="2"/>
  <c r="I41" i="2"/>
  <c r="G48" i="2"/>
  <c r="C92" i="2"/>
  <c r="C70" i="2"/>
  <c r="C37" i="2"/>
  <c r="G82" i="2"/>
  <c r="G16" i="2"/>
  <c r="I63" i="2"/>
  <c r="K44" i="2"/>
  <c r="I59" i="2"/>
  <c r="I53" i="2"/>
  <c r="E91" i="2"/>
  <c r="E57" i="2"/>
  <c r="C62" i="2"/>
  <c r="E66" i="2"/>
  <c r="J62" i="2"/>
  <c r="I75" i="2"/>
  <c r="K86" i="2"/>
  <c r="C98" i="2"/>
  <c r="K102" i="2"/>
  <c r="C74" i="2"/>
  <c r="I87" i="2"/>
  <c r="G94" i="2"/>
  <c r="G104" i="2"/>
  <c r="E42" i="2"/>
  <c r="E101" i="2"/>
  <c r="C85" i="2"/>
  <c r="K101" i="2"/>
  <c r="D36" i="2"/>
  <c r="L21" i="2"/>
  <c r="J21" i="2"/>
  <c r="J86" i="2"/>
  <c r="I99" i="2"/>
  <c r="D73" i="2"/>
  <c r="F73" i="2"/>
  <c r="H61" i="2"/>
  <c r="H54" i="2"/>
  <c r="D98" i="2"/>
  <c r="H13" i="2"/>
  <c r="C73" i="2"/>
  <c r="I16" i="2"/>
  <c r="D9" i="2"/>
  <c r="E85" i="2"/>
  <c r="E61" i="2"/>
  <c r="E54" i="2"/>
  <c r="C29" i="2"/>
  <c r="G78" i="2"/>
  <c r="J10" i="2"/>
  <c r="L57" i="2"/>
  <c r="H104" i="2"/>
  <c r="J99" i="2"/>
  <c r="J22" i="2"/>
  <c r="F14" i="2"/>
  <c r="D21" i="2"/>
  <c r="F101" i="2"/>
  <c r="F26" i="2"/>
  <c r="H94" i="2"/>
  <c r="J98" i="2"/>
  <c r="L102" i="2"/>
  <c r="H81" i="2"/>
  <c r="H69" i="2"/>
  <c r="E20" i="2"/>
  <c r="G42" i="2"/>
  <c r="D92" i="2"/>
  <c r="D70" i="2"/>
  <c r="D37" i="2"/>
  <c r="L15" i="2"/>
  <c r="H22" i="2"/>
  <c r="J41" i="2"/>
  <c r="D80" i="2"/>
  <c r="D68" i="2"/>
  <c r="D35" i="2"/>
  <c r="L9" i="2"/>
  <c r="D14" i="2"/>
  <c r="F20" i="2"/>
  <c r="L8" i="2"/>
  <c r="H80" i="2"/>
  <c r="H68" i="2"/>
  <c r="H35" i="2"/>
  <c r="F58" i="2"/>
  <c r="F49" i="2"/>
  <c r="F19" i="2"/>
  <c r="D86" i="2"/>
  <c r="J15" i="2"/>
  <c r="L44" i="2"/>
  <c r="F80" i="2"/>
  <c r="F68" i="2"/>
  <c r="F35" i="2"/>
  <c r="H19" i="2"/>
  <c r="D60" i="2"/>
  <c r="D50" i="2"/>
  <c r="J87" i="2"/>
  <c r="K62" i="2"/>
  <c r="F91" i="2"/>
  <c r="L29" i="2"/>
  <c r="F43" i="2"/>
  <c r="E21" i="2"/>
  <c r="H82" i="2"/>
  <c r="J63" i="2"/>
  <c r="C32" i="2"/>
  <c r="I19" i="2"/>
  <c r="G14" i="2"/>
  <c r="G26" i="2"/>
  <c r="K41" i="2"/>
  <c r="E92" i="2"/>
  <c r="E70" i="2"/>
  <c r="E37" i="2"/>
  <c r="G43" i="2"/>
  <c r="E60" i="2"/>
  <c r="E50" i="2"/>
  <c r="K75" i="2"/>
  <c r="K59" i="2"/>
  <c r="K53" i="2"/>
  <c r="E62" i="2"/>
  <c r="C59" i="2"/>
  <c r="C53" i="2"/>
  <c r="G57" i="2"/>
  <c r="C47" i="2"/>
  <c r="E86" i="2"/>
  <c r="E74" i="2"/>
  <c r="K63" i="2"/>
  <c r="G79" i="2"/>
  <c r="G67" i="2"/>
  <c r="G101" i="2"/>
  <c r="C93" i="2"/>
  <c r="E98" i="2"/>
  <c r="K87" i="2"/>
  <c r="C81" i="2"/>
  <c r="C69" i="2"/>
  <c r="I82" i="2"/>
  <c r="G91" i="2"/>
  <c r="E9" i="2"/>
  <c r="K22" i="2"/>
  <c r="I104" i="2"/>
  <c r="I94" i="2"/>
  <c r="K99" i="2"/>
  <c r="K10" i="2"/>
  <c r="C103" i="2"/>
  <c r="C16" i="2"/>
  <c r="I48" i="2"/>
  <c r="F9" i="2"/>
  <c r="L10" i="2"/>
  <c r="I80" i="2"/>
  <c r="I68" i="2"/>
  <c r="I35" i="2"/>
  <c r="H14" i="2"/>
  <c r="J48" i="2"/>
  <c r="J80" i="2"/>
  <c r="J68" i="2"/>
  <c r="J35" i="2"/>
  <c r="D16" i="2"/>
  <c r="D47" i="2"/>
  <c r="F60" i="2"/>
  <c r="F50" i="2"/>
  <c r="H43" i="2"/>
  <c r="H26" i="2"/>
  <c r="D32" i="2"/>
  <c r="F21" i="2"/>
  <c r="J19" i="2"/>
  <c r="L63" i="2"/>
  <c r="F86" i="2"/>
  <c r="L41" i="2"/>
  <c r="F92" i="2"/>
  <c r="F70" i="2"/>
  <c r="F37" i="2"/>
  <c r="G59" i="2"/>
  <c r="G53" i="2"/>
  <c r="J82" i="2"/>
  <c r="L59" i="2"/>
  <c r="L53" i="2"/>
  <c r="H47" i="2"/>
  <c r="D59" i="2"/>
  <c r="D53" i="2"/>
  <c r="J94" i="2"/>
  <c r="F74" i="2"/>
  <c r="L75" i="2"/>
  <c r="H79" i="2"/>
  <c r="H67" i="2"/>
  <c r="D81" i="2"/>
  <c r="D69" i="2"/>
  <c r="L22" i="2"/>
  <c r="H57" i="2"/>
  <c r="J92" i="2"/>
  <c r="J70" i="2"/>
  <c r="J37" i="2"/>
  <c r="F62" i="2"/>
  <c r="G81" i="2"/>
  <c r="G69" i="2"/>
  <c r="D93" i="2"/>
  <c r="J60" i="2"/>
  <c r="J50" i="2"/>
  <c r="I57" i="2"/>
  <c r="D103" i="2"/>
  <c r="K14" i="2"/>
  <c r="E59" i="2"/>
  <c r="E53" i="2"/>
  <c r="E25" i="2"/>
  <c r="I60" i="2"/>
  <c r="I50" i="2"/>
  <c r="C97" i="2"/>
  <c r="K80" i="2"/>
  <c r="K68" i="2"/>
  <c r="K35" i="2"/>
  <c r="F57" i="2"/>
  <c r="L99" i="2"/>
  <c r="L87" i="2"/>
  <c r="D8" i="2"/>
  <c r="C25" i="2"/>
  <c r="E81" i="2"/>
  <c r="E69" i="2"/>
  <c r="J104" i="2"/>
  <c r="F98" i="2"/>
  <c r="I92" i="2"/>
  <c r="I70" i="2"/>
  <c r="I37" i="2"/>
  <c r="E32" i="2"/>
  <c r="G98" i="2"/>
  <c r="C61" i="2"/>
  <c r="C54" i="2"/>
  <c r="L58" i="2"/>
  <c r="L49" i="2"/>
  <c r="I26" i="2"/>
  <c r="G21" i="2"/>
  <c r="H101" i="2"/>
  <c r="H91" i="2"/>
  <c r="G92" i="2"/>
  <c r="G70" i="2"/>
  <c r="G37" i="2"/>
  <c r="I43" i="2"/>
  <c r="G62" i="2"/>
  <c r="K19" i="2"/>
  <c r="C42" i="2"/>
  <c r="K92" i="2"/>
  <c r="K70" i="2"/>
  <c r="K37" i="2"/>
  <c r="K60" i="2"/>
  <c r="K50" i="2"/>
  <c r="G74" i="2"/>
  <c r="E93" i="2"/>
  <c r="C66" i="2"/>
  <c r="C100" i="2"/>
  <c r="G86" i="2"/>
  <c r="I79" i="2"/>
  <c r="I67" i="2"/>
  <c r="C78" i="2"/>
  <c r="C90" i="2"/>
  <c r="H48" i="2"/>
  <c r="E47" i="2"/>
  <c r="F32" i="2"/>
  <c r="I101" i="2"/>
  <c r="K48" i="2"/>
  <c r="K94" i="2"/>
  <c r="E103" i="2"/>
  <c r="H9" i="2"/>
  <c r="G60" i="2"/>
  <c r="G50" i="2"/>
  <c r="I91" i="2"/>
  <c r="J75" i="2"/>
  <c r="L19" i="2"/>
  <c r="D42" i="2"/>
  <c r="E16" i="2"/>
  <c r="K82" i="2"/>
  <c r="D62" i="2"/>
  <c r="D13" i="2"/>
  <c r="J59" i="2"/>
  <c r="J53" i="2"/>
  <c r="K104" i="2"/>
  <c r="D74" i="2"/>
  <c r="F16" i="2"/>
  <c r="F79" i="2"/>
  <c r="F67" i="2"/>
  <c r="I14" i="2"/>
  <c r="J14" i="2"/>
  <c r="F81" i="2"/>
  <c r="F69" i="2"/>
  <c r="D25" i="2"/>
  <c r="H86" i="2"/>
  <c r="L60" i="2"/>
  <c r="L50" i="2"/>
  <c r="J43" i="2"/>
  <c r="L48" i="2"/>
  <c r="D90" i="2"/>
  <c r="F59" i="2"/>
  <c r="F53" i="2"/>
  <c r="C13" i="2"/>
  <c r="D100" i="2"/>
  <c r="F103" i="2"/>
  <c r="L92" i="2"/>
  <c r="L70" i="2"/>
  <c r="L37" i="2"/>
  <c r="H60" i="2"/>
  <c r="H50" i="2"/>
  <c r="D61" i="2"/>
  <c r="D54" i="2"/>
  <c r="D78" i="2"/>
  <c r="F47" i="2"/>
  <c r="H98" i="2"/>
  <c r="J101" i="2"/>
  <c r="J91" i="2"/>
  <c r="G9" i="2"/>
  <c r="L82" i="2"/>
  <c r="H92" i="2"/>
  <c r="H70" i="2"/>
  <c r="H37" i="2"/>
  <c r="F93" i="2"/>
  <c r="D66" i="2"/>
  <c r="J26" i="2"/>
  <c r="L94" i="2"/>
  <c r="L104" i="2"/>
  <c r="J79" i="2"/>
  <c r="J67" i="2"/>
  <c r="J57" i="2"/>
  <c r="H62" i="2"/>
  <c r="H21" i="2"/>
  <c r="L80" i="2"/>
  <c r="L68" i="2"/>
  <c r="L35" i="2"/>
  <c r="H74" i="2"/>
</calcChain>
</file>

<file path=xl/sharedStrings.xml><?xml version="1.0" encoding="utf-8"?>
<sst xmlns="http://schemas.openxmlformats.org/spreadsheetml/2006/main" count="172" uniqueCount="149">
  <si>
    <t>Verizon Communications Inc (VZ US) - Telecom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</si>
  <si>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</si>
  <si>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</si>
  <si>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</si>
  <si>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</si>
  <si>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</si>
  <si>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</si>
  <si>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</si>
  <si>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</si>
  <si>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</si>
  <si>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</si>
  <si>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</si>
  <si>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</si>
  <si>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</si>
  <si>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</si>
  <si>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</si>
  <si>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</si>
  <si>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</si>
  <si>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</si>
  <si>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</si>
  <si>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</si>
  <si>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</si>
  <si>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</si>
  <si>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Wireless</t>
  </si>
  <si>
    <t>Revenues</t>
  </si>
  <si>
    <t>Wireless Revenue</t>
  </si>
  <si>
    <t>WIRELESS_REVENUE</t>
  </si>
  <si>
    <t>Wireless Service Revenue</t>
  </si>
  <si>
    <t>CELLULAR_SERVICE_REVENUE</t>
  </si>
  <si>
    <t>Wireless Equipment Revenue</t>
  </si>
  <si>
    <t>EQUIP_REVENUES_CELLULAR_TELECOM</t>
  </si>
  <si>
    <t>Subscribers</t>
  </si>
  <si>
    <t>Total Wireless Subscribers (RGU)</t>
  </si>
  <si>
    <t>NUMBER_OF_CELLULAR_SUBSCRIBERS</t>
  </si>
  <si>
    <t>Wireless Subscribers-Postpaid</t>
  </si>
  <si>
    <t>TOTAL_WIRELESS_SUBSCRIBERS_PPD</t>
  </si>
  <si>
    <t>Wireless Subscribers-Prepaid</t>
  </si>
  <si>
    <t>TOTAL_WIRELESS_SUBSCRIBERS_PREPD</t>
  </si>
  <si>
    <t>Average Wireless Subscribers</t>
  </si>
  <si>
    <t>AVERAGE_WIRELESS_SUBSCRIBERS</t>
  </si>
  <si>
    <t>Subscriber Additions</t>
  </si>
  <si>
    <t>Wireless Subscriber Additions</t>
  </si>
  <si>
    <t>CELLULAR_NET_SUBSCRIBER_ADDITION</t>
  </si>
  <si>
    <t>Organic Net Additions</t>
  </si>
  <si>
    <t>ORGANIC_NET_ADDS</t>
  </si>
  <si>
    <t>Net Wireless Additions-Postpaid</t>
  </si>
  <si>
    <t>NET_WIRELESS_SUBSCRIBER_ADDS_PPD</t>
  </si>
  <si>
    <t>Net Wireless Additions-Prepaid</t>
  </si>
  <si>
    <t>NET_WIRELESS_SUBSCR_ADDS_PREPD</t>
  </si>
  <si>
    <t>Churn (%)</t>
  </si>
  <si>
    <t>Blended</t>
  </si>
  <si>
    <t>TELECOM_CELLULAR_CHURN_RATE</t>
  </si>
  <si>
    <t>Postpaid</t>
  </si>
  <si>
    <t>WIRELESS_POSTPAID_CHURN</t>
  </si>
  <si>
    <t>Monthly Average Revenue per User</t>
  </si>
  <si>
    <t>Wireless Average Revenue Per Unit (ARPU)</t>
  </si>
  <si>
    <t>AVG_REVENUE_PER_CELL_SUBSCRIBER</t>
  </si>
  <si>
    <t>Other Data</t>
  </si>
  <si>
    <t>Fourth Generation Markets</t>
  </si>
  <si>
    <t>FOURTH_GENERATION_MARKETS</t>
  </si>
  <si>
    <t>Financial Data</t>
  </si>
  <si>
    <t>EBITDA</t>
  </si>
  <si>
    <t>Operating Income</t>
  </si>
  <si>
    <t>ARD_OPERATING_INCOME</t>
  </si>
  <si>
    <t>Capital Expenditures/Prop Add</t>
  </si>
  <si>
    <t>CF_CAP_EXPEND_PRPTY_ADD</t>
  </si>
  <si>
    <t>Wireline</t>
  </si>
  <si>
    <t>Wireline Revenue</t>
  </si>
  <si>
    <t>WIRELINE_REVENUE</t>
  </si>
  <si>
    <t>Wireline Residential Revenue</t>
  </si>
  <si>
    <t>WIRELINE_RESIDENTIAL_REVENUE</t>
  </si>
  <si>
    <t>Wireline Business Revenue</t>
  </si>
  <si>
    <t>WIRELINE_BUSINESS_REVENUE</t>
  </si>
  <si>
    <t>Strategic Services Revenue</t>
  </si>
  <si>
    <t>STRATEGIC_SERVICES_REVENUE</t>
  </si>
  <si>
    <t>Total Wireline Subscribers (RGU)</t>
  </si>
  <si>
    <t>NUMBER_OF_WIRELINE_SUBSCRIBERS</t>
  </si>
  <si>
    <t>Residential Access Lines</t>
  </si>
  <si>
    <t>RESIDENTIAL_ACCESS_LINES</t>
  </si>
  <si>
    <t>Total Cable Subscribers</t>
  </si>
  <si>
    <t>TOTAL_CABLE_SUBSCRIBERS</t>
  </si>
  <si>
    <t>Broadband Internet Subscribers</t>
  </si>
  <si>
    <t>BROADBAND_HSI_SUBSCRIBERS</t>
  </si>
  <si>
    <t>Total Cable Subscriber Additions</t>
  </si>
  <si>
    <t>TOTAL_CABLE_SUBSCRIBER_ADDS</t>
  </si>
  <si>
    <t>Broadband Net Subscriber Adds</t>
  </si>
  <si>
    <t>BROADBAND_HSI_NET_SUBSCRIB_ADDS</t>
  </si>
  <si>
    <t>IPTV &amp; Broadband</t>
  </si>
  <si>
    <t>Digital Cable Revenue</t>
  </si>
  <si>
    <t>DIGITAL_CABLE_REVENUE</t>
  </si>
  <si>
    <t>Broadband/High Speed Internet Subscribers</t>
  </si>
  <si>
    <t>Broadband/High Speed Internet Net Subscriber Adds</t>
  </si>
  <si>
    <t>Video ARPU</t>
  </si>
  <si>
    <t>VIDEO_ARPU</t>
  </si>
  <si>
    <t>Total Cable Penetration</t>
  </si>
  <si>
    <t>TOTAL_CABLE_PENETRATION</t>
  </si>
  <si>
    <t>Cost of Revenue</t>
  </si>
  <si>
    <t>IS_COGS_TO_FE_AND_PP_AND_G</t>
  </si>
  <si>
    <t>Gross Profit</t>
  </si>
  <si>
    <t>GROSS_PROFIT</t>
  </si>
  <si>
    <t>Operating Income or Losses</t>
  </si>
  <si>
    <t>IS_OPER_INC</t>
  </si>
  <si>
    <t>Financial Margins</t>
  </si>
  <si>
    <t>Gross Margin</t>
  </si>
  <si>
    <t>GROSS_MARGIN</t>
  </si>
  <si>
    <t>EBITDA Margin</t>
  </si>
  <si>
    <t>EBITDA_TO_REVENUE</t>
  </si>
  <si>
    <t>Operating Margin</t>
  </si>
  <si>
    <t>OPER_MARGIN</t>
  </si>
  <si>
    <t>Aggregate</t>
  </si>
  <si>
    <t>Revenue</t>
  </si>
  <si>
    <t>SALES_REV_TURN</t>
  </si>
  <si>
    <t>Normalized Income</t>
  </si>
  <si>
    <t>NORMALIZED_INCOME</t>
  </si>
  <si>
    <t>Dividends</t>
  </si>
  <si>
    <t>Dividends per Share</t>
  </si>
  <si>
    <t>EQY_DPS</t>
  </si>
  <si>
    <t>Dividend Indicated Yld - Gross</t>
  </si>
  <si>
    <t>EQY_DVD_YLD_IND</t>
  </si>
  <si>
    <t>Dividend Coverage Ratio</t>
  </si>
  <si>
    <t>CASH_DVD_COVERAGE</t>
  </si>
  <si>
    <t>Cash Flows</t>
  </si>
  <si>
    <t>Working Capital</t>
  </si>
  <si>
    <t>WORKING_CAPITAL</t>
  </si>
  <si>
    <t>Cash From Operations</t>
  </si>
  <si>
    <t>CF_CASH_FROM_OPER</t>
  </si>
  <si>
    <t>Free Cash Flow</t>
  </si>
  <si>
    <t>CF_FREE_CASH_FLOW</t>
  </si>
  <si>
    <t>Free Cash Flow/Diluted Share</t>
  </si>
  <si>
    <t>FCF_PER_DIL_SHR</t>
  </si>
  <si>
    <t>Other</t>
  </si>
  <si>
    <t>Average Revenue Per Customer</t>
  </si>
  <si>
    <t>AVG_MONTHLY_REV_PER_CUSTOMER</t>
  </si>
  <si>
    <t>Total Monthly Churn Rate</t>
  </si>
  <si>
    <t>TOTAL_MONTHLY_CHURN_RATE</t>
  </si>
  <si>
    <t>Wireline Service Revenue</t>
  </si>
  <si>
    <t>WIRELINE_SERVICE_REVENUE</t>
  </si>
  <si>
    <t>Wireline ARPU Monthly</t>
  </si>
  <si>
    <t>ARPU_AVG_REVENUE_PER_SUBSCRIBER</t>
  </si>
  <si>
    <t>Total Cable Homes Passed</t>
  </si>
  <si>
    <t>TOTAL_CABLE_HOMES_PASSED</t>
  </si>
  <si>
    <t>Internet/Data Homes Passed</t>
  </si>
  <si>
    <t>INTERNET_ACCESS_HOMES_PASSED</t>
  </si>
  <si>
    <t>Internet/Data Penetration</t>
  </si>
  <si>
    <t>INTERNET_PENETRATION</t>
  </si>
  <si>
    <t>Internet/Data Subscriber Additions</t>
  </si>
  <si>
    <t>INTERNET_DATA_SUBSCRIBER_ADDS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</si>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</sst>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5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164" fontId="1" fillId="34" borderId="2" xfId="53">
      <alignment horizontal="right"/>
    </xf>
    <xf numFmtId="4" fontId="1" fillId="34" borderId="2" xfId="54">
      <alignment horizontal="right"/>
    </xf>
    <xf numFmtId="3" fontId="7" fillId="34" borderId="2" xfId="55">
      <alignment horizontal="right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standard_0_grouped" xfId="52" xr:uid="{00000000-0005-0000-0000-000024000000}"/>
    <cellStyle name="fa_data_standard_1_grouped" xfId="53" xr:uid="{00000000-0005-0000-0000-000025000000}"/>
    <cellStyle name="fa_data_standard_2_grouped" xfId="54" xr:uid="{00000000-0005-0000-0000-000026000000}"/>
    <cellStyle name="fa_footer_italic" xfId="34" xr:uid="{00000000-0005-0000-0000-000027000000}"/>
    <cellStyle name="fa_row_header_bold" xfId="35" xr:uid="{00000000-0005-0000-0000-000028000000}"/>
    <cellStyle name="fa_row_header_standard" xfId="36" xr:uid="{00000000-0005-0000-0000-000029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6" t="s">
        <v>24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0" t="s">
        <v>25</v>
      </c>
      <c r="B8" s="10" t="s">
        <v>26</v>
      </c>
      <c r="C8" s="12">
        <f>_xll.BDH("VZ US Equity","WIRELESS_REVENUE","FY 2013","FY 2013","Currency=USD","Period=FY","BEST_FPERIOD_OVERRIDE=FY","FILING_STATUS=MR","SCALING_FORMAT=MLN","Sort=A","Dates=H","DateFormat=P","Fill=—","Direction=H","UseDPDF=Y")</f>
        <v>81023</v>
      </c>
      <c r="D8" s="12">
        <f>_xll.BDH("VZ US Equity","WIRELESS_REVENUE","FY 2014","FY 2014","Currency=USD","Period=FY","BEST_FPERIOD_OVERRIDE=FY","FILING_STATUS=MR","SCALING_FORMAT=MLN","Sort=A","Dates=H","DateFormat=P","Fill=—","Direction=H","UseDPDF=Y")</f>
        <v>87646</v>
      </c>
      <c r="E8" s="12">
        <f>_xll.BDH("VZ US Equity","WIRELESS_REVENUE","FY 2015","FY 2015","Currency=USD","Period=FY","BEST_FPERIOD_OVERRIDE=FY","FILING_STATUS=MR","SCALING_FORMAT=MLN","Sort=A","Dates=H","DateFormat=P","Fill=—","Direction=H","UseDPDF=Y")</f>
        <v>91680</v>
      </c>
      <c r="F8" s="12">
        <f>_xll.BDH("VZ US Equity","WIRELESS_REVENUE","FY 2016","FY 2016","Currency=USD","Period=FY","BEST_FPERIOD_OVERRIDE=FY","FILING_STATUS=MR","SCALING_FORMAT=MLN","Sort=A","Dates=H","DateFormat=P","Fill=—","Direction=H","UseDPDF=Y")</f>
        <v>89186</v>
      </c>
      <c r="G8" s="12">
        <f>_xll.BDH("VZ US Equity","WIRELESS_REVENUE","FY 2017","FY 2017","Currency=USD","Period=FY","BEST_FPERIOD_OVERRIDE=FY","FILING_STATUS=MR","SCALING_FORMAT=MLN","Sort=A","Dates=H","DateFormat=P","Fill=—","Direction=H","UseDPDF=Y")</f>
        <v>87511</v>
      </c>
      <c r="H8" s="12">
        <f>_xll.BDH("VZ US Equity","WIRELESS_REVENUE","FY 2018","FY 2018","Currency=USD","Period=FY","BEST_FPERIOD_OVERRIDE=FY","FILING_STATUS=MR","SCALING_FORMAT=MLN","Sort=A","Dates=H","DateFormat=P","Fill=—","Direction=H","UseDPDF=Y")</f>
        <v>91734</v>
      </c>
      <c r="I8" s="12">
        <f>_xll.BDH("VZ US Equity","WIRELESS_REVENUE","FY 2019","FY 2019","Currency=USD","Period=FY","BEST_FPERIOD_OVERRIDE=FY","FILING_STATUS=MR","SCALING_FORMAT=MLN","Sort=A","Dates=H","DateFormat=P","Fill=—","Direction=H","UseDPDF=Y")</f>
        <v>94114</v>
      </c>
      <c r="J8" s="12">
        <f>_xll.BDH("VZ US Equity","WIRELESS_REVENUE","FY 2020","FY 2020","Currency=USD","Period=FY","BEST_FPERIOD_OVERRIDE=FY","FILING_STATUS=MR","SCALING_FORMAT=MLN","Sort=A","Dates=H","DateFormat=P","Fill=—","Direction=H","UseDPDF=Y")</f>
        <v>92073</v>
      </c>
      <c r="K8" s="12">
        <f>_xll.BDH("VZ US Equity","WIRELESS_REVENUE","FY 2021","FY 2021","Currency=USD","Period=FY","BEST_FPERIOD_OVERRIDE=FY","FILING_STATUS=MR","SCALING_FORMAT=MLN","Sort=A","Dates=H","DateFormat=P","Fill=—","Direction=H","UseDPDF=Y")</f>
        <v>99488</v>
      </c>
      <c r="L8" s="12">
        <f>_xll.BDH("VZ US Equity","WIRELESS_REVENUE","FY 2022","FY 2022","Currency=USD","Period=FY","BEST_FPERIOD_OVERRIDE=FY","FILING_STATUS=MR","SCALING_FORMAT=MLN","Sort=A","Dates=H","DateFormat=P","Fill=—","Direction=H","UseDPDF=Y")</f>
        <v>108955</v>
      </c>
    </row>
    <row r="9" spans="1:12">
      <c r="A9" s="10" t="s">
        <v>27</v>
      </c>
      <c r="B9" s="10" t="s">
        <v>28</v>
      </c>
      <c r="C9" s="12">
        <f>_xll.BDH("VZ US Equity","CELLULAR_SERVICE_REVENUE","FY 2013","FY 2013","Currency=USD","Period=FY","BEST_FPERIOD_OVERRIDE=FY","FILING_STATUS=MR","SCALING_FORMAT=MLN","Sort=A","Dates=H","DateFormat=P","Fill=—","Direction=H","UseDPDF=Y")</f>
        <v>69033</v>
      </c>
      <c r="D9" s="12">
        <f>_xll.BDH("VZ US Equity","CELLULAR_SERVICE_REVENUE","FY 2014","FY 2014","Currency=USD","Period=FY","BEST_FPERIOD_OVERRIDE=FY","FILING_STATUS=MR","SCALING_FORMAT=MLN","Sort=A","Dates=H","DateFormat=P","Fill=—","Direction=H","UseDPDF=Y")</f>
        <v>72630</v>
      </c>
      <c r="E9" s="12">
        <f>_xll.BDH("VZ US Equity","CELLULAR_SERVICE_REVENUE","FY 2015","FY 2015","Currency=USD","Period=FY","BEST_FPERIOD_OVERRIDE=FY","FILING_STATUS=MR","SCALING_FORMAT=MLN","Sort=A","Dates=H","DateFormat=P","Fill=—","Direction=H","UseDPDF=Y")</f>
        <v>70396</v>
      </c>
      <c r="F9" s="12">
        <f>_xll.BDH("VZ US Equity","CELLULAR_SERVICE_REVENUE","FY 2016","FY 2016","Currency=USD","Period=FY","BEST_FPERIOD_OVERRIDE=FY","FILING_STATUS=MR","SCALING_FORMAT=MLN","Sort=A","Dates=H","DateFormat=P","Fill=—","Direction=H","UseDPDF=Y")</f>
        <v>66580</v>
      </c>
      <c r="G9" s="12">
        <f>_xll.BDH("VZ US Equity","CELLULAR_SERVICE_REVENUE","FY 2017","FY 2017","Currency=USD","Period=FY","BEST_FPERIOD_OVERRIDE=FY","FILING_STATUS=MR","SCALING_FORMAT=MLN","Sort=A","Dates=H","DateFormat=P","Fill=—","Direction=H","UseDPDF=Y")</f>
        <v>63121</v>
      </c>
      <c r="H9" s="12">
        <f>_xll.BDH("VZ US Equity","CELLULAR_SERVICE_REVENUE","FY 2018","FY 2018","Currency=USD","Period=FY","BEST_FPERIOD_OVERRIDE=FY","FILING_STATUS=MR","SCALING_FORMAT=MLN","Sort=A","Dates=H","DateFormat=P","Fill=—","Direction=H","UseDPDF=Y")</f>
        <v>63020</v>
      </c>
      <c r="I9" s="12">
        <f>_xll.BDH("VZ US Equity","CELLULAR_SERVICE_REVENUE","FY 2019","FY 2019","Currency=USD","Period=FY","BEST_FPERIOD_OVERRIDE=FY","FILING_STATUS=MR","SCALING_FORMAT=MLN","Sort=A","Dates=H","DateFormat=P","Fill=—","Direction=H","UseDPDF=Y")</f>
        <v>65410</v>
      </c>
      <c r="J9" s="12">
        <f>_xll.BDH("VZ US Equity","CELLULAR_SERVICE_REVENUE","FY 2020","FY 2020","Currency=USD","Period=FY","BEST_FPERIOD_OVERRIDE=FY","FILING_STATUS=MR","SCALING_FORMAT=MLN","Sort=A","Dates=H","DateFormat=P","Fill=—","Direction=H","UseDPDF=Y")</f>
        <v>65410</v>
      </c>
      <c r="K9" s="12">
        <f>_xll.BDH("VZ US Equity","CELLULAR_SERVICE_REVENUE","FY 2021","FY 2021","Currency=USD","Period=FY","BEST_FPERIOD_OVERRIDE=FY","FILING_STATUS=MR","SCALING_FORMAT=MLN","Sort=A","Dates=H","DateFormat=P","Fill=—","Direction=H","UseDPDF=Y")</f>
        <v>68469</v>
      </c>
      <c r="L9" s="12">
        <f>_xll.BDH("VZ US Equity","CELLULAR_SERVICE_REVENUE","FY 2022","FY 2022","Currency=USD","Period=FY","BEST_FPERIOD_OVERRIDE=FY","FILING_STATUS=MR","SCALING_FORMAT=MLN","Sort=A","Dates=H","DateFormat=P","Fill=—","Direction=H","UseDPDF=Y")</f>
        <v>74354</v>
      </c>
    </row>
    <row r="10" spans="1:12">
      <c r="A10" s="10" t="s">
        <v>29</v>
      </c>
      <c r="B10" s="10" t="s">
        <v>30</v>
      </c>
      <c r="C10" s="12">
        <f>_xll.BDH("VZ US Equity","EQUIP_REVENUES_CELLULAR_TELECOM","FY 2013","FY 2013","Currency=USD","Period=FY","BEST_FPERIOD_OVERRIDE=FY","FILING_STATUS=MR","SCALING_FORMAT=MLN","Sort=A","Dates=H","DateFormat=P","Fill=—","Direction=H","UseDPDF=Y")</f>
        <v>8111</v>
      </c>
      <c r="D10" s="12">
        <f>_xll.BDH("VZ US Equity","EQUIP_REVENUES_CELLULAR_TELECOM","FY 2014","FY 2014","Currency=USD","Period=FY","BEST_FPERIOD_OVERRIDE=FY","FILING_STATUS=MR","SCALING_FORMAT=MLN","Sort=A","Dates=H","DateFormat=P","Fill=—","Direction=H","UseDPDF=Y")</f>
        <v>10959</v>
      </c>
      <c r="E10" s="12">
        <f>_xll.BDH("VZ US Equity","EQUIP_REVENUES_CELLULAR_TELECOM","FY 2015","FY 2015","Currency=USD","Period=FY","BEST_FPERIOD_OVERRIDE=FY","FILING_STATUS=MR","SCALING_FORMAT=MLN","Sort=A","Dates=H","DateFormat=P","Fill=—","Direction=H","UseDPDF=Y")</f>
        <v>16924</v>
      </c>
      <c r="F10" s="12">
        <f>_xll.BDH("VZ US Equity","EQUIP_REVENUES_CELLULAR_TELECOM","FY 2016","FY 2016","Currency=USD","Period=FY","BEST_FPERIOD_OVERRIDE=FY","FILING_STATUS=MR","SCALING_FORMAT=MLN","Sort=A","Dates=H","DateFormat=P","Fill=—","Direction=H","UseDPDF=Y")</f>
        <v>17515</v>
      </c>
      <c r="G10" s="12">
        <f>_xll.BDH("VZ US Equity","EQUIP_REVENUES_CELLULAR_TELECOM","FY 2017","FY 2017","Currency=USD","Period=FY","BEST_FPERIOD_OVERRIDE=FY","FILING_STATUS=MR","SCALING_FORMAT=MLN","Sort=A","Dates=H","DateFormat=P","Fill=—","Direction=H","UseDPDF=Y")</f>
        <v>18889</v>
      </c>
      <c r="H10" s="12">
        <f>_xll.BDH("VZ US Equity","EQUIP_REVENUES_CELLULAR_TELECOM","FY 2018","FY 2018","Currency=USD","Period=FY","BEST_FPERIOD_OVERRIDE=FY","FILING_STATUS=MR","SCALING_FORMAT=MLN","Sort=A","Dates=H","DateFormat=P","Fill=—","Direction=H","UseDPDF=Y")</f>
        <v>22258</v>
      </c>
      <c r="I10" s="12">
        <f>_xll.BDH("VZ US Equity","EQUIP_REVENUES_CELLULAR_TELECOM","FY 2019","FY 2019","Currency=USD","Period=FY","BEST_FPERIOD_OVERRIDE=FY","FILING_STATUS=MR","SCALING_FORMAT=MLN","Sort=A","Dates=H","DateFormat=P","Fill=—","Direction=H","UseDPDF=Y")</f>
        <v>21563</v>
      </c>
      <c r="J10" s="12">
        <f>_xll.BDH("VZ US Equity","EQUIP_REVENUES_CELLULAR_TELECOM","FY 2020","FY 2020","Currency=USD","Period=FY","BEST_FPERIOD_OVERRIDE=FY","FILING_STATUS=MR","SCALING_FORMAT=MLN","Sort=A","Dates=H","DateFormat=P","Fill=—","Direction=H","UseDPDF=Y")</f>
        <v>18420</v>
      </c>
      <c r="K10" s="12">
        <f>_xll.BDH("VZ US Equity","EQUIP_REVENUES_CELLULAR_TELECOM","FY 2021","FY 2021","Currency=USD","Period=FY","BEST_FPERIOD_OVERRIDE=FY","FILING_STATUS=MR","SCALING_FORMAT=MLN","Sort=A","Dates=H","DateFormat=P","Fill=—","Direction=H","UseDPDF=Y")</f>
        <v>23164</v>
      </c>
      <c r="L10" s="12">
        <f>_xll.BDH("VZ US Equity","EQUIP_REVENUES_CELLULAR_TELECOM","FY 2022","FY 2022","Currency=USD","Period=FY","BEST_FPERIOD_OVERRIDE=FY","FILING_STATUS=MR","SCALING_FORMAT=MLN","Sort=A","Dates=H","DateFormat=P","Fill=—","Direction=H","UseDPDF=Y")</f>
        <v>27210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6" t="s">
        <v>31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0" t="s">
        <v>32</v>
      </c>
      <c r="B13" s="10" t="s">
        <v>33</v>
      </c>
      <c r="C13" s="12">
        <f>_xll.BDH("VZ US Equity","NUMBER_OF_CELLULAR_SUBSCRIBERS","FY 2013","FY 2013","Currency=USD","Period=FY","BEST_FPERIOD_OVERRIDE=FY","FILING_STATUS=MR","Sort=A","Dates=H","DateFormat=P","Fill=—","Direction=H","UseDPDF=Y")</f>
        <v>102799</v>
      </c>
      <c r="D13" s="12">
        <f>_xll.BDH("VZ US Equity","NUMBER_OF_CELLULAR_SUBSCRIBERS","FY 2014","FY 2014","Currency=USD","Period=FY","BEST_FPERIOD_OVERRIDE=FY","FILING_STATUS=MR","Sort=A","Dates=H","DateFormat=P","Fill=—","Direction=H","UseDPDF=Y")</f>
        <v>108211</v>
      </c>
      <c r="E13" s="12">
        <f>_xll.BDH("VZ US Equity","NUMBER_OF_CELLULAR_SUBSCRIBERS","FY 2015","FY 2015","Currency=USD","Period=FY","BEST_FPERIOD_OVERRIDE=FY","FILING_STATUS=MR","Sort=A","Dates=H","DateFormat=P","Fill=—","Direction=H","UseDPDF=Y")</f>
        <v>112108</v>
      </c>
      <c r="F13" s="12">
        <f>_xll.BDH("VZ US Equity","NUMBER_OF_CELLULAR_SUBSCRIBERS","FY 2016","FY 2016","Currency=USD","Period=FY","BEST_FPERIOD_OVERRIDE=FY","FILING_STATUS=MR","Sort=A","Dates=H","DateFormat=P","Fill=—","Direction=H","UseDPDF=Y")</f>
        <v>114243</v>
      </c>
      <c r="G13" s="12">
        <f>_xll.BDH("VZ US Equity","NUMBER_OF_CELLULAR_SUBSCRIBERS","FY 2017","FY 2017","Currency=USD","Period=FY","BEST_FPERIOD_OVERRIDE=FY","FILING_STATUS=MR","Sort=A","Dates=H","DateFormat=P","Fill=—","Direction=H","UseDPDF=Y")</f>
        <v>116257</v>
      </c>
      <c r="H13" s="12">
        <f>_xll.BDH("VZ US Equity","NUMBER_OF_CELLULAR_SUBSCRIBERS","FY 2018","FY 2018","Currency=USD","Period=FY","BEST_FPERIOD_OVERRIDE=FY","FILING_STATUS=MR","Sort=A","Dates=H","DateFormat=P","Fill=—","Direction=H","UseDPDF=Y")</f>
        <v>117999</v>
      </c>
      <c r="I13" s="12">
        <f>_xll.BDH("VZ US Equity","NUMBER_OF_CELLULAR_SUBSCRIBERS","FY 2019","FY 2019","Currency=USD","Period=FY","BEST_FPERIOD_OVERRIDE=FY","FILING_STATUS=MR","Sort=A","Dates=H","DateFormat=P","Fill=—","Direction=H","UseDPDF=Y")</f>
        <v>119692</v>
      </c>
      <c r="J13" s="12">
        <f>_xll.BDH("VZ US Equity","NUMBER_OF_CELLULAR_SUBSCRIBERS","FY 2020","FY 2020","Currency=USD","Period=FY","BEST_FPERIOD_OVERRIDE=FY","FILING_STATUS=MR","Sort=A","Dates=H","DateFormat=P","Fill=—","Direction=H","UseDPDF=Y")</f>
        <v>120880</v>
      </c>
      <c r="K13" s="12">
        <f>_xll.BDH("VZ US Equity","NUMBER_OF_CELLULAR_SUBSCRIBERS","FY 2021","FY 2021","Currency=USD","Period=FY","BEST_FPERIOD_OVERRIDE=FY","FILING_STATUS=MR","Sort=A","Dates=H","DateFormat=P","Fill=—","Direction=H","UseDPDF=Y")</f>
        <v>142806</v>
      </c>
      <c r="L13" s="12">
        <f>_xll.BDH("VZ US Equity","NUMBER_OF_CELLULAR_SUBSCRIBERS","FY 2022","FY 2022","Currency=USD","Period=FY","BEST_FPERIOD_OVERRIDE=FY","FILING_STATUS=MR","Sort=A","Dates=H","DateFormat=P","Fill=—","Direction=H","UseDPDF=Y")</f>
        <v>143253</v>
      </c>
    </row>
    <row r="14" spans="1:12">
      <c r="A14" s="10" t="s">
        <v>34</v>
      </c>
      <c r="B14" s="10" t="s">
        <v>35</v>
      </c>
      <c r="C14" s="12">
        <f>_xll.BDH("VZ US Equity","TOTAL_WIRELESS_SUBSCRIBERS_PPD","FY 2013","FY 2013","Currency=USD","Period=FY","BEST_FPERIOD_OVERRIDE=FY","FILING_STATUS=MR","Sort=A","Dates=H","DateFormat=P","Fill=—","Direction=H","UseDPDF=Y")</f>
        <v>96752</v>
      </c>
      <c r="D14" s="12">
        <f>_xll.BDH("VZ US Equity","TOTAL_WIRELESS_SUBSCRIBERS_PPD","FY 2014","FY 2014","Currency=USD","Period=FY","BEST_FPERIOD_OVERRIDE=FY","FILING_STATUS=MR","Sort=A","Dates=H","DateFormat=P","Fill=—","Direction=H","UseDPDF=Y")</f>
        <v>102079</v>
      </c>
      <c r="E14" s="12">
        <f>_xll.BDH("VZ US Equity","TOTAL_WIRELESS_SUBSCRIBERS_PPD","FY 2015","FY 2015","Currency=USD","Period=FY","BEST_FPERIOD_OVERRIDE=FY","FILING_STATUS=MR","Sort=A","Dates=H","DateFormat=P","Fill=—","Direction=H","UseDPDF=Y")</f>
        <v>106528</v>
      </c>
      <c r="F14" s="12">
        <f>_xll.BDH("VZ US Equity","TOTAL_WIRELESS_SUBSCRIBERS_PPD","FY 2016","FY 2016","Currency=USD","Period=FY","BEST_FPERIOD_OVERRIDE=FY","FILING_STATUS=MR","Sort=A","Dates=H","DateFormat=P","Fill=—","Direction=H","UseDPDF=Y")</f>
        <v>108796</v>
      </c>
      <c r="G14" s="12">
        <f>_xll.BDH("VZ US Equity","TOTAL_WIRELESS_SUBSCRIBERS_PPD","FY 2017","FY 2017","Currency=USD","Period=FY","BEST_FPERIOD_OVERRIDE=FY","FILING_STATUS=MR","Sort=A","Dates=H","DateFormat=P","Fill=—","Direction=H","UseDPDF=Y")</f>
        <v>110854</v>
      </c>
      <c r="H14" s="12">
        <f>_xll.BDH("VZ US Equity","TOTAL_WIRELESS_SUBSCRIBERS_PPD","FY 2018","FY 2018","Currency=USD","Period=FY","BEST_FPERIOD_OVERRIDE=FY","FILING_STATUS=MR","Sort=A","Dates=H","DateFormat=P","Fill=—","Direction=H","UseDPDF=Y")</f>
        <v>113353</v>
      </c>
      <c r="I14" s="12">
        <f>_xll.BDH("VZ US Equity","TOTAL_WIRELESS_SUBSCRIBERS_PPD","FY 2019","FY 2019","Currency=USD","Period=FY","BEST_FPERIOD_OVERRIDE=FY","FILING_STATUS=MR","Sort=A","Dates=H","DateFormat=P","Fill=—","Direction=H","UseDPDF=Y")</f>
        <v>115629</v>
      </c>
      <c r="J14" s="12">
        <f>_xll.BDH("VZ US Equity","TOTAL_WIRELESS_SUBSCRIBERS_PPD","FY 2020","FY 2020","Currency=USD","Period=FY","BEST_FPERIOD_OVERRIDE=FY","FILING_STATUS=MR","Sort=A","Dates=H","DateFormat=P","Fill=—","Direction=H","UseDPDF=Y")</f>
        <v>116853</v>
      </c>
      <c r="K14" s="12">
        <f>_xll.BDH("VZ US Equity","TOTAL_WIRELESS_SUBSCRIBERS_PPD","FY 2021","FY 2021","Currency=USD","Period=FY","BEST_FPERIOD_OVERRIDE=FY","FILING_STATUS=MR","Sort=A","Dates=H","DateFormat=P","Fill=—","Direction=H","UseDPDF=Y")</f>
        <v>118954</v>
      </c>
      <c r="L14" s="12">
        <f>_xll.BDH("VZ US Equity","TOTAL_WIRELESS_SUBSCRIBERS_PPD","FY 2022","FY 2022","Currency=USD","Period=FY","BEST_FPERIOD_OVERRIDE=FY","FILING_STATUS=MR","Sort=A","Dates=H","DateFormat=P","Fill=—","Direction=H","UseDPDF=Y")</f>
        <v>120589</v>
      </c>
    </row>
    <row r="15" spans="1:12">
      <c r="A15" s="10" t="s">
        <v>36</v>
      </c>
      <c r="B15" s="10" t="s">
        <v>37</v>
      </c>
      <c r="C15" s="12">
        <f>_xll.BDH("VZ US Equity","TOTAL_WIRELESS_SUBSCRIBERS_PREPD","FY 2013","FY 2013","Currency=USD","Period=FY","BEST_FPERIOD_OVERRIDE=FY","FILING_STATUS=MR","Sort=A","Dates=H","DateFormat=P","Fill=—","Direction=H","UseDPDF=Y")</f>
        <v>6047</v>
      </c>
      <c r="D15" s="12">
        <f>_xll.BDH("VZ US Equity","TOTAL_WIRELESS_SUBSCRIBERS_PREPD","FY 2014","FY 2014","Currency=USD","Period=FY","BEST_FPERIOD_OVERRIDE=FY","FILING_STATUS=MR","Sort=A","Dates=H","DateFormat=P","Fill=—","Direction=H","UseDPDF=Y")</f>
        <v>6132</v>
      </c>
      <c r="E15" s="12">
        <f>_xll.BDH("VZ US Equity","TOTAL_WIRELESS_SUBSCRIBERS_PREPD","FY 2015","FY 2015","Currency=USD","Period=FY","BEST_FPERIOD_OVERRIDE=FY","FILING_STATUS=MR","Sort=A","Dates=H","DateFormat=P","Fill=—","Direction=H","UseDPDF=Y")</f>
        <v>5580</v>
      </c>
      <c r="F15" s="12">
        <f>_xll.BDH("VZ US Equity","TOTAL_WIRELESS_SUBSCRIBERS_PREPD","FY 2016","FY 2016","Currency=USD","Period=FY","BEST_FPERIOD_OVERRIDE=FY","FILING_STATUS=MR","Sort=A","Dates=H","DateFormat=P","Fill=—","Direction=H","UseDPDF=Y")</f>
        <v>5447</v>
      </c>
      <c r="G15" s="12">
        <f>_xll.BDH("VZ US Equity","TOTAL_WIRELESS_SUBSCRIBERS_PREPD","FY 2017","FY 2017","Currency=USD","Period=FY","BEST_FPERIOD_OVERRIDE=FY","FILING_STATUS=MR","Sort=A","Dates=H","DateFormat=P","Fill=—","Direction=H","UseDPDF=Y")</f>
        <v>5403</v>
      </c>
      <c r="H15" s="12">
        <f>_xll.BDH("VZ US Equity","TOTAL_WIRELESS_SUBSCRIBERS_PREPD","FY 2018","FY 2018","Currency=USD","Period=FY","BEST_FPERIOD_OVERRIDE=FY","FILING_STATUS=MR","Sort=A","Dates=H","DateFormat=P","Fill=—","Direction=H","UseDPDF=Y")</f>
        <v>4646</v>
      </c>
      <c r="I15" s="12">
        <f>_xll.BDH("VZ US Equity","TOTAL_WIRELESS_SUBSCRIBERS_PREPD","FY 2019","FY 2019","Currency=USD","Period=FY","BEST_FPERIOD_OVERRIDE=FY","FILING_STATUS=MR","Sort=A","Dates=H","DateFormat=P","Fill=—","Direction=H","UseDPDF=Y")</f>
        <v>4063</v>
      </c>
      <c r="J15" s="12">
        <f>_xll.BDH("VZ US Equity","TOTAL_WIRELESS_SUBSCRIBERS_PREPD","FY 2020","FY 2020","Currency=USD","Period=FY","BEST_FPERIOD_OVERRIDE=FY","FILING_STATUS=MR","Sort=A","Dates=H","DateFormat=P","Fill=—","Direction=H","UseDPDF=Y")</f>
        <v>4027</v>
      </c>
      <c r="K15" s="12">
        <f>_xll.BDH("VZ US Equity","TOTAL_WIRELESS_SUBSCRIBERS_PREPD","FY 2021","FY 2021","Currency=USD","Period=FY","BEST_FPERIOD_OVERRIDE=FY","FILING_STATUS=MR","Sort=A","Dates=H","DateFormat=P","Fill=—","Direction=H","UseDPDF=Y")</f>
        <v>23852</v>
      </c>
      <c r="L15" s="12">
        <f>_xll.BDH("VZ US Equity","TOTAL_WIRELESS_SUBSCRIBERS_PREPD","FY 2022","FY 2022","Currency=USD","Period=FY","BEST_FPERIOD_OVERRIDE=FY","FILING_STATUS=MR","Sort=A","Dates=H","DateFormat=P","Fill=—","Direction=H","UseDPDF=Y")</f>
        <v>22664</v>
      </c>
    </row>
    <row r="16" spans="1:12">
      <c r="A16" s="10" t="s">
        <v>38</v>
      </c>
      <c r="B16" s="10" t="s">
        <v>39</v>
      </c>
      <c r="C16" s="12">
        <f>_xll.BDH("VZ US Equity","AVERAGE_WIRELESS_SUBSCRIBERS","FY 2013","FY 2013","Currency=USD","Period=FY","BEST_FPERIOD_OVERRIDE=FY","FILING_STATUS=MR","Sort=A","Dates=H","DateFormat=P","Fill=—","Direction=H","UseDPDF=Y")</f>
        <v>100514.5</v>
      </c>
      <c r="D16" s="12">
        <f>_xll.BDH("VZ US Equity","AVERAGE_WIRELESS_SUBSCRIBERS","FY 2014","FY 2014","Currency=USD","Period=FY","BEST_FPERIOD_OVERRIDE=FY","FILING_STATUS=MR","Sort=A","Dates=H","DateFormat=P","Fill=—","Direction=H","UseDPDF=Y")</f>
        <v>105505</v>
      </c>
      <c r="E16" s="12">
        <f>_xll.BDH("VZ US Equity","AVERAGE_WIRELESS_SUBSCRIBERS","FY 2015","FY 2015","Currency=USD","Period=FY","BEST_FPERIOD_OVERRIDE=FY","FILING_STATUS=MR","Sort=A","Dates=H","DateFormat=P","Fill=—","Direction=H","UseDPDF=Y")</f>
        <v>110159.5</v>
      </c>
      <c r="F16" s="12">
        <f>_xll.BDH("VZ US Equity","AVERAGE_WIRELESS_SUBSCRIBERS","FY 2016","FY 2016","Currency=USD","Period=FY","BEST_FPERIOD_OVERRIDE=FY","FILING_STATUS=MR","Sort=A","Dates=H","DateFormat=P","Fill=—","Direction=H","UseDPDF=Y")</f>
        <v>113175.5</v>
      </c>
      <c r="G16" s="12">
        <f>_xll.BDH("VZ US Equity","AVERAGE_WIRELESS_SUBSCRIBERS","FY 2017","FY 2017","Currency=USD","Period=FY","BEST_FPERIOD_OVERRIDE=FY","FILING_STATUS=MR","Sort=A","Dates=H","DateFormat=P","Fill=—","Direction=H","UseDPDF=Y")</f>
        <v>115250</v>
      </c>
      <c r="H16" s="12">
        <f>_xll.BDH("VZ US Equity","AVERAGE_WIRELESS_SUBSCRIBERS","FY 2018","FY 2018","Currency=USD","Period=FY","BEST_FPERIOD_OVERRIDE=FY","FILING_STATUS=MR","Sort=A","Dates=H","DateFormat=P","Fill=—","Direction=H","UseDPDF=Y")</f>
        <v>117128</v>
      </c>
      <c r="I16" s="12">
        <f>_xll.BDH("VZ US Equity","AVERAGE_WIRELESS_SUBSCRIBERS","FY 2019","FY 2019","Currency=USD","Period=FY","BEST_FPERIOD_OVERRIDE=FY","FILING_STATUS=MR","Sort=A","Dates=H","DateFormat=P","Fill=—","Direction=H","UseDPDF=Y")</f>
        <v>118845.5</v>
      </c>
      <c r="J16" s="12">
        <f>_xll.BDH("VZ US Equity","AVERAGE_WIRELESS_SUBSCRIBERS","FY 2020","FY 2020","Currency=USD","Period=FY","BEST_FPERIOD_OVERRIDE=FY","FILING_STATUS=MR","Sort=A","Dates=H","DateFormat=P","Fill=—","Direction=H","UseDPDF=Y")</f>
        <v>120286</v>
      </c>
      <c r="K16" s="12">
        <f>_xll.BDH("VZ US Equity","AVERAGE_WIRELESS_SUBSCRIBERS","FY 2021","FY 2021","Currency=USD","Period=FY","BEST_FPERIOD_OVERRIDE=FY","FILING_STATUS=MR","Sort=A","Dates=H","DateFormat=P","Fill=—","Direction=H","UseDPDF=Y")</f>
        <v>131843</v>
      </c>
      <c r="L16" s="12">
        <f>_xll.BDH("VZ US Equity","AVERAGE_WIRELESS_SUBSCRIBERS","FY 2022","FY 2022","Currency=USD","Period=FY","BEST_FPERIOD_OVERRIDE=FY","FILING_STATUS=MR","Sort=A","Dates=H","DateFormat=P","Fill=—","Direction=H","UseDPDF=Y")</f>
        <v>143029.5</v>
      </c>
    </row>
    <row r="17" spans="1:1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6" t="s">
        <v>40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0" t="s">
        <v>41</v>
      </c>
      <c r="B19" s="10" t="s">
        <v>42</v>
      </c>
      <c r="C19" s="12">
        <f>_xll.BDH("VZ US Equity","CELLULAR_NET_SUBSCRIBER_ADDITION","FY 2013","FY 2013","Currency=USD","Period=FY","BEST_FPERIOD_OVERRIDE=FY","FILING_STATUS=MR","Sort=A","Dates=H","DateFormat=P","Fill=—","Direction=H","UseDPDF=Y")</f>
        <v>4472</v>
      </c>
      <c r="D19" s="12">
        <f>_xll.BDH("VZ US Equity","CELLULAR_NET_SUBSCRIBER_ADDITION","FY 2014","FY 2014","Currency=USD","Period=FY","BEST_FPERIOD_OVERRIDE=FY","FILING_STATUS=MR","Sort=A","Dates=H","DateFormat=P","Fill=—","Direction=H","UseDPDF=Y")</f>
        <v>5568</v>
      </c>
      <c r="E19" s="12">
        <f>_xll.BDH("VZ US Equity","CELLULAR_NET_SUBSCRIBER_ADDITION","FY 2015","FY 2015","Currency=USD","Period=FY","BEST_FPERIOD_OVERRIDE=FY","FILING_STATUS=MR","Sort=A","Dates=H","DateFormat=P","Fill=—","Direction=H","UseDPDF=Y")</f>
        <v>3956</v>
      </c>
      <c r="F19" s="12">
        <f>_xll.BDH("VZ US Equity","CELLULAR_NET_SUBSCRIBER_ADDITION","FY 2016","FY 2016","Currency=USD","Period=FY","BEST_FPERIOD_OVERRIDE=FY","FILING_STATUS=MR","Sort=A","Dates=H","DateFormat=P","Fill=—","Direction=H","UseDPDF=Y")</f>
        <v>2155</v>
      </c>
      <c r="G19" s="12">
        <f>_xll.BDH("VZ US Equity","CELLULAR_NET_SUBSCRIBER_ADDITION","FY 2017","FY 2017","Currency=USD","Period=FY","BEST_FPERIOD_OVERRIDE=FY","FILING_STATUS=MR","Sort=A","Dates=H","DateFormat=P","Fill=—","Direction=H","UseDPDF=Y")</f>
        <v>2041</v>
      </c>
      <c r="H19" s="12">
        <f>_xll.BDH("VZ US Equity","CELLULAR_NET_SUBSCRIBER_ADDITION","FY 2018","FY 2018","Currency=USD","Period=FY","BEST_FPERIOD_OVERRIDE=FY","FILING_STATUS=MR","Sort=A","Dates=H","DateFormat=P","Fill=—","Direction=H","UseDPDF=Y")</f>
        <v>1769</v>
      </c>
      <c r="I19" s="12">
        <f>_xll.BDH("VZ US Equity","CELLULAR_NET_SUBSCRIBER_ADDITION","FY 2019","FY 2019","Currency=USD","Period=FY","BEST_FPERIOD_OVERRIDE=FY","FILING_STATUS=MR","Sort=A","Dates=H","DateFormat=P","Fill=—","Direction=H","UseDPDF=Y")</f>
        <v>1770</v>
      </c>
      <c r="J19" s="12">
        <f>_xll.BDH("VZ US Equity","CELLULAR_NET_SUBSCRIBER_ADDITION","FY 2020","FY 2020","Currency=USD","Period=FY","BEST_FPERIOD_OVERRIDE=FY","FILING_STATUS=MR","Sort=A","Dates=H","DateFormat=P","Fill=—","Direction=H","UseDPDF=Y")</f>
        <v>1513</v>
      </c>
      <c r="K19" s="12">
        <f>_xll.BDH("VZ US Equity","CELLULAR_NET_SUBSCRIBER_ADDITION","FY 2021","FY 2021","Currency=USD","Period=FY","BEST_FPERIOD_OVERRIDE=FY","FILING_STATUS=MR","Sort=A","Dates=H","DateFormat=P","Fill=—","Direction=H","UseDPDF=Y")</f>
        <v>2063</v>
      </c>
      <c r="L19" s="12">
        <f>_xll.BDH("VZ US Equity","CELLULAR_NET_SUBSCRIBER_ADDITION","FY 2022","FY 2022","Currency=USD","Period=FY","BEST_FPERIOD_OVERRIDE=FY","FILING_STATUS=MR","Sort=A","Dates=H","DateFormat=P","Fill=—","Direction=H","UseDPDF=Y")</f>
        <v>2160</v>
      </c>
    </row>
    <row r="20" spans="1:12">
      <c r="A20" s="10" t="s">
        <v>43</v>
      </c>
      <c r="B20" s="10" t="s">
        <v>44</v>
      </c>
      <c r="C20" s="12">
        <f>_xll.BDH("VZ US Equity","ORGANIC_NET_ADDS","FY 2013","FY 2013","Currency=USD","Period=FY","BEST_FPERIOD_OVERRIDE=FY","FILING_STATUS=MR","Sort=A","Dates=H","DateFormat=P","Fill=—","Direction=H","UseDPDF=Y")</f>
        <v>4472</v>
      </c>
      <c r="D20" s="12">
        <f>_xll.BDH("VZ US Equity","ORGANIC_NET_ADDS","FY 2014","FY 2014","Currency=USD","Period=FY","BEST_FPERIOD_OVERRIDE=FY","FILING_STATUS=MR","Sort=A","Dates=H","DateFormat=P","Fill=—","Direction=H","UseDPDF=Y")</f>
        <v>5568</v>
      </c>
      <c r="E20" s="12">
        <f>_xll.BDH("VZ US Equity","ORGANIC_NET_ADDS","FY 2015","FY 2015","Currency=USD","Period=FY","BEST_FPERIOD_OVERRIDE=FY","FILING_STATUS=MR","Sort=A","Dates=H","DateFormat=P","Fill=—","Direction=H","UseDPDF=Y")</f>
        <v>3956</v>
      </c>
      <c r="F20" s="12">
        <f>_xll.BDH("VZ US Equity","ORGANIC_NET_ADDS","FY 2016","FY 2016","Currency=USD","Period=FY","BEST_FPERIOD_OVERRIDE=FY","FILING_STATUS=MR","Sort=A","Dates=H","DateFormat=P","Fill=—","Direction=H","UseDPDF=Y")</f>
        <v>2155</v>
      </c>
      <c r="G20" s="12">
        <f>_xll.BDH("VZ US Equity","ORGANIC_NET_ADDS","FY 2017","FY 2017","Currency=USD","Period=FY","BEST_FPERIOD_OVERRIDE=FY","FILING_STATUS=MR","Sort=A","Dates=H","DateFormat=P","Fill=—","Direction=H","UseDPDF=Y")</f>
        <v>2041</v>
      </c>
      <c r="H20" s="12">
        <f>_xll.BDH("VZ US Equity","ORGANIC_NET_ADDS","FY 2018","FY 2018","Currency=USD","Period=FY","BEST_FPERIOD_OVERRIDE=FY","FILING_STATUS=MR","Sort=A","Dates=H","DateFormat=P","Fill=—","Direction=H","UseDPDF=Y")</f>
        <v>1769</v>
      </c>
      <c r="I20" s="12">
        <f>_xll.BDH("VZ US Equity","ORGANIC_NET_ADDS","FY 2019","FY 2019","Currency=USD","Period=FY","BEST_FPERIOD_OVERRIDE=FY","FILING_STATUS=MR","Sort=A","Dates=H","DateFormat=P","Fill=—","Direction=H","UseDPDF=Y")</f>
        <v>1770</v>
      </c>
      <c r="J20" s="12">
        <f>_xll.BDH("VZ US Equity","ORGANIC_NET_ADDS","FY 2020","FY 2020","Currency=USD","Period=FY","BEST_FPERIOD_OVERRIDE=FY","FILING_STATUS=MR","Sort=A","Dates=H","DateFormat=P","Fill=—","Direction=H","UseDPDF=Y")</f>
        <v>1513</v>
      </c>
      <c r="K20" s="12">
        <f>_xll.BDH("VZ US Equity","ORGANIC_NET_ADDS","FY 2021","FY 2021","Currency=USD","Period=FY","BEST_FPERIOD_OVERRIDE=FY","FILING_STATUS=MR","Sort=A","Dates=H","DateFormat=P","Fill=—","Direction=H","UseDPDF=Y")</f>
        <v>2063</v>
      </c>
      <c r="L20" s="12">
        <f>_xll.BDH("VZ US Equity","ORGANIC_NET_ADDS","FY 2022","FY 2022","Currency=USD","Period=FY","BEST_FPERIOD_OVERRIDE=FY","FILING_STATUS=MR","Sort=A","Dates=H","DateFormat=P","Fill=—","Direction=H","UseDPDF=Y")</f>
        <v>2160</v>
      </c>
    </row>
    <row r="21" spans="1:12">
      <c r="A21" s="10" t="s">
        <v>45</v>
      </c>
      <c r="B21" s="10" t="s">
        <v>46</v>
      </c>
      <c r="C21" s="12">
        <f>_xll.BDH("VZ US Equity","NET_WIRELESS_SUBSCRIBER_ADDS_PPD","FY 2013","FY 2013","Currency=USD","Period=FY","BEST_FPERIOD_OVERRIDE=FY","FILING_STATUS=MR","Sort=A","Dates=H","DateFormat=P","Fill=—","Direction=H","UseDPDF=Y")</f>
        <v>4118</v>
      </c>
      <c r="D21" s="12">
        <f>_xll.BDH("VZ US Equity","NET_WIRELESS_SUBSCRIBER_ADDS_PPD","FY 2014","FY 2014","Currency=USD","Period=FY","BEST_FPERIOD_OVERRIDE=FY","FILING_STATUS=MR","Sort=A","Dates=H","DateFormat=P","Fill=—","Direction=H","UseDPDF=Y")</f>
        <v>5482</v>
      </c>
      <c r="E21" s="12">
        <f>_xll.BDH("VZ US Equity","NET_WIRELESS_SUBSCRIBER_ADDS_PPD","FY 2015","FY 2015","Currency=USD","Period=FY","BEST_FPERIOD_OVERRIDE=FY","FILING_STATUS=MR","Sort=A","Dates=H","DateFormat=P","Fill=—","Direction=H","UseDPDF=Y")</f>
        <v>4507</v>
      </c>
      <c r="F21" s="12">
        <f>_xll.BDH("VZ US Equity","NET_WIRELESS_SUBSCRIBER_ADDS_PPD","FY 2016","FY 2016","Currency=USD","Period=FY","BEST_FPERIOD_OVERRIDE=FY","FILING_STATUS=MR","Sort=A","Dates=H","DateFormat=P","Fill=—","Direction=H","UseDPDF=Y")</f>
        <v>2288</v>
      </c>
      <c r="G21" s="12">
        <f>_xll.BDH("VZ US Equity","NET_WIRELESS_SUBSCRIBER_ADDS_PPD","FY 2017","FY 2017","Currency=USD","Period=FY","BEST_FPERIOD_OVERRIDE=FY","FILING_STATUS=MR","Sort=A","Dates=H","DateFormat=P","Fill=—","Direction=H","UseDPDF=Y")</f>
        <v>2084</v>
      </c>
      <c r="H21" s="12">
        <f>_xll.BDH("VZ US Equity","NET_WIRELESS_SUBSCRIBER_ADDS_PPD","FY 2018","FY 2018","Currency=USD","Period=FY","BEST_FPERIOD_OVERRIDE=FY","FILING_STATUS=MR","Sort=A","Dates=H","DateFormat=P","Fill=—","Direction=H","UseDPDF=Y")</f>
        <v>2526</v>
      </c>
      <c r="I21" s="12">
        <f>_xll.BDH("VZ US Equity","NET_WIRELESS_SUBSCRIBER_ADDS_PPD","FY 2019","FY 2019","Currency=USD","Period=FY","BEST_FPERIOD_OVERRIDE=FY","FILING_STATUS=MR","Sort=A","Dates=H","DateFormat=P","Fill=—","Direction=H","UseDPDF=Y")</f>
        <v>2361</v>
      </c>
      <c r="J21" s="12">
        <f>_xll.BDH("VZ US Equity","NET_WIRELESS_SUBSCRIBER_ADDS_PPD","FY 2020","FY 2020","Currency=USD","Period=FY","BEST_FPERIOD_OVERRIDE=FY","FILING_STATUS=MR","Sort=A","Dates=H","DateFormat=P","Fill=—","Direction=H","UseDPDF=Y")</f>
        <v>1558</v>
      </c>
      <c r="K21" s="12">
        <f>_xll.BDH("VZ US Equity","NET_WIRELESS_SUBSCRIBER_ADDS_PPD","FY 2021","FY 2021","Currency=USD","Period=FY","BEST_FPERIOD_OVERRIDE=FY","FILING_STATUS=MR","Sort=A","Dates=H","DateFormat=P","Fill=—","Direction=H","UseDPDF=Y")</f>
        <v>2115</v>
      </c>
      <c r="L21" s="12">
        <f>_xll.BDH("VZ US Equity","NET_WIRELESS_SUBSCRIBER_ADDS_PPD","FY 2022","FY 2022","Currency=USD","Period=FY","BEST_FPERIOD_OVERRIDE=FY","FILING_STATUS=MR","Sort=A","Dates=H","DateFormat=P","Fill=—","Direction=H","UseDPDF=Y")</f>
        <v>2605</v>
      </c>
    </row>
    <row r="22" spans="1:12">
      <c r="A22" s="10" t="s">
        <v>47</v>
      </c>
      <c r="B22" s="10" t="s">
        <v>48</v>
      </c>
      <c r="C22" s="12">
        <f>_xll.BDH("VZ US Equity","NET_WIRELESS_SUBSCR_ADDS_PREPD","FY 2013","FY 2013","Currency=USD","Period=FY","BEST_FPERIOD_OVERRIDE=FY","FILING_STATUS=MR","Sort=A","Dates=H","DateFormat=P","Fill=—","Direction=H","UseDPDF=Y")</f>
        <v>354</v>
      </c>
      <c r="D22" s="12">
        <f>_xll.BDH("VZ US Equity","NET_WIRELESS_SUBSCR_ADDS_PREPD","FY 2014","FY 2014","Currency=USD","Period=FY","BEST_FPERIOD_OVERRIDE=FY","FILING_STATUS=MR","Sort=A","Dates=H","DateFormat=P","Fill=—","Direction=H","UseDPDF=Y")</f>
        <v>86</v>
      </c>
      <c r="E22" s="12">
        <f>_xll.BDH("VZ US Equity","NET_WIRELESS_SUBSCR_ADDS_PREPD","FY 2015","FY 2015","Currency=USD","Period=FY","BEST_FPERIOD_OVERRIDE=FY","FILING_STATUS=MR","Sort=A","Dates=H","DateFormat=P","Fill=—","Direction=H","UseDPDF=Y")</f>
        <v>-551</v>
      </c>
      <c r="F22" s="12">
        <f>_xll.BDH("VZ US Equity","NET_WIRELESS_SUBSCR_ADDS_PREPD","FY 2016","FY 2016","Currency=USD","Period=FY","BEST_FPERIOD_OVERRIDE=FY","FILING_STATUS=MR","Sort=A","Dates=H","DateFormat=P","Fill=—","Direction=H","UseDPDF=Y")</f>
        <v>-133</v>
      </c>
      <c r="G22" s="12">
        <f>_xll.BDH("VZ US Equity","NET_WIRELESS_SUBSCR_ADDS_PREPD","FY 2017","FY 2017","Currency=USD","Period=FY","BEST_FPERIOD_OVERRIDE=FY","FILING_STATUS=MR","Sort=A","Dates=H","DateFormat=P","Fill=—","Direction=H","UseDPDF=Y")</f>
        <v>-43</v>
      </c>
      <c r="H22" s="12">
        <f>_xll.BDH("VZ US Equity","NET_WIRELESS_SUBSCR_ADDS_PREPD","FY 2018","FY 2018","Currency=USD","Period=FY","BEST_FPERIOD_OVERRIDE=FY","FILING_STATUS=MR","Sort=A","Dates=H","DateFormat=P","Fill=—","Direction=H","UseDPDF=Y")</f>
        <v>-757</v>
      </c>
      <c r="I22" s="12">
        <f>_xll.BDH("VZ US Equity","NET_WIRELESS_SUBSCR_ADDS_PREPD","FY 2019","FY 2019","Currency=USD","Period=FY","BEST_FPERIOD_OVERRIDE=FY","FILING_STATUS=MR","Sort=A","Dates=H","DateFormat=P","Fill=—","Direction=H","UseDPDF=Y")</f>
        <v>-591</v>
      </c>
      <c r="J22" s="12">
        <f>_xll.BDH("VZ US Equity","NET_WIRELESS_SUBSCR_ADDS_PREPD","FY 2020","FY 2020","Currency=USD","Period=FY","BEST_FPERIOD_OVERRIDE=FY","FILING_STATUS=MR","Sort=A","Dates=H","DateFormat=P","Fill=—","Direction=H","UseDPDF=Y")</f>
        <v>-45</v>
      </c>
      <c r="K22" s="12">
        <f>_xll.BDH("VZ US Equity","NET_WIRELESS_SUBSCR_ADDS_PREPD","FY 2021","FY 2021","Currency=USD","Period=FY","BEST_FPERIOD_OVERRIDE=FY","FILING_STATUS=MR","Sort=A","Dates=H","DateFormat=P","Fill=—","Direction=H","UseDPDF=Y")</f>
        <v>-52</v>
      </c>
      <c r="L22" s="12">
        <f>_xll.BDH("VZ US Equity","NET_WIRELESS_SUBSCR_ADDS_PREPD","FY 2022","FY 2022","Currency=USD","Period=FY","BEST_FPERIOD_OVERRIDE=FY","FILING_STATUS=MR","Sort=A","Dates=H","DateFormat=P","Fill=—","Direction=H","UseDPDF=Y")</f>
        <v>-445</v>
      </c>
    </row>
    <row r="23" spans="1:1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>
      <c r="A24" s="6" t="s">
        <v>49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>
      <c r="A25" s="10" t="s">
        <v>50</v>
      </c>
      <c r="B25" s="10" t="s">
        <v>51</v>
      </c>
      <c r="C25" s="13">
        <f>_xll.BDH("VZ US Equity","TELECOM_CELLULAR_CHURN_RATE","FY 2013","FY 2013","Currency=USD","Period=FY","BEST_FPERIOD_OVERRIDE=FY","FILING_STATUS=MR","Sort=A","Dates=H","DateFormat=P","Fill=—","Direction=H","UseDPDF=Y")</f>
        <v>1.27</v>
      </c>
      <c r="D25" s="13">
        <f>_xll.BDH("VZ US Equity","TELECOM_CELLULAR_CHURN_RATE","FY 2014","FY 2014","Currency=USD","Period=FY","BEST_FPERIOD_OVERRIDE=FY","FILING_STATUS=MR","Sort=A","Dates=H","DateFormat=P","Fill=—","Direction=H","UseDPDF=Y")</f>
        <v>1.33</v>
      </c>
      <c r="E25" s="13">
        <f>_xll.BDH("VZ US Equity","TELECOM_CELLULAR_CHURN_RATE","FY 2015","FY 2015","Currency=USD","Period=FY","BEST_FPERIOD_OVERRIDE=FY","FILING_STATUS=MR","Sort=A","Dates=H","DateFormat=P","Fill=—","Direction=H","UseDPDF=Y")</f>
        <v>1.24</v>
      </c>
      <c r="F25" s="13">
        <f>_xll.BDH("VZ US Equity","TELECOM_CELLULAR_CHURN_RATE","FY 2016","FY 2016","Currency=USD","Period=FY","BEST_FPERIOD_OVERRIDE=FY","FILING_STATUS=MR","Sort=A","Dates=H","DateFormat=P","Fill=—","Direction=H","UseDPDF=Y")</f>
        <v>1.26</v>
      </c>
      <c r="G25" s="13">
        <f>_xll.BDH("VZ US Equity","TELECOM_CELLULAR_CHURN_RATE","FY 2017","FY 2017","Currency=USD","Period=FY","BEST_FPERIOD_OVERRIDE=FY","FILING_STATUS=MR","Sort=A","Dates=H","DateFormat=P","Fill=—","Direction=H","UseDPDF=Y")</f>
        <v>1.25</v>
      </c>
      <c r="H25" s="13">
        <f>_xll.BDH("VZ US Equity","TELECOM_CELLULAR_CHURN_RATE","FY 2018","FY 2018","Currency=USD","Period=FY","BEST_FPERIOD_OVERRIDE=FY","FILING_STATUS=MR","Sort=A","Dates=H","DateFormat=P","Fill=—","Direction=H","UseDPDF=Y")</f>
        <v>1.23</v>
      </c>
      <c r="I25" s="13">
        <f>_xll.BDH("VZ US Equity","TELECOM_CELLULAR_CHURN_RATE","FY 2019","FY 2019","Currency=USD","Period=FY","BEST_FPERIOD_OVERRIDE=FY","FILING_STATUS=MR","Sort=A","Dates=H","DateFormat=P","Fill=—","Direction=H","UseDPDF=Y")</f>
        <v>1.27</v>
      </c>
      <c r="J25" s="13">
        <f>_xll.BDH("VZ US Equity","TELECOM_CELLULAR_CHURN_RATE","FY 2020","FY 2020","Currency=USD","Period=FY","BEST_FPERIOD_OVERRIDE=FY","FILING_STATUS=MR","Sort=A","Dates=H","DateFormat=P","Fill=—","Direction=H","UseDPDF=Y")</f>
        <v>1.07</v>
      </c>
      <c r="K25" s="13">
        <f>_xll.BDH("VZ US Equity","TELECOM_CELLULAR_CHURN_RATE","FY 2021","FY 2021","Currency=USD","Period=FY","BEST_FPERIOD_OVERRIDE=FY","FILING_STATUS=MR","Sort=A","Dates=H","DateFormat=P","Fill=—","Direction=H","UseDPDF=Y")</f>
        <v>1.1399999999999999</v>
      </c>
      <c r="L25" s="13">
        <f>_xll.BDH("VZ US Equity","TELECOM_CELLULAR_CHURN_RATE","FY 2022","FY 2022","Currency=USD","Period=FY","BEST_FPERIOD_OVERRIDE=FY","FILING_STATUS=MR","Sort=A","Dates=H","DateFormat=P","Fill=—","Direction=H","UseDPDF=Y")</f>
        <v>1.58</v>
      </c>
    </row>
    <row r="26" spans="1:12">
      <c r="A26" s="10" t="s">
        <v>52</v>
      </c>
      <c r="B26" s="10" t="s">
        <v>53</v>
      </c>
      <c r="C26" s="13">
        <f>_xll.BDH("VZ US Equity","WIRELESS_POSTPAID_CHURN","FY 2013","FY 2013","Currency=USD","Period=FY","BEST_FPERIOD_OVERRIDE=FY","FILING_STATUS=MR","Sort=A","Dates=H","DateFormat=P","Fill=—","Direction=H","UseDPDF=Y")</f>
        <v>0.97</v>
      </c>
      <c r="D26" s="13">
        <f>_xll.BDH("VZ US Equity","WIRELESS_POSTPAID_CHURN","FY 2014","FY 2014","Currency=USD","Period=FY","BEST_FPERIOD_OVERRIDE=FY","FILING_STATUS=MR","Sort=A","Dates=H","DateFormat=P","Fill=—","Direction=H","UseDPDF=Y")</f>
        <v>1.04</v>
      </c>
      <c r="E26" s="13">
        <f>_xll.BDH("VZ US Equity","WIRELESS_POSTPAID_CHURN","FY 2015","FY 2015","Currency=USD","Period=FY","BEST_FPERIOD_OVERRIDE=FY","FILING_STATUS=MR","Sort=A","Dates=H","DateFormat=P","Fill=—","Direction=H","UseDPDF=Y")</f>
        <v>0.96</v>
      </c>
      <c r="F26" s="13">
        <f>_xll.BDH("VZ US Equity","WIRELESS_POSTPAID_CHURN","FY 2016","FY 2016","Currency=USD","Period=FY","BEST_FPERIOD_OVERRIDE=FY","FILING_STATUS=MR","Sort=A","Dates=H","DateFormat=P","Fill=—","Direction=H","UseDPDF=Y")</f>
        <v>1.01</v>
      </c>
      <c r="G26" s="13">
        <f>_xll.BDH("VZ US Equity","WIRELESS_POSTPAID_CHURN","FY 2017","FY 2017","Currency=USD","Period=FY","BEST_FPERIOD_OVERRIDE=FY","FILING_STATUS=MR","Sort=A","Dates=H","DateFormat=P","Fill=—","Direction=H","UseDPDF=Y")</f>
        <v>1.01</v>
      </c>
      <c r="H26" s="13">
        <f>_xll.BDH("VZ US Equity","WIRELESS_POSTPAID_CHURN","FY 2018","FY 2018","Currency=USD","Period=FY","BEST_FPERIOD_OVERRIDE=FY","FILING_STATUS=MR","Sort=A","Dates=H","DateFormat=P","Fill=—","Direction=H","UseDPDF=Y")</f>
        <v>1.03</v>
      </c>
      <c r="I26" s="13">
        <f>_xll.BDH("VZ US Equity","WIRELESS_POSTPAID_CHURN","FY 2019","FY 2019","Currency=USD","Period=FY","BEST_FPERIOD_OVERRIDE=FY","FILING_STATUS=MR","Sort=A","Dates=H","DateFormat=P","Fill=—","Direction=H","UseDPDF=Y")</f>
        <v>1.0900000000000001</v>
      </c>
      <c r="J26" s="13">
        <f>_xll.BDH("VZ US Equity","WIRELESS_POSTPAID_CHURN","FY 2020","FY 2020","Currency=USD","Period=FY","BEST_FPERIOD_OVERRIDE=FY","FILING_STATUS=MR","Sort=A","Dates=H","DateFormat=P","Fill=—","Direction=H","UseDPDF=Y")</f>
        <v>0.94</v>
      </c>
      <c r="K26" s="13">
        <f>_xll.BDH("VZ US Equity","WIRELESS_POSTPAID_CHURN","FY 2021","FY 2021","Currency=USD","Period=FY","BEST_FPERIOD_OVERRIDE=FY","FILING_STATUS=MR","Sort=A","Dates=H","DateFormat=P","Fill=—","Direction=H","UseDPDF=Y")</f>
        <v>0.98</v>
      </c>
      <c r="L26" s="13">
        <f>_xll.BDH("VZ US Equity","WIRELESS_POSTPAID_CHURN","FY 2022","FY 2022","Currency=USD","Period=FY","BEST_FPERIOD_OVERRIDE=FY","FILING_STATUS=MR","Sort=A","Dates=H","DateFormat=P","Fill=—","Direction=H","UseDPDF=Y")</f>
        <v>1.1000000000000001</v>
      </c>
    </row>
    <row r="27" spans="1:1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>
      <c r="A28" s="6" t="s">
        <v>54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>
      <c r="A29" s="10" t="s">
        <v>55</v>
      </c>
      <c r="B29" s="10" t="s">
        <v>56</v>
      </c>
      <c r="C29" s="13">
        <f>_xll.BDH("VZ US Equity","AVG_REVENUE_PER_CELL_SUBSCRIBER","FY 2013","FY 2013","Currency=USD","Period=FY","BEST_FPERIOD_OVERRIDE=FY","FILING_STATUS=MR","Sort=A","Dates=H","DateFormat=P","Fill=—","Direction=H","UseDPDF=Y")</f>
        <v>228.93</v>
      </c>
      <c r="D29" s="13">
        <f>_xll.BDH("VZ US Equity","AVG_REVENUE_PER_CELL_SUBSCRIBER","FY 2014","FY 2014","Currency=USD","Period=FY","BEST_FPERIOD_OVERRIDE=FY","FILING_STATUS=MR","Sort=A","Dates=H","DateFormat=P","Fill=—","Direction=H","UseDPDF=Y")</f>
        <v>54.9</v>
      </c>
      <c r="E29" s="13">
        <f>_xll.BDH("VZ US Equity","AVG_REVENUE_PER_CELL_SUBSCRIBER","FY 2015","FY 2015","Currency=USD","Period=FY","BEST_FPERIOD_OVERRIDE=FY","FILING_STATUS=MR","Sort=A","Dates=H","DateFormat=P","Fill=—","Direction=H","UseDPDF=Y")</f>
        <v>213.01</v>
      </c>
      <c r="F29" s="13">
        <f>_xll.BDH("VZ US Equity","AVG_REVENUE_PER_CELL_SUBSCRIBER","FY 2016","FY 2016","Currency=USD","Period=FY","BEST_FPERIOD_OVERRIDE=FY","FILING_STATUS=MR","Sort=A","Dates=H","DateFormat=P","Fill=—","Direction=H","UseDPDF=Y")</f>
        <v>48.57</v>
      </c>
      <c r="G29" s="13">
        <f>_xll.BDH("VZ US Equity","AVG_REVENUE_PER_CELL_SUBSCRIBER","FY 2017","FY 2017","Currency=USD","Period=FY","BEST_FPERIOD_OVERRIDE=FY","FILING_STATUS=MR","Sort=A","Dates=H","DateFormat=P","Fill=—","Direction=H","UseDPDF=Y")</f>
        <v>45.24</v>
      </c>
      <c r="H29" s="13">
        <f>_xll.BDH("VZ US Equity","AVG_REVENUE_PER_CELL_SUBSCRIBER","FY 2018","FY 2018","Currency=USD","Period=FY","BEST_FPERIOD_OVERRIDE=FY","FILING_STATUS=MR","Sort=A","Dates=H","DateFormat=P","Fill=—","Direction=H","UseDPDF=Y")</f>
        <v>44.51</v>
      </c>
      <c r="I29" s="13">
        <f>_xll.BDH("VZ US Equity","AVG_REVENUE_PER_CELL_SUBSCRIBER","FY 2019","FY 2019","Currency=USD","Period=FY","BEST_FPERIOD_OVERRIDE=FY","FILING_STATUS=MR","Sort=A","Dates=H","DateFormat=P","Fill=—","Direction=H","UseDPDF=Y")</f>
        <v>65.56</v>
      </c>
      <c r="J29" s="13">
        <f>_xll.BDH("VZ US Equity","AVG_REVENUE_PER_CELL_SUBSCRIBER","FY 2020","FY 2020","Currency=USD","Period=FY","BEST_FPERIOD_OVERRIDE=FY","FILING_STATUS=MR","Sort=A","Dates=H","DateFormat=P","Fill=—","Direction=H","UseDPDF=Y")</f>
        <v>63.47</v>
      </c>
      <c r="K29" s="13" t="str">
        <f>_xll.BDH("VZ US Equity","AVG_REVENUE_PER_CELL_SUBSCRIBER","FY 2021","FY 2021","Currency=USD","Period=FY","BEST_FPERIOD_OVERRIDE=FY","FILING_STATUS=MR","Sort=A","Dates=H","DateFormat=P","Fill=—","Direction=H","UseDPDF=Y")</f>
        <v>—</v>
      </c>
      <c r="L29" s="13" t="str">
        <f>_xll.BDH("VZ US Equity","AVG_REVENUE_PER_CELL_SUBSCRIBER","FY 2022","FY 2022","Currency=USD","Period=FY","BEST_FPERIOD_OVERRIDE=FY","FILING_STATUS=MR","Sort=A","Dates=H","DateFormat=P","Fill=—","Direction=H","UseDPDF=Y")</f>
        <v>—</v>
      </c>
    </row>
    <row r="30" spans="1:1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>
      <c r="A31" s="6" t="s">
        <v>57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>
      <c r="A32" s="10" t="s">
        <v>58</v>
      </c>
      <c r="B32" s="10" t="s">
        <v>59</v>
      </c>
      <c r="C32" s="13">
        <f>_xll.BDH("VZ US Equity","FOURTH_GENERATION_MARKETS","FY 2013","FY 2013","Currency=USD","Period=FY","BEST_FPERIOD_OVERRIDE=FY","FILING_STATUS=MR","Sort=A","Dates=H","DateFormat=P","Fill=—","Direction=H","UseDPDF=Y")</f>
        <v>500</v>
      </c>
      <c r="D32" s="13">
        <f>_xll.BDH("VZ US Equity","FOURTH_GENERATION_MARKETS","FY 2014","FY 2014","Currency=USD","Period=FY","BEST_FPERIOD_OVERRIDE=FY","FILING_STATUS=MR","Sort=A","Dates=H","DateFormat=P","Fill=—","Direction=H","UseDPDF=Y")</f>
        <v>500</v>
      </c>
      <c r="E32" s="13">
        <f>_xll.BDH("VZ US Equity","FOURTH_GENERATION_MARKETS","FY 2015","FY 2015","Currency=USD","Period=FY","BEST_FPERIOD_OVERRIDE=FY","FILING_STATUS=MR","Sort=A","Dates=H","DateFormat=P","Fill=—","Direction=H","UseDPDF=Y")</f>
        <v>500</v>
      </c>
      <c r="F32" s="13" t="str">
        <f>_xll.BDH("VZ US Equity","FOURTH_GENERATION_MARKETS","FY 2016","FY 2016","Currency=USD","Period=FY","BEST_FPERIOD_OVERRIDE=FY","FILING_STATUS=MR","Sort=A","Dates=H","DateFormat=P","Fill=—","Direction=H","UseDPDF=Y")</f>
        <v>—</v>
      </c>
      <c r="G32" s="13" t="str">
        <f>_xll.BDH("VZ US Equity","FOURTH_GENERATION_MARKETS","FY 2017","FY 2017","Currency=USD","Period=FY","BEST_FPERIOD_OVERRIDE=FY","FILING_STATUS=MR","Sort=A","Dates=H","DateFormat=P","Fill=—","Direction=H","UseDPDF=Y")</f>
        <v>—</v>
      </c>
      <c r="H32" s="13" t="str">
        <f>_xll.BDH("VZ US Equity","FOURTH_GENERATION_MARKETS","FY 2018","FY 2018","Currency=USD","Period=FY","BEST_FPERIOD_OVERRIDE=FY","FILING_STATUS=MR","Sort=A","Dates=H","DateFormat=P","Fill=—","Direction=H","UseDPDF=Y")</f>
        <v>—</v>
      </c>
      <c r="I32" s="13" t="str">
        <f>_xll.BDH("VZ US Equity","FOURTH_GENERATION_MARKETS","FY 2019","FY 2019","Currency=USD","Period=FY","BEST_FPERIOD_OVERRIDE=FY","FILING_STATUS=MR","Sort=A","Dates=H","DateFormat=P","Fill=—","Direction=H","UseDPDF=Y")</f>
        <v>—</v>
      </c>
      <c r="J32" s="13" t="str">
        <f>_xll.BDH("VZ US Equity","FOURTH_GENERATION_MARKETS","FY 2020","FY 2020","Currency=USD","Period=FY","BEST_FPERIOD_OVERRIDE=FY","FILING_STATUS=MR","Sort=A","Dates=H","DateFormat=P","Fill=—","Direction=H","UseDPDF=Y")</f>
        <v>—</v>
      </c>
      <c r="K32" s="13" t="str">
        <f>_xll.BDH("VZ US Equity","FOURTH_GENERATION_MARKETS","FY 2021","FY 2021","Currency=USD","Period=FY","BEST_FPERIOD_OVERRIDE=FY","FILING_STATUS=MR","Sort=A","Dates=H","DateFormat=P","Fill=—","Direction=H","UseDPDF=Y")</f>
        <v>—</v>
      </c>
      <c r="L32" s="13" t="str">
        <f>_xll.BDH("VZ US Equity","FOURTH_GENERATION_MARKETS","FY 2022","FY 2022","Currency=USD","Period=FY","BEST_FPERIOD_OVERRIDE=FY","FILING_STATUS=MR","Sort=A","Dates=H","DateFormat=P","Fill=—","Direction=H","UseDPDF=Y")</f>
        <v>—</v>
      </c>
    </row>
    <row r="33" spans="1:1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>
      <c r="A34" s="6" t="s">
        <v>60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>
      <c r="A35" s="10" t="s">
        <v>61</v>
      </c>
      <c r="B35" s="10" t="s">
        <v>61</v>
      </c>
      <c r="C35" s="12">
        <f>_xll.BDH("VZ US Equity","EBITDA","FY 2013","FY 2013","Currency=USD","Period=FY","BEST_FPERIOD_OVERRIDE=FY","FILING_STATUS=MR","SCALING_FORMAT=MLN","FA_ADJUSTED=GAAP","Sort=A","Dates=H","DateFormat=P","Fill=—","Direction=H","UseDPDF=Y")</f>
        <v>48574</v>
      </c>
      <c r="D35" s="12">
        <f>_xll.BDH("VZ US Equity","EBITDA","FY 2014","FY 2014","Currency=USD","Period=FY","BEST_FPERIOD_OVERRIDE=FY","FILING_STATUS=MR","SCALING_FORMAT=MLN","FA_ADJUSTED=GAAP","Sort=A","Dates=H","DateFormat=P","Fill=—","Direction=H","UseDPDF=Y")</f>
        <v>36132</v>
      </c>
      <c r="E35" s="12">
        <f>_xll.BDH("VZ US Equity","EBITDA","FY 2015","FY 2015","Currency=USD","Period=FY","BEST_FPERIOD_OVERRIDE=FY","FILING_STATUS=MR","SCALING_FORMAT=MLN","FA_ADJUSTED=GAAP","Sort=A","Dates=H","DateFormat=P","Fill=—","Direction=H","UseDPDF=Y")</f>
        <v>49077</v>
      </c>
      <c r="F35" s="12">
        <f>_xll.BDH("VZ US Equity","EBITDA","FY 2016","FY 2016","Currency=USD","Period=FY","BEST_FPERIOD_OVERRIDE=FY","FILING_STATUS=MR","SCALING_FORMAT=MLN","FA_ADJUSTED=GAAP","Sort=A","Dates=H","DateFormat=P","Fill=—","Direction=H","UseDPDF=Y")</f>
        <v>45177</v>
      </c>
      <c r="G35" s="12">
        <f>_xll.BDH("VZ US Equity","EBITDA","FY 2017","FY 2017","Currency=USD","Period=FY","BEST_FPERIOD_OVERRIDE=FY","FILING_STATUS=MR","SCALING_FORMAT=MLN","FA_ADJUSTED=GAAP","Sort=A","Dates=H","DateFormat=P","Fill=—","Direction=H","UseDPDF=Y")</f>
        <v>44379</v>
      </c>
      <c r="H35" s="12">
        <f>_xll.BDH("VZ US Equity","EBITDA","FY 2018","FY 2018","Currency=USD","Period=FY","BEST_FPERIOD_OVERRIDE=FY","FILING_STATUS=MR","SCALING_FORMAT=MLN","FA_ADJUSTED=GAAP","Sort=A","Dates=H","DateFormat=P","Fill=—","Direction=H","UseDPDF=Y")</f>
        <v>39681</v>
      </c>
      <c r="I35" s="12">
        <f>_xll.BDH("VZ US Equity","EBITDA","FY 2019","FY 2019","Currency=USD","Period=FY","BEST_FPERIOD_OVERRIDE=FY","FILING_STATUS=MR","SCALING_FORMAT=MLN","FA_ADJUSTED=GAAP","Sort=A","Dates=H","DateFormat=P","Fill=—","Direction=H","UseDPDF=Y")</f>
        <v>51635</v>
      </c>
      <c r="J35" s="12">
        <f>_xll.BDH("VZ US Equity","EBITDA","FY 2020","FY 2020","Currency=USD","Period=FY","BEST_FPERIOD_OVERRIDE=FY","FILING_STATUS=MR","SCALING_FORMAT=MLN","FA_ADJUSTED=GAAP","Sort=A","Dates=H","DateFormat=P","Fill=—","Direction=H","UseDPDF=Y")</f>
        <v>50367</v>
      </c>
      <c r="K35" s="12">
        <f>_xll.BDH("VZ US Equity","EBITDA","FY 2021","FY 2021","Currency=USD","Period=FY","BEST_FPERIOD_OVERRIDE=FY","FILING_STATUS=MR","SCALING_FORMAT=MLN","FA_ADJUSTED=GAAP","Sort=A","Dates=H","DateFormat=P","Fill=—","Direction=H","UseDPDF=Y")</f>
        <v>53709</v>
      </c>
      <c r="L35" s="12">
        <f>_xll.BDH("VZ US Equity","EBITDA","FY 2022","FY 2022","Currency=USD","Period=FY","BEST_FPERIOD_OVERRIDE=FY","FILING_STATUS=MR","SCALING_FORMAT=MLN","FA_ADJUSTED=GAAP","Sort=A","Dates=H","DateFormat=P","Fill=—","Direction=H","UseDPDF=Y")</f>
        <v>52712</v>
      </c>
    </row>
    <row r="36" spans="1:12">
      <c r="A36" s="10" t="s">
        <v>62</v>
      </c>
      <c r="B36" s="10" t="s">
        <v>63</v>
      </c>
      <c r="C36" s="12">
        <f>_xll.BDH("VZ US Equity","ARD_OPERATING_INCOME","FY 2013","FY 2013","Currency=USD","Period=FY","BEST_FPERIOD_OVERRIDE=FY","FILING_STATUS=MR","SCALING_FORMAT=MLN","Sort=A","Dates=H","DateFormat=P","Fill=—","Direction=H","UseDPDF=Y")</f>
        <v>31968</v>
      </c>
      <c r="D36" s="12">
        <f>_xll.BDH("VZ US Equity","ARD_OPERATING_INCOME","FY 2014","FY 2014","Currency=USD","Period=FY","BEST_FPERIOD_OVERRIDE=FY","FILING_STATUS=MR","SCALING_FORMAT=MLN","Sort=A","Dates=H","DateFormat=P","Fill=—","Direction=H","UseDPDF=Y")</f>
        <v>19599</v>
      </c>
      <c r="E36" s="12">
        <f>_xll.BDH("VZ US Equity","ARD_OPERATING_INCOME","FY 2015","FY 2015","Currency=USD","Period=FY","BEST_FPERIOD_OVERRIDE=FY","FILING_STATUS=MR","SCALING_FORMAT=MLN","Sort=A","Dates=H","DateFormat=P","Fill=—","Direction=H","UseDPDF=Y")</f>
        <v>33060</v>
      </c>
      <c r="F36" s="12">
        <f>_xll.BDH("VZ US Equity","ARD_OPERATING_INCOME","FY 2016","FY 2016","Currency=USD","Period=FY","BEST_FPERIOD_OVERRIDE=FY","FILING_STATUS=MR","SCALING_FORMAT=MLN","Sort=A","Dates=H","DateFormat=P","Fill=—","Direction=H","UseDPDF=Y")</f>
        <v>29249</v>
      </c>
      <c r="G36" s="12">
        <f>_xll.BDH("VZ US Equity","ARD_OPERATING_INCOME","FY 2017","FY 2017","Currency=USD","Period=FY","BEST_FPERIOD_OVERRIDE=FY","FILING_STATUS=MR","SCALING_FORMAT=MLN","Sort=A","Dates=H","DateFormat=P","Fill=—","Direction=H","UseDPDF=Y")</f>
        <v>27425</v>
      </c>
      <c r="H36" s="12">
        <f>_xll.BDH("VZ US Equity","ARD_OPERATING_INCOME","FY 2018","FY 2018","Currency=USD","Period=FY","BEST_FPERIOD_OVERRIDE=FY","FILING_STATUS=MR","SCALING_FORMAT=MLN","Sort=A","Dates=H","DateFormat=P","Fill=—","Direction=H","UseDPDF=Y")</f>
        <v>22278</v>
      </c>
      <c r="I36" s="12">
        <f>_xll.BDH("VZ US Equity","ARD_OPERATING_INCOME","FY 2019","FY 2019","Currency=USD","Period=FY","BEST_FPERIOD_OVERRIDE=FY","FILING_STATUS=MR","SCALING_FORMAT=MLN","Sort=A","Dates=H","DateFormat=P","Fill=—","Direction=H","UseDPDF=Y")</f>
        <v>30378</v>
      </c>
      <c r="J36" s="12">
        <f>_xll.BDH("VZ US Equity","ARD_OPERATING_INCOME","FY 2020","FY 2020","Currency=USD","Period=FY","BEST_FPERIOD_OVERRIDE=FY","FILING_STATUS=MR","SCALING_FORMAT=MLN","Sort=A","Dates=H","DateFormat=P","Fill=—","Direction=H","UseDPDF=Y")</f>
        <v>28798</v>
      </c>
      <c r="K36" s="12">
        <f>_xll.BDH("VZ US Equity","ARD_OPERATING_INCOME","FY 2021","FY 2021","Currency=USD","Period=FY","BEST_FPERIOD_OVERRIDE=FY","FILING_STATUS=MR","SCALING_FORMAT=MLN","Sort=A","Dates=H","DateFormat=P","Fill=—","Direction=H","UseDPDF=Y")</f>
        <v>32448</v>
      </c>
      <c r="L36" s="12">
        <f>_xll.BDH("VZ US Equity","ARD_OPERATING_INCOME","FY 2022","FY 2022","Currency=USD","Period=FY","BEST_FPERIOD_OVERRIDE=FY","FILING_STATUS=MR","SCALING_FORMAT=MLN","Sort=A","Dates=H","DateFormat=P","Fill=—","Direction=H","UseDPDF=Y")</f>
        <v>30467</v>
      </c>
    </row>
    <row r="37" spans="1:12">
      <c r="A37" s="10" t="s">
        <v>64</v>
      </c>
      <c r="B37" s="10" t="s">
        <v>65</v>
      </c>
      <c r="C37" s="12">
        <f>_xll.BDH("VZ US Equity","CF_CAP_EXPEND_PRPTY_ADD","FY 2013","FY 2013","Currency=USD","Period=FY","BEST_FPERIOD_OVERRIDE=FY","FILING_STATUS=MR","SCALING_FORMAT=MLN","Sort=A","Dates=H","DateFormat=P","Fill=—","Direction=H","UseDPDF=Y")</f>
        <v>-16604</v>
      </c>
      <c r="D37" s="12">
        <f>_xll.BDH("VZ US Equity","CF_CAP_EXPEND_PRPTY_ADD","FY 2014","FY 2014","Currency=USD","Period=FY","BEST_FPERIOD_OVERRIDE=FY","FILING_STATUS=MR","SCALING_FORMAT=MLN","Sort=A","Dates=H","DateFormat=P","Fill=—","Direction=H","UseDPDF=Y")</f>
        <v>-17191</v>
      </c>
      <c r="E37" s="12">
        <f>_xll.BDH("VZ US Equity","CF_CAP_EXPEND_PRPTY_ADD","FY 2015","FY 2015","Currency=USD","Period=FY","BEST_FPERIOD_OVERRIDE=FY","FILING_STATUS=MR","SCALING_FORMAT=MLN","Sort=A","Dates=H","DateFormat=P","Fill=—","Direction=H","UseDPDF=Y")</f>
        <v>-17775</v>
      </c>
      <c r="F37" s="12">
        <f>_xll.BDH("VZ US Equity","CF_CAP_EXPEND_PRPTY_ADD","FY 2016","FY 2016","Currency=USD","Period=FY","BEST_FPERIOD_OVERRIDE=FY","FILING_STATUS=MR","SCALING_FORMAT=MLN","Sort=A","Dates=H","DateFormat=P","Fill=—","Direction=H","UseDPDF=Y")</f>
        <v>-17059</v>
      </c>
      <c r="G37" s="12">
        <f>_xll.BDH("VZ US Equity","CF_CAP_EXPEND_PRPTY_ADD","FY 2017","FY 2017","Currency=USD","Period=FY","BEST_FPERIOD_OVERRIDE=FY","FILING_STATUS=MR","SCALING_FORMAT=MLN","Sort=A","Dates=H","DateFormat=P","Fill=—","Direction=H","UseDPDF=Y")</f>
        <v>-17247</v>
      </c>
      <c r="H37" s="12">
        <f>_xll.BDH("VZ US Equity","CF_CAP_EXPEND_PRPTY_ADD","FY 2018","FY 2018","Currency=USD","Period=FY","BEST_FPERIOD_OVERRIDE=FY","FILING_STATUS=MR","SCALING_FORMAT=MLN","Sort=A","Dates=H","DateFormat=P","Fill=—","Direction=H","UseDPDF=Y")</f>
        <v>-16658</v>
      </c>
      <c r="I37" s="12">
        <f>_xll.BDH("VZ US Equity","CF_CAP_EXPEND_PRPTY_ADD","FY 2019","FY 2019","Currency=USD","Period=FY","BEST_FPERIOD_OVERRIDE=FY","FILING_STATUS=MR","SCALING_FORMAT=MLN","Sort=A","Dates=H","DateFormat=P","Fill=—","Direction=H","UseDPDF=Y")</f>
        <v>-17939</v>
      </c>
      <c r="J37" s="12">
        <f>_xll.BDH("VZ US Equity","CF_CAP_EXPEND_PRPTY_ADD","FY 2020","FY 2020","Currency=USD","Period=FY","BEST_FPERIOD_OVERRIDE=FY","FILING_STATUS=MR","SCALING_FORMAT=MLN","Sort=A","Dates=H","DateFormat=P","Fill=—","Direction=H","UseDPDF=Y")</f>
        <v>-18192</v>
      </c>
      <c r="K37" s="12">
        <f>_xll.BDH("VZ US Equity","CF_CAP_EXPEND_PRPTY_ADD","FY 2021","FY 2021","Currency=USD","Period=FY","BEST_FPERIOD_OVERRIDE=FY","FILING_STATUS=MR","SCALING_FORMAT=MLN","Sort=A","Dates=H","DateFormat=P","Fill=—","Direction=H","UseDPDF=Y")</f>
        <v>-20286</v>
      </c>
      <c r="L37" s="12">
        <f>_xll.BDH("VZ US Equity","CF_CAP_EXPEND_PRPTY_ADD","FY 2022","FY 2022","Currency=USD","Period=FY","BEST_FPERIOD_OVERRIDE=FY","FILING_STATUS=MR","SCALING_FORMAT=MLN","Sort=A","Dates=H","DateFormat=P","Fill=—","Direction=H","UseDPDF=Y")</f>
        <v>-23087</v>
      </c>
    </row>
    <row r="38" spans="1:1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>
      <c r="A39" s="6" t="s">
        <v>66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>
      <c r="A40" s="6" t="s">
        <v>24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>
      <c r="A41" s="10" t="s">
        <v>67</v>
      </c>
      <c r="B41" s="10" t="s">
        <v>68</v>
      </c>
      <c r="C41" s="12">
        <f>_xll.BDH("VZ US Equity","WIRELINE_REVENUE","FY 2013","FY 2013","Currency=USD","Period=FY","BEST_FPERIOD_OVERRIDE=FY","FILING_STATUS=MR","SCALING_FORMAT=MLN","Sort=A","Dates=H","DateFormat=P","Fill=—","Direction=H","UseDPDF=Y")</f>
        <v>39223</v>
      </c>
      <c r="D41" s="12">
        <f>_xll.BDH("VZ US Equity","WIRELINE_REVENUE","FY 2014","FY 2014","Currency=USD","Period=FY","BEST_FPERIOD_OVERRIDE=FY","FILING_STATUS=MR","SCALING_FORMAT=MLN","Sort=A","Dates=H","DateFormat=P","Fill=—","Direction=H","UseDPDF=Y")</f>
        <v>38429</v>
      </c>
      <c r="E41" s="12">
        <f>_xll.BDH("VZ US Equity","WIRELINE_REVENUE","FY 2015","FY 2015","Currency=USD","Period=FY","BEST_FPERIOD_OVERRIDE=FY","FILING_STATUS=MR","SCALING_FORMAT=MLN","Sort=A","Dates=H","DateFormat=P","Fill=—","Direction=H","UseDPDF=Y")</f>
        <v>32094</v>
      </c>
      <c r="F41" s="12">
        <f>_xll.BDH("VZ US Equity","WIRELINE_REVENUE","FY 2016","FY 2016","Currency=USD","Period=FY","BEST_FPERIOD_OVERRIDE=FY","FILING_STATUS=MR","SCALING_FORMAT=MLN","Sort=A","Dates=H","DateFormat=P","Fill=—","Direction=H","UseDPDF=Y")</f>
        <v>30510</v>
      </c>
      <c r="G41" s="12">
        <f>_xll.BDH("VZ US Equity","WIRELINE_REVENUE","FY 2017","FY 2017","Currency=USD","Period=FY","BEST_FPERIOD_OVERRIDE=FY","FILING_STATUS=MR","SCALING_FORMAT=MLN","Sort=A","Dates=H","DateFormat=P","Fill=—","Direction=H","UseDPDF=Y")</f>
        <v>30680</v>
      </c>
      <c r="H41" s="12">
        <f>_xll.BDH("VZ US Equity","WIRELINE_REVENUE","FY 2018","FY 2018","Currency=USD","Period=FY","BEST_FPERIOD_OVERRIDE=FY","FILING_STATUS=MR","SCALING_FORMAT=MLN","Sort=A","Dates=H","DateFormat=P","Fill=—","Direction=H","UseDPDF=Y")</f>
        <v>29760</v>
      </c>
      <c r="I41" s="12">
        <f>_xll.BDH("VZ US Equity","WIRELINE_REVENUE","FY 2019","FY 2019","Currency=USD","Period=FY","BEST_FPERIOD_OVERRIDE=FY","FILING_STATUS=MR","SCALING_FORMAT=MLN","Sort=A","Dates=H","DateFormat=P","Fill=—","Direction=H","UseDPDF=Y")</f>
        <v>28557</v>
      </c>
      <c r="J41" s="12">
        <f>_xll.BDH("VZ US Equity","WIRELINE_REVENUE","FY 2020","FY 2020","Currency=USD","Period=FY","BEST_FPERIOD_OVERRIDE=FY","FILING_STATUS=MR","SCALING_FORMAT=MLN","Sort=A","Dates=H","DateFormat=P","Fill=—","Direction=H","UseDPDF=Y")</f>
        <v>30962</v>
      </c>
      <c r="K41" s="12">
        <f>_xll.BDH("VZ US Equity","WIRELINE_REVENUE","FY 2021","FY 2021","Currency=USD","Period=FY","BEST_FPERIOD_OVERRIDE=FY","FILING_STATUS=MR","SCALING_FORMAT=MLN","Sort=A","Dates=H","DateFormat=P","Fill=—","Direction=H","UseDPDF=Y")</f>
        <v>31042</v>
      </c>
      <c r="L41" s="12">
        <f>_xll.BDH("VZ US Equity","WIRELINE_REVENUE","FY 2022","FY 2022","Currency=USD","Period=FY","BEST_FPERIOD_OVERRIDE=FY","FILING_STATUS=MR","SCALING_FORMAT=MLN","Sort=A","Dates=H","DateFormat=P","Fill=—","Direction=H","UseDPDF=Y")</f>
        <v>31072</v>
      </c>
    </row>
    <row r="42" spans="1:12">
      <c r="A42" s="10" t="s">
        <v>69</v>
      </c>
      <c r="B42" s="10" t="s">
        <v>70</v>
      </c>
      <c r="C42" s="12">
        <f>_xll.BDH("VZ US Equity","WIRELINE_RESIDENTIAL_REVENUE","FY 2013","FY 2013","Currency=USD","Period=FY","BEST_FPERIOD_OVERRIDE=FY","FILING_STATUS=MR","SCALING_FORMAT=MLN","Sort=A","Dates=H","DateFormat=P","Fill=—","Direction=H","UseDPDF=Y")</f>
        <v>17328</v>
      </c>
      <c r="D42" s="12">
        <f>_xll.BDH("VZ US Equity","WIRELINE_RESIDENTIAL_REVENUE","FY 2014","FY 2014","Currency=USD","Period=FY","BEST_FPERIOD_OVERRIDE=FY","FILING_STATUS=MR","SCALING_FORMAT=MLN","Sort=A","Dates=H","DateFormat=P","Fill=—","Direction=H","UseDPDF=Y")</f>
        <v>18047</v>
      </c>
      <c r="E42" s="12">
        <f>_xll.BDH("VZ US Equity","WIRELINE_RESIDENTIAL_REVENUE","FY 2015","FY 2015","Currency=USD","Period=FY","BEST_FPERIOD_OVERRIDE=FY","FILING_STATUS=MR","SCALING_FORMAT=MLN","Sort=A","Dates=H","DateFormat=P","Fill=—","Direction=H","UseDPDF=Y")</f>
        <v>14440</v>
      </c>
      <c r="F42" s="12">
        <f>_xll.BDH("VZ US Equity","WIRELINE_RESIDENTIAL_REVENUE","FY 2016","FY 2016","Currency=USD","Period=FY","BEST_FPERIOD_OVERRIDE=FY","FILING_STATUS=MR","SCALING_FORMAT=MLN","Sort=A","Dates=H","DateFormat=P","Fill=—","Direction=H","UseDPDF=Y")</f>
        <v>16107</v>
      </c>
      <c r="G42" s="12">
        <f>_xll.BDH("VZ US Equity","WIRELINE_RESIDENTIAL_REVENUE","FY 2017","FY 2017","Currency=USD","Period=FY","BEST_FPERIOD_OVERRIDE=FY","FILING_STATUS=MR","SCALING_FORMAT=MLN","Sort=A","Dates=H","DateFormat=P","Fill=—","Direction=H","UseDPDF=Y")</f>
        <v>16362</v>
      </c>
      <c r="H42" s="12">
        <f>_xll.BDH("VZ US Equity","WIRELINE_RESIDENTIAL_REVENUE","FY 2018","FY 2018","Currency=USD","Period=FY","BEST_FPERIOD_OVERRIDE=FY","FILING_STATUS=MR","SCALING_FORMAT=MLN","Sort=A","Dates=H","DateFormat=P","Fill=—","Direction=H","UseDPDF=Y")</f>
        <v>15986</v>
      </c>
      <c r="I42" s="12" t="str">
        <f>_xll.BDH("VZ US Equity","WIRELINE_RESIDENTIAL_REVENUE","FY 2019","FY 2019","Currency=USD","Period=FY","BEST_FPERIOD_OVERRIDE=FY","FILING_STATUS=MR","SCALING_FORMAT=MLN","Sort=A","Dates=H","DateFormat=P","Fill=—","Direction=H","UseDPDF=Y")</f>
        <v>—</v>
      </c>
      <c r="J42" s="12" t="str">
        <f>_xll.BDH("VZ US Equity","WIRELINE_RESIDENTIAL_REVENUE","FY 2020","FY 2020","Currency=USD","Period=FY","BEST_FPERIOD_OVERRIDE=FY","FILING_STATUS=MR","SCALING_FORMAT=MLN","Sort=A","Dates=H","DateFormat=P","Fill=—","Direction=H","UseDPDF=Y")</f>
        <v>—</v>
      </c>
      <c r="K42" s="12" t="str">
        <f>_xll.BDH("VZ US Equity","WIRELINE_RESIDENTIAL_REVENUE","FY 2021","FY 2021","Currency=USD","Period=FY","BEST_FPERIOD_OVERRIDE=FY","FILING_STATUS=MR","SCALING_FORMAT=MLN","Sort=A","Dates=H","DateFormat=P","Fill=—","Direction=H","UseDPDF=Y")</f>
        <v>—</v>
      </c>
      <c r="L42" s="12" t="str">
        <f>_xll.BDH("VZ US Equity","WIRELINE_RESIDENTIAL_REVENUE","FY 2022","FY 2022","Currency=USD","Period=FY","BEST_FPERIOD_OVERRIDE=FY","FILING_STATUS=MR","SCALING_FORMAT=MLN","Sort=A","Dates=H","DateFormat=P","Fill=—","Direction=H","UseDPDF=Y")</f>
        <v>—</v>
      </c>
    </row>
    <row r="43" spans="1:12">
      <c r="A43" s="10" t="s">
        <v>71</v>
      </c>
      <c r="B43" s="10" t="s">
        <v>72</v>
      </c>
      <c r="C43" s="12">
        <f>_xll.BDH("VZ US Equity","WIRELINE_BUSINESS_REVENUE","FY 2013","FY 2013","Currency=USD","Period=FY","BEST_FPERIOD_OVERRIDE=FY","FILING_STATUS=MR","SCALING_FORMAT=MLN","Sort=A","Dates=H","DateFormat=P","Fill=—","Direction=H","UseDPDF=Y")</f>
        <v>14703</v>
      </c>
      <c r="D43" s="12">
        <f>_xll.BDH("VZ US Equity","WIRELINE_BUSINESS_REVENUE","FY 2014","FY 2014","Currency=USD","Period=FY","BEST_FPERIOD_OVERRIDE=FY","FILING_STATUS=MR","SCALING_FORMAT=MLN","Sort=A","Dates=H","DateFormat=P","Fill=—","Direction=H","UseDPDF=Y")</f>
        <v>13684</v>
      </c>
      <c r="E43" s="12">
        <f>_xll.BDH("VZ US Equity","WIRELINE_BUSINESS_REVENUE","FY 2015","FY 2015","Currency=USD","Period=FY","BEST_FPERIOD_OVERRIDE=FY","FILING_STATUS=MR","SCALING_FORMAT=MLN","Sort=A","Dates=H","DateFormat=P","Fill=—","Direction=H","UseDPDF=Y")</f>
        <v>12050</v>
      </c>
      <c r="F43" s="12">
        <f>_xll.BDH("VZ US Equity","WIRELINE_BUSINESS_REVENUE","FY 2016","FY 2016","Currency=USD","Period=FY","BEST_FPERIOD_OVERRIDE=FY","FILING_STATUS=MR","SCALING_FORMAT=MLN","Sort=A","Dates=H","DateFormat=P","Fill=—","Direction=H","UseDPDF=Y")</f>
        <v>14091</v>
      </c>
      <c r="G43" s="12">
        <f>_xll.BDH("VZ US Equity","WIRELINE_BUSINESS_REVENUE","FY 2017","FY 2017","Currency=USD","Period=FY","BEST_FPERIOD_OVERRIDE=FY","FILING_STATUS=MR","SCALING_FORMAT=MLN","Sort=A","Dates=H","DateFormat=P","Fill=—","Direction=H","UseDPDF=Y")</f>
        <v>14084</v>
      </c>
      <c r="H43" s="12">
        <f>_xll.BDH("VZ US Equity","WIRELINE_BUSINESS_REVENUE","FY 2018","FY 2018","Currency=USD","Period=FY","BEST_FPERIOD_OVERRIDE=FY","FILING_STATUS=MR","SCALING_FORMAT=MLN","Sort=A","Dates=H","DateFormat=P","Fill=—","Direction=H","UseDPDF=Y")</f>
        <v>13532</v>
      </c>
      <c r="I43" s="12" t="str">
        <f>_xll.BDH("VZ US Equity","WIRELINE_BUSINESS_REVENUE","FY 2019","FY 2019","Currency=USD","Period=FY","BEST_FPERIOD_OVERRIDE=FY","FILING_STATUS=MR","SCALING_FORMAT=MLN","Sort=A","Dates=H","DateFormat=P","Fill=—","Direction=H","UseDPDF=Y")</f>
        <v>—</v>
      </c>
      <c r="J43" s="12" t="str">
        <f>_xll.BDH("VZ US Equity","WIRELINE_BUSINESS_REVENUE","FY 2020","FY 2020","Currency=USD","Period=FY","BEST_FPERIOD_OVERRIDE=FY","FILING_STATUS=MR","SCALING_FORMAT=MLN","Sort=A","Dates=H","DateFormat=P","Fill=—","Direction=H","UseDPDF=Y")</f>
        <v>—</v>
      </c>
      <c r="K43" s="12" t="str">
        <f>_xll.BDH("VZ US Equity","WIRELINE_BUSINESS_REVENUE","FY 2021","FY 2021","Currency=USD","Period=FY","BEST_FPERIOD_OVERRIDE=FY","FILING_STATUS=MR","SCALING_FORMAT=MLN","Sort=A","Dates=H","DateFormat=P","Fill=—","Direction=H","UseDPDF=Y")</f>
        <v>—</v>
      </c>
      <c r="L43" s="12" t="str">
        <f>_xll.BDH("VZ US Equity","WIRELINE_BUSINESS_REVENUE","FY 2022","FY 2022","Currency=USD","Period=FY","BEST_FPERIOD_OVERRIDE=FY","FILING_STATUS=MR","SCALING_FORMAT=MLN","Sort=A","Dates=H","DateFormat=P","Fill=—","Direction=H","UseDPDF=Y")</f>
        <v>—</v>
      </c>
    </row>
    <row r="44" spans="1:12">
      <c r="A44" s="10" t="s">
        <v>73</v>
      </c>
      <c r="B44" s="10" t="s">
        <v>74</v>
      </c>
      <c r="C44" s="12">
        <f>_xll.BDH("VZ US Equity","STRATEGIC_SERVICES_REVENUE","FY 2013","FY 2013","Currency=USD","Period=FY","BEST_FPERIOD_OVERRIDE=FY","FILING_STATUS=MR","SCALING_FORMAT=MLN","Sort=A","Dates=H","DateFormat=P","Fill=—","Direction=H","UseDPDF=Y")</f>
        <v>8420</v>
      </c>
      <c r="D44" s="12">
        <f>_xll.BDH("VZ US Equity","STRATEGIC_SERVICES_REVENUE","FY 2014","FY 2014","Currency=USD","Period=FY","BEST_FPERIOD_OVERRIDE=FY","FILING_STATUS=MR","SCALING_FORMAT=MLN","Sort=A","Dates=H","DateFormat=P","Fill=—","Direction=H","UseDPDF=Y")</f>
        <v>8326</v>
      </c>
      <c r="E44" s="12">
        <f>_xll.BDH("VZ US Equity","STRATEGIC_SERVICES_REVENUE","FY 2015","FY 2015","Currency=USD","Period=FY","BEST_FPERIOD_OVERRIDE=FY","FILING_STATUS=MR","SCALING_FORMAT=MLN","Sort=A","Dates=H","DateFormat=P","Fill=—","Direction=H","UseDPDF=Y")</f>
        <v>8165</v>
      </c>
      <c r="F44" s="12" t="str">
        <f>_xll.BDH("VZ US Equity","STRATEGIC_SERVICES_REVENUE","FY 2016","FY 2016","Currency=USD","Period=FY","BEST_FPERIOD_OVERRIDE=FY","FILING_STATUS=MR","SCALING_FORMAT=MLN","Sort=A","Dates=H","DateFormat=P","Fill=—","Direction=H","UseDPDF=Y")</f>
        <v>—</v>
      </c>
      <c r="G44" s="12" t="str">
        <f>_xll.BDH("VZ US Equity","STRATEGIC_SERVICES_REVENUE","FY 2017","FY 2017","Currency=USD","Period=FY","BEST_FPERIOD_OVERRIDE=FY","FILING_STATUS=MR","SCALING_FORMAT=MLN","Sort=A","Dates=H","DateFormat=P","Fill=—","Direction=H","UseDPDF=Y")</f>
        <v>—</v>
      </c>
      <c r="H44" s="12" t="str">
        <f>_xll.BDH("VZ US Equity","STRATEGIC_SERVICES_REVENUE","FY 2018","FY 2018","Currency=USD","Period=FY","BEST_FPERIOD_OVERRIDE=FY","FILING_STATUS=MR","SCALING_FORMAT=MLN","Sort=A","Dates=H","DateFormat=P","Fill=—","Direction=H","UseDPDF=Y")</f>
        <v>—</v>
      </c>
      <c r="I44" s="12" t="str">
        <f>_xll.BDH("VZ US Equity","STRATEGIC_SERVICES_REVENUE","FY 2019","FY 2019","Currency=USD","Period=FY","BEST_FPERIOD_OVERRIDE=FY","FILING_STATUS=MR","SCALING_FORMAT=MLN","Sort=A","Dates=H","DateFormat=P","Fill=—","Direction=H","UseDPDF=Y")</f>
        <v>—</v>
      </c>
      <c r="J44" s="12" t="str">
        <f>_xll.BDH("VZ US Equity","STRATEGIC_SERVICES_REVENUE","FY 2020","FY 2020","Currency=USD","Period=FY","BEST_FPERIOD_OVERRIDE=FY","FILING_STATUS=MR","SCALING_FORMAT=MLN","Sort=A","Dates=H","DateFormat=P","Fill=—","Direction=H","UseDPDF=Y")</f>
        <v>—</v>
      </c>
      <c r="K44" s="12" t="str">
        <f>_xll.BDH("VZ US Equity","STRATEGIC_SERVICES_REVENUE","FY 2021","FY 2021","Currency=USD","Period=FY","BEST_FPERIOD_OVERRIDE=FY","FILING_STATUS=MR","SCALING_FORMAT=MLN","Sort=A","Dates=H","DateFormat=P","Fill=—","Direction=H","UseDPDF=Y")</f>
        <v>—</v>
      </c>
      <c r="L44" s="12" t="str">
        <f>_xll.BDH("VZ US Equity","STRATEGIC_SERVICES_REVENUE","FY 2022","FY 2022","Currency=USD","Period=FY","BEST_FPERIOD_OVERRIDE=FY","FILING_STATUS=MR","SCALING_FORMAT=MLN","Sort=A","Dates=H","DateFormat=P","Fill=—","Direction=H","UseDPDF=Y")</f>
        <v>—</v>
      </c>
    </row>
    <row r="45" spans="1:1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>
      <c r="A46" s="6" t="s">
        <v>31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>
      <c r="A47" s="10" t="s">
        <v>75</v>
      </c>
      <c r="B47" s="10" t="s">
        <v>76</v>
      </c>
      <c r="C47" s="12">
        <f>_xll.BDH("VZ US Equity","NUMBER_OF_WIRELINE_SUBSCRIBERS","FY 2013","FY 2013","Currency=USD","Period=FY","BEST_FPERIOD_OVERRIDE=FY","FILING_STATUS=MR","Sort=A","Dates=H","DateFormat=P","Fill=—","Direction=H","UseDPDF=Y")</f>
        <v>21085</v>
      </c>
      <c r="D47" s="12">
        <f>_xll.BDH("VZ US Equity","NUMBER_OF_WIRELINE_SUBSCRIBERS","FY 2014","FY 2014","Currency=USD","Period=FY","BEST_FPERIOD_OVERRIDE=FY","FILING_STATUS=MR","Sort=A","Dates=H","DateFormat=P","Fill=—","Direction=H","UseDPDF=Y")</f>
        <v>19795</v>
      </c>
      <c r="E47" s="12">
        <f>_xll.BDH("VZ US Equity","NUMBER_OF_WIRELINE_SUBSCRIBERS","FY 2015","FY 2015","Currency=USD","Period=FY","BEST_FPERIOD_OVERRIDE=FY","FILING_STATUS=MR","Sort=A","Dates=H","DateFormat=P","Fill=—","Direction=H","UseDPDF=Y")</f>
        <v>15035</v>
      </c>
      <c r="F47" s="12">
        <f>_xll.BDH("VZ US Equity","NUMBER_OF_WIRELINE_SUBSCRIBERS","FY 2016","FY 2016","Currency=USD","Period=FY","BEST_FPERIOD_OVERRIDE=FY","FILING_STATUS=MR","Sort=A","Dates=H","DateFormat=P","Fill=—","Direction=H","UseDPDF=Y")</f>
        <v>13939</v>
      </c>
      <c r="G47" s="12">
        <f>_xll.BDH("VZ US Equity","NUMBER_OF_WIRELINE_SUBSCRIBERS","FY 2017","FY 2017","Currency=USD","Period=FY","BEST_FPERIOD_OVERRIDE=FY","FILING_STATUS=MR","Sort=A","Dates=H","DateFormat=P","Fill=—","Direction=H","UseDPDF=Y")</f>
        <v>12821</v>
      </c>
      <c r="H47" s="12">
        <f>_xll.BDH("VZ US Equity","NUMBER_OF_WIRELINE_SUBSCRIBERS","FY 2018","FY 2018","Currency=USD","Period=FY","BEST_FPERIOD_OVERRIDE=FY","FILING_STATUS=MR","Sort=A","Dates=H","DateFormat=P","Fill=—","Direction=H","UseDPDF=Y")</f>
        <v>11732</v>
      </c>
      <c r="I47" s="12">
        <f>_xll.BDH("VZ US Equity","NUMBER_OF_WIRELINE_SUBSCRIBERS","FY 2019","FY 2019","Currency=USD","Period=FY","BEST_FPERIOD_OVERRIDE=FY","FILING_STATUS=MR","Sort=A","Dates=H","DateFormat=P","Fill=—","Direction=H","UseDPDF=Y")</f>
        <v>10713</v>
      </c>
      <c r="J47" s="12" t="str">
        <f>_xll.BDH("VZ US Equity","NUMBER_OF_WIRELINE_SUBSCRIBERS","FY 2020","FY 2020","Currency=USD","Period=FY","BEST_FPERIOD_OVERRIDE=FY","FILING_STATUS=MR","Sort=A","Dates=H","DateFormat=P","Fill=—","Direction=H","UseDPDF=Y")</f>
        <v>—</v>
      </c>
      <c r="K47" s="12" t="str">
        <f>_xll.BDH("VZ US Equity","NUMBER_OF_WIRELINE_SUBSCRIBERS","FY 2021","FY 2021","Currency=USD","Period=FY","BEST_FPERIOD_OVERRIDE=FY","FILING_STATUS=MR","Sort=A","Dates=H","DateFormat=P","Fill=—","Direction=H","UseDPDF=Y")</f>
        <v>—</v>
      </c>
      <c r="L47" s="12" t="str">
        <f>_xll.BDH("VZ US Equity","NUMBER_OF_WIRELINE_SUBSCRIBERS","FY 2022","FY 2022","Currency=USD","Period=FY","BEST_FPERIOD_OVERRIDE=FY","FILING_STATUS=MR","Sort=A","Dates=H","DateFormat=P","Fill=—","Direction=H","UseDPDF=Y")</f>
        <v>—</v>
      </c>
    </row>
    <row r="48" spans="1:12">
      <c r="A48" s="10" t="s">
        <v>77</v>
      </c>
      <c r="B48" s="10" t="s">
        <v>78</v>
      </c>
      <c r="C48" s="12">
        <f>_xll.BDH("VZ US Equity","RESIDENTIAL_ACCESS_LINES","FY 2013","FY 2013","Currency=USD","Period=FY","BEST_FPERIOD_OVERRIDE=FY","FILING_STATUS=MR","Sort=A","Dates=H","DateFormat=P","Fill=—","Direction=H","UseDPDF=Y")</f>
        <v>11229</v>
      </c>
      <c r="D48" s="12">
        <f>_xll.BDH("VZ US Equity","RESIDENTIAL_ACCESS_LINES","FY 2014","FY 2014","Currency=USD","Period=FY","BEST_FPERIOD_OVERRIDE=FY","FILING_STATUS=MR","Sort=A","Dates=H","DateFormat=P","Fill=—","Direction=H","UseDPDF=Y")</f>
        <v>10615</v>
      </c>
      <c r="E48" s="12">
        <f>_xll.BDH("VZ US Equity","RESIDENTIAL_ACCESS_LINES","FY 2015","FY 2015","Currency=USD","Period=FY","BEST_FPERIOD_OVERRIDE=FY","FILING_STATUS=MR","Sort=A","Dates=H","DateFormat=P","Fill=—","Direction=H","UseDPDF=Y")</f>
        <v>7949</v>
      </c>
      <c r="F48" s="12">
        <f>_xll.BDH("VZ US Equity","RESIDENTIAL_ACCESS_LINES","FY 2016","FY 2016","Currency=USD","Period=FY","BEST_FPERIOD_OVERRIDE=FY","FILING_STATUS=MR","Sort=A","Dates=H","DateFormat=P","Fill=—","Direction=H","UseDPDF=Y")</f>
        <v>7355</v>
      </c>
      <c r="G48" s="12">
        <f>_xll.BDH("VZ US Equity","RESIDENTIAL_ACCESS_LINES","FY 2017","FY 2017","Currency=USD","Period=FY","BEST_FPERIOD_OVERRIDE=FY","FILING_STATUS=MR","Sort=A","Dates=H","DateFormat=P","Fill=—","Direction=H","UseDPDF=Y")</f>
        <v>6804</v>
      </c>
      <c r="H48" s="12" t="str">
        <f>_xll.BDH("VZ US Equity","RESIDENTIAL_ACCESS_LINES","FY 2018","FY 2018","Currency=USD","Period=FY","BEST_FPERIOD_OVERRIDE=FY","FILING_STATUS=MR","Sort=A","Dates=H","DateFormat=P","Fill=—","Direction=H","UseDPDF=Y")</f>
        <v>—</v>
      </c>
      <c r="I48" s="12" t="str">
        <f>_xll.BDH("VZ US Equity","RESIDENTIAL_ACCESS_LINES","FY 2019","FY 2019","Currency=USD","Period=FY","BEST_FPERIOD_OVERRIDE=FY","FILING_STATUS=MR","Sort=A","Dates=H","DateFormat=P","Fill=—","Direction=H","UseDPDF=Y")</f>
        <v>—</v>
      </c>
      <c r="J48" s="12" t="str">
        <f>_xll.BDH("VZ US Equity","RESIDENTIAL_ACCESS_LINES","FY 2020","FY 2020","Currency=USD","Period=FY","BEST_FPERIOD_OVERRIDE=FY","FILING_STATUS=MR","Sort=A","Dates=H","DateFormat=P","Fill=—","Direction=H","UseDPDF=Y")</f>
        <v>—</v>
      </c>
      <c r="K48" s="12" t="str">
        <f>_xll.BDH("VZ US Equity","RESIDENTIAL_ACCESS_LINES","FY 2021","FY 2021","Currency=USD","Period=FY","BEST_FPERIOD_OVERRIDE=FY","FILING_STATUS=MR","Sort=A","Dates=H","DateFormat=P","Fill=—","Direction=H","UseDPDF=Y")</f>
        <v>—</v>
      </c>
      <c r="L48" s="12" t="str">
        <f>_xll.BDH("VZ US Equity","RESIDENTIAL_ACCESS_LINES","FY 2022","FY 2022","Currency=USD","Period=FY","BEST_FPERIOD_OVERRIDE=FY","FILING_STATUS=MR","Sort=A","Dates=H","DateFormat=P","Fill=—","Direction=H","UseDPDF=Y")</f>
        <v>—</v>
      </c>
    </row>
    <row r="49" spans="1:12">
      <c r="A49" s="10" t="s">
        <v>79</v>
      </c>
      <c r="B49" s="10" t="s">
        <v>80</v>
      </c>
      <c r="C49" s="12">
        <f>_xll.BDH("VZ US Equity","TOTAL_CABLE_SUBSCRIBERS","FY 2013","FY 2013","Currency=USD","Period=FY","BEST_FPERIOD_OVERRIDE=FY","FILING_STATUS=MR","Sort=A","Dates=H","DateFormat=P","Fill=—","Direction=H","UseDPDF=Y")</f>
        <v>5.2619999999999996</v>
      </c>
      <c r="D49" s="12">
        <f>_xll.BDH("VZ US Equity","TOTAL_CABLE_SUBSCRIBERS","FY 2014","FY 2014","Currency=USD","Period=FY","BEST_FPERIOD_OVERRIDE=FY","FILING_STATUS=MR","Sort=A","Dates=H","DateFormat=P","Fill=—","Direction=H","UseDPDF=Y")</f>
        <v>5.649</v>
      </c>
      <c r="E49" s="12">
        <f>_xll.BDH("VZ US Equity","TOTAL_CABLE_SUBSCRIBERS","FY 2015","FY 2015","Currency=USD","Period=FY","BEST_FPERIOD_OVERRIDE=FY","FILING_STATUS=MR","Sort=A","Dates=H","DateFormat=P","Fill=—","Direction=H","UseDPDF=Y")</f>
        <v>5.827</v>
      </c>
      <c r="F49" s="12">
        <f>_xll.BDH("VZ US Equity","TOTAL_CABLE_SUBSCRIBERS","FY 2016","FY 2016","Currency=USD","Period=FY","BEST_FPERIOD_OVERRIDE=FY","FILING_STATUS=MR","Sort=A","Dates=H","DateFormat=P","Fill=—","Direction=H","UseDPDF=Y")</f>
        <v>4.694</v>
      </c>
      <c r="G49" s="12">
        <f>_xll.BDH("VZ US Equity","TOTAL_CABLE_SUBSCRIBERS","FY 2017","FY 2017","Currency=USD","Period=FY","BEST_FPERIOD_OVERRIDE=FY","FILING_STATUS=MR","Sort=A","Dates=H","DateFormat=P","Fill=—","Direction=H","UseDPDF=Y")</f>
        <v>4.6189999999999998</v>
      </c>
      <c r="H49" s="12">
        <f>_xll.BDH("VZ US Equity","TOTAL_CABLE_SUBSCRIBERS","FY 2018","FY 2018","Currency=USD","Period=FY","BEST_FPERIOD_OVERRIDE=FY","FILING_STATUS=MR","Sort=A","Dates=H","DateFormat=P","Fill=—","Direction=H","UseDPDF=Y")</f>
        <v>4.4509999999999996</v>
      </c>
      <c r="I49" s="12">
        <f>_xll.BDH("VZ US Equity","TOTAL_CABLE_SUBSCRIBERS","FY 2019","FY 2019","Currency=USD","Period=FY","BEST_FPERIOD_OVERRIDE=FY","FILING_STATUS=MR","Sort=A","Dates=H","DateFormat=P","Fill=—","Direction=H","UseDPDF=Y")</f>
        <v>4.2290000000000001</v>
      </c>
      <c r="J49" s="12">
        <f>_xll.BDH("VZ US Equity","TOTAL_CABLE_SUBSCRIBERS","FY 2020","FY 2020","Currency=USD","Period=FY","BEST_FPERIOD_OVERRIDE=FY","FILING_STATUS=MR","Sort=A","Dates=H","DateFormat=P","Fill=—","Direction=H","UseDPDF=Y")</f>
        <v>3.927</v>
      </c>
      <c r="K49" s="12">
        <f>_xll.BDH("VZ US Equity","TOTAL_CABLE_SUBSCRIBERS","FY 2021","FY 2021","Currency=USD","Period=FY","BEST_FPERIOD_OVERRIDE=FY","FILING_STATUS=MR","Sort=A","Dates=H","DateFormat=P","Fill=—","Direction=H","UseDPDF=Y")</f>
        <v>3.6440000000000001</v>
      </c>
      <c r="L49" s="12">
        <f>_xll.BDH("VZ US Equity","TOTAL_CABLE_SUBSCRIBERS","FY 2022","FY 2022","Currency=USD","Period=FY","BEST_FPERIOD_OVERRIDE=FY","FILING_STATUS=MR","Sort=A","Dates=H","DateFormat=P","Fill=—","Direction=H","UseDPDF=Y")</f>
        <v>3.3010000000000002</v>
      </c>
    </row>
    <row r="50" spans="1:12">
      <c r="A50" s="10" t="s">
        <v>81</v>
      </c>
      <c r="B50" s="10" t="s">
        <v>82</v>
      </c>
      <c r="C50" s="12">
        <f>_xll.BDH("VZ US Equity","BROADBAND_HSI_SUBSCRIBERS","FY 2013","FY 2013","Currency=USD","Period=FY","BEST_FPERIOD_OVERRIDE=FY","FILING_STATUS=MR","Sort=A","Dates=H","DateFormat=P","Fill=—","Direction=H","UseDPDF=Y")</f>
        <v>9015</v>
      </c>
      <c r="D50" s="12">
        <f>_xll.BDH("VZ US Equity","BROADBAND_HSI_SUBSCRIBERS","FY 2014","FY 2014","Currency=USD","Period=FY","BEST_FPERIOD_OVERRIDE=FY","FILING_STATUS=MR","Sort=A","Dates=H","DateFormat=P","Fill=—","Direction=H","UseDPDF=Y")</f>
        <v>9205</v>
      </c>
      <c r="E50" s="12">
        <f>_xll.BDH("VZ US Equity","BROADBAND_HSI_SUBSCRIBERS","FY 2015","FY 2015","Currency=USD","Period=FY","BEST_FPERIOD_OVERRIDE=FY","FILING_STATUS=MR","Sort=A","Dates=H","DateFormat=P","Fill=—","Direction=H","UseDPDF=Y")</f>
        <v>7085</v>
      </c>
      <c r="F50" s="12">
        <f>_xll.BDH("VZ US Equity","BROADBAND_HSI_SUBSCRIBERS","FY 2016","FY 2016","Currency=USD","Period=FY","BEST_FPERIOD_OVERRIDE=FY","FILING_STATUS=MR","Sort=A","Dates=H","DateFormat=P","Fill=—","Direction=H","UseDPDF=Y")</f>
        <v>7038</v>
      </c>
      <c r="G50" s="12">
        <f>_xll.BDH("VZ US Equity","BROADBAND_HSI_SUBSCRIBERS","FY 2017","FY 2017","Currency=USD","Period=FY","BEST_FPERIOD_OVERRIDE=FY","FILING_STATUS=MR","Sort=A","Dates=H","DateFormat=P","Fill=—","Direction=H","UseDPDF=Y")</f>
        <v>6959</v>
      </c>
      <c r="H50" s="12">
        <f>_xll.BDH("VZ US Equity","BROADBAND_HSI_SUBSCRIBERS","FY 2018","FY 2018","Currency=USD","Period=FY","BEST_FPERIOD_OVERRIDE=FY","FILING_STATUS=MR","Sort=A","Dates=H","DateFormat=P","Fill=—","Direction=H","UseDPDF=Y")</f>
        <v>6961</v>
      </c>
      <c r="I50" s="12">
        <f>_xll.BDH("VZ US Equity","BROADBAND_HSI_SUBSCRIBERS","FY 2019","FY 2019","Currency=USD","Period=FY","BEST_FPERIOD_OVERRIDE=FY","FILING_STATUS=MR","Sort=A","Dates=H","DateFormat=P","Fill=—","Direction=H","UseDPDF=Y")</f>
        <v>6956</v>
      </c>
      <c r="J50" s="12">
        <f>_xll.BDH("VZ US Equity","BROADBAND_HSI_SUBSCRIBERS","FY 2020","FY 2020","Currency=USD","Period=FY","BEST_FPERIOD_OVERRIDE=FY","FILING_STATUS=MR","Sort=A","Dates=H","DateFormat=P","Fill=—","Direction=H","UseDPDF=Y")</f>
        <v>7129</v>
      </c>
      <c r="K50" s="12">
        <f>_xll.BDH("VZ US Equity","BROADBAND_HSI_SUBSCRIBERS","FY 2021","FY 2021","Currency=USD","Period=FY","BEST_FPERIOD_OVERRIDE=FY","FILING_STATUS=MR","Sort=A","Dates=H","DateFormat=P","Fill=—","Direction=H","UseDPDF=Y")</f>
        <v>7365</v>
      </c>
      <c r="L50" s="12">
        <f>_xll.BDH("VZ US Equity","BROADBAND_HSI_SUBSCRIBERS","FY 2022","FY 2022","Currency=USD","Period=FY","BEST_FPERIOD_OVERRIDE=FY","FILING_STATUS=MR","Sort=A","Dates=H","DateFormat=P","Fill=—","Direction=H","UseDPDF=Y")</f>
        <v>7484</v>
      </c>
    </row>
    <row r="51" spans="1:1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>
      <c r="A52" s="6" t="s">
        <v>40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>
      <c r="A53" s="10" t="s">
        <v>83</v>
      </c>
      <c r="B53" s="10" t="s">
        <v>84</v>
      </c>
      <c r="C53" s="12">
        <f>_xll.BDH("VZ US Equity","TOTAL_CABLE_SUBSCRIBER_ADDS","FY 2013","FY 2013","Currency=USD","Period=FY","BEST_FPERIOD_OVERRIDE=FY","FILING_STATUS=MR","Sort=A","Dates=H","DateFormat=P","Fill=—","Direction=H","UseDPDF=Y")</f>
        <v>0.53600000000000003</v>
      </c>
      <c r="D53" s="12">
        <f>_xll.BDH("VZ US Equity","TOTAL_CABLE_SUBSCRIBER_ADDS","FY 2014","FY 2014","Currency=USD","Period=FY","BEST_FPERIOD_OVERRIDE=FY","FILING_STATUS=MR","Sort=A","Dates=H","DateFormat=P","Fill=—","Direction=H","UseDPDF=Y")</f>
        <v>0.38700000000000001</v>
      </c>
      <c r="E53" s="12">
        <f>_xll.BDH("VZ US Equity","TOTAL_CABLE_SUBSCRIBER_ADDS","FY 2015","FY 2015","Currency=USD","Period=FY","BEST_FPERIOD_OVERRIDE=FY","FILING_STATUS=MR","Sort=A","Dates=H","DateFormat=P","Fill=—","Direction=H","UseDPDF=Y")</f>
        <v>0.17799999999999999</v>
      </c>
      <c r="F53" s="12">
        <f>_xll.BDH("VZ US Equity","TOTAL_CABLE_SUBSCRIBER_ADDS","FY 2016","FY 2016","Currency=USD","Period=FY","BEST_FPERIOD_OVERRIDE=FY","FILING_STATUS=MR","Sort=A","Dates=H","DateFormat=P","Fill=—","Direction=H","UseDPDF=Y")</f>
        <v>5.8999999999999997E-2</v>
      </c>
      <c r="G53" s="12">
        <f>_xll.BDH("VZ US Equity","TOTAL_CABLE_SUBSCRIBER_ADDS","FY 2017","FY 2017","Currency=USD","Period=FY","BEST_FPERIOD_OVERRIDE=FY","FILING_STATUS=MR","Sort=A","Dates=H","DateFormat=P","Fill=—","Direction=H","UseDPDF=Y")</f>
        <v>-7.4999999999999997E-2</v>
      </c>
      <c r="H53" s="12">
        <f>_xll.BDH("VZ US Equity","TOTAL_CABLE_SUBSCRIBER_ADDS","FY 2018","FY 2018","Currency=USD","Period=FY","BEST_FPERIOD_OVERRIDE=FY","FILING_STATUS=MR","Sort=A","Dates=H","DateFormat=P","Fill=—","Direction=H","UseDPDF=Y")</f>
        <v>-0.16800000000000001</v>
      </c>
      <c r="I53" s="12">
        <f>_xll.BDH("VZ US Equity","TOTAL_CABLE_SUBSCRIBER_ADDS","FY 2019","FY 2019","Currency=USD","Period=FY","BEST_FPERIOD_OVERRIDE=FY","FILING_STATUS=MR","Sort=A","Dates=H","DateFormat=P","Fill=—","Direction=H","UseDPDF=Y")</f>
        <v>-0.222</v>
      </c>
      <c r="J53" s="12">
        <f>_xll.BDH("VZ US Equity","TOTAL_CABLE_SUBSCRIBER_ADDS","FY 2020","FY 2020","Currency=USD","Period=FY","BEST_FPERIOD_OVERRIDE=FY","FILING_STATUS=MR","Sort=A","Dates=H","DateFormat=P","Fill=—","Direction=H","UseDPDF=Y")</f>
        <v>-0.30199999999999999</v>
      </c>
      <c r="K53" s="12">
        <f>_xll.BDH("VZ US Equity","TOTAL_CABLE_SUBSCRIBER_ADDS","FY 2021","FY 2021","Currency=USD","Period=FY","BEST_FPERIOD_OVERRIDE=FY","FILING_STATUS=MR","Sort=A","Dates=H","DateFormat=P","Fill=—","Direction=H","UseDPDF=Y")</f>
        <v>-0.28299999999999997</v>
      </c>
      <c r="L53" s="12">
        <f>_xll.BDH("VZ US Equity","TOTAL_CABLE_SUBSCRIBER_ADDS","FY 2022","FY 2022","Currency=USD","Period=FY","BEST_FPERIOD_OVERRIDE=FY","FILING_STATUS=MR","Sort=A","Dates=H","DateFormat=P","Fill=—","Direction=H","UseDPDF=Y")</f>
        <v>-0.34300000000000003</v>
      </c>
    </row>
    <row r="54" spans="1:12">
      <c r="A54" s="10" t="s">
        <v>85</v>
      </c>
      <c r="B54" s="10" t="s">
        <v>86</v>
      </c>
      <c r="C54" s="13">
        <f>_xll.BDH("VZ US Equity","BROADBAND_HSI_NET_SUBSCRIB_ADDS","FY 2013","FY 2013","Currency=USD","Period=FY","BEST_FPERIOD_OVERRIDE=FY","FILING_STATUS=MR","Sort=A","Dates=H","DateFormat=P","Fill=—","Direction=H","UseDPDF=Y")</f>
        <v>220000</v>
      </c>
      <c r="D54" s="13">
        <f>_xll.BDH("VZ US Equity","BROADBAND_HSI_NET_SUBSCRIB_ADDS","FY 2014","FY 2014","Currency=USD","Period=FY","BEST_FPERIOD_OVERRIDE=FY","FILING_STATUS=MR","Sort=A","Dates=H","DateFormat=P","Fill=—","Direction=H","UseDPDF=Y")</f>
        <v>190000</v>
      </c>
      <c r="E54" s="13">
        <f>_xll.BDH("VZ US Equity","BROADBAND_HSI_NET_SUBSCRIB_ADDS","FY 2015","FY 2015","Currency=USD","Period=FY","BEST_FPERIOD_OVERRIDE=FY","FILING_STATUS=MR","Sort=A","Dates=H","DateFormat=P","Fill=—","Direction=H","UseDPDF=Y")</f>
        <v>61000</v>
      </c>
      <c r="F54" s="13">
        <f>_xll.BDH("VZ US Equity","BROADBAND_HSI_NET_SUBSCRIB_ADDS","FY 2016","FY 2016","Currency=USD","Period=FY","BEST_FPERIOD_OVERRIDE=FY","FILING_STATUS=MR","Sort=A","Dates=H","DateFormat=P","Fill=—","Direction=H","UseDPDF=Y")</f>
        <v>-47000</v>
      </c>
      <c r="G54" s="13">
        <f>_xll.BDH("VZ US Equity","BROADBAND_HSI_NET_SUBSCRIB_ADDS","FY 2017","FY 2017","Currency=USD","Period=FY","BEST_FPERIOD_OVERRIDE=FY","FILING_STATUS=MR","Sort=A","Dates=H","DateFormat=P","Fill=—","Direction=H","UseDPDF=Y")</f>
        <v>-79000</v>
      </c>
      <c r="H54" s="13">
        <f>_xll.BDH("VZ US Equity","BROADBAND_HSI_NET_SUBSCRIB_ADDS","FY 2018","FY 2018","Currency=USD","Period=FY","BEST_FPERIOD_OVERRIDE=FY","FILING_STATUS=MR","Sort=A","Dates=H","DateFormat=P","Fill=—","Direction=H","UseDPDF=Y")</f>
        <v>2000</v>
      </c>
      <c r="I54" s="13">
        <f>_xll.BDH("VZ US Equity","BROADBAND_HSI_NET_SUBSCRIB_ADDS","FY 2019","FY 2019","Currency=USD","Period=FY","BEST_FPERIOD_OVERRIDE=FY","FILING_STATUS=MR","Sort=A","Dates=H","DateFormat=P","Fill=—","Direction=H","UseDPDF=Y")</f>
        <v>-5000</v>
      </c>
      <c r="J54" s="13">
        <f>_xll.BDH("VZ US Equity","BROADBAND_HSI_NET_SUBSCRIB_ADDS","FY 2020","FY 2020","Currency=USD","Period=FY","BEST_FPERIOD_OVERRIDE=FY","FILING_STATUS=MR","Sort=A","Dates=H","DateFormat=P","Fill=—","Direction=H","UseDPDF=Y")</f>
        <v>173000</v>
      </c>
      <c r="K54" s="13">
        <f>_xll.BDH("VZ US Equity","BROADBAND_HSI_NET_SUBSCRIB_ADDS","FY 2021","FY 2021","Currency=USD","Period=FY","BEST_FPERIOD_OVERRIDE=FY","FILING_STATUS=MR","Sort=A","Dates=H","DateFormat=P","Fill=—","Direction=H","UseDPDF=Y")</f>
        <v>236000</v>
      </c>
      <c r="L54" s="13">
        <f>_xll.BDH("VZ US Equity","BROADBAND_HSI_NET_SUBSCRIB_ADDS","FY 2022","FY 2022","Currency=USD","Period=FY","BEST_FPERIOD_OVERRIDE=FY","FILING_STATUS=MR","Sort=A","Dates=H","DateFormat=P","Fill=—","Direction=H","UseDPDF=Y")</f>
        <v>119000</v>
      </c>
    </row>
    <row r="55" spans="1:1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>
      <c r="A56" s="6" t="s">
        <v>87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>
      <c r="A57" s="10" t="s">
        <v>88</v>
      </c>
      <c r="B57" s="10" t="s">
        <v>89</v>
      </c>
      <c r="C57" s="12">
        <f>_xll.BDH("VZ US Equity","DIGITAL_CABLE_REVENUE","FY 2013","FY 2013","Currency=USD","Period=FY","BEST_FPERIOD_OVERRIDE=FY","FILING_STATUS=MR","SCALING_FORMAT=MLN","Sort=A","Dates=H","DateFormat=P","Fill=—","Direction=H","UseDPDF=Y")</f>
        <v>11152</v>
      </c>
      <c r="D57" s="12">
        <f>_xll.BDH("VZ US Equity","DIGITAL_CABLE_REVENUE","FY 2014","FY 2014","Currency=USD","Period=FY","BEST_FPERIOD_OVERRIDE=FY","FILING_STATUS=MR","SCALING_FORMAT=MLN","Sort=A","Dates=H","DateFormat=P","Fill=—","Direction=H","UseDPDF=Y")</f>
        <v>12674</v>
      </c>
      <c r="E57" s="12">
        <f>_xll.BDH("VZ US Equity","DIGITAL_CABLE_REVENUE","FY 2015","FY 2015","Currency=USD","Period=FY","BEST_FPERIOD_OVERRIDE=FY","FILING_STATUS=MR","SCALING_FORMAT=MLN","Sort=A","Dates=H","DateFormat=P","Fill=—","Direction=H","UseDPDF=Y")</f>
        <v>13763</v>
      </c>
      <c r="F57" s="12">
        <f>_xll.BDH("VZ US Equity","DIGITAL_CABLE_REVENUE","FY 2016","FY 2016","Currency=USD","Period=FY","BEST_FPERIOD_OVERRIDE=FY","FILING_STATUS=MR","SCALING_FORMAT=MLN","Sort=A","Dates=H","DateFormat=P","Fill=—","Direction=H","UseDPDF=Y")</f>
        <v>11236</v>
      </c>
      <c r="G57" s="12">
        <f>_xll.BDH("VZ US Equity","DIGITAL_CABLE_REVENUE","FY 2017","FY 2017","Currency=USD","Period=FY","BEST_FPERIOD_OVERRIDE=FY","FILING_STATUS=MR","SCALING_FORMAT=MLN","Sort=A","Dates=H","DateFormat=P","Fill=—","Direction=H","UseDPDF=Y")</f>
        <v>11691</v>
      </c>
      <c r="H57" s="12">
        <f>_xll.BDH("VZ US Equity","DIGITAL_CABLE_REVENUE","FY 2018","FY 2018","Currency=USD","Period=FY","BEST_FPERIOD_OVERRIDE=FY","FILING_STATUS=MR","SCALING_FORMAT=MLN","Sort=A","Dates=H","DateFormat=P","Fill=—","Direction=H","UseDPDF=Y")</f>
        <v>11939</v>
      </c>
      <c r="I57" s="12">
        <f>_xll.BDH("VZ US Equity","DIGITAL_CABLE_REVENUE","FY 2019","FY 2019","Currency=USD","Period=FY","BEST_FPERIOD_OVERRIDE=FY","FILING_STATUS=MR","SCALING_FORMAT=MLN","Sort=A","Dates=H","DateFormat=P","Fill=—","Direction=H","UseDPDF=Y")</f>
        <v>12192</v>
      </c>
      <c r="J57" s="12">
        <f>_xll.BDH("VZ US Equity","DIGITAL_CABLE_REVENUE","FY 2020","FY 2020","Currency=USD","Period=FY","BEST_FPERIOD_OVERRIDE=FY","FILING_STATUS=MR","SCALING_FORMAT=MLN","Sort=A","Dates=H","DateFormat=P","Fill=—","Direction=H","UseDPDF=Y")</f>
        <v>12139</v>
      </c>
      <c r="K57" s="12">
        <f>_xll.BDH("VZ US Equity","DIGITAL_CABLE_REVENUE","FY 2021","FY 2021","Currency=USD","Period=FY","BEST_FPERIOD_OVERRIDE=FY","FILING_STATUS=MR","SCALING_FORMAT=MLN","Sort=A","Dates=H","DateFormat=P","Fill=—","Direction=H","UseDPDF=Y")</f>
        <v>12694</v>
      </c>
      <c r="L57" s="12">
        <f>_xll.BDH("VZ US Equity","DIGITAL_CABLE_REVENUE","FY 2022","FY 2022","Currency=USD","Period=FY","BEST_FPERIOD_OVERRIDE=FY","FILING_STATUS=MR","SCALING_FORMAT=MLN","Sort=A","Dates=H","DateFormat=P","Fill=—","Direction=H","UseDPDF=Y")</f>
        <v>12823</v>
      </c>
    </row>
    <row r="58" spans="1:12">
      <c r="A58" s="10" t="s">
        <v>79</v>
      </c>
      <c r="B58" s="10" t="s">
        <v>80</v>
      </c>
      <c r="C58" s="12">
        <f>_xll.BDH("VZ US Equity","TOTAL_CABLE_SUBSCRIBERS","FY 2013","FY 2013","Currency=USD","Period=FY","BEST_FPERIOD_OVERRIDE=FY","FILING_STATUS=MR","Sort=A","Dates=H","DateFormat=P","Fill=—","Direction=H","UseDPDF=Y")</f>
        <v>5.2619999999999996</v>
      </c>
      <c r="D58" s="12">
        <f>_xll.BDH("VZ US Equity","TOTAL_CABLE_SUBSCRIBERS","FY 2014","FY 2014","Currency=USD","Period=FY","BEST_FPERIOD_OVERRIDE=FY","FILING_STATUS=MR","Sort=A","Dates=H","DateFormat=P","Fill=—","Direction=H","UseDPDF=Y")</f>
        <v>5.649</v>
      </c>
      <c r="E58" s="12">
        <f>_xll.BDH("VZ US Equity","TOTAL_CABLE_SUBSCRIBERS","FY 2015","FY 2015","Currency=USD","Period=FY","BEST_FPERIOD_OVERRIDE=FY","FILING_STATUS=MR","Sort=A","Dates=H","DateFormat=P","Fill=—","Direction=H","UseDPDF=Y")</f>
        <v>5.827</v>
      </c>
      <c r="F58" s="12">
        <f>_xll.BDH("VZ US Equity","TOTAL_CABLE_SUBSCRIBERS","FY 2016","FY 2016","Currency=USD","Period=FY","BEST_FPERIOD_OVERRIDE=FY","FILING_STATUS=MR","Sort=A","Dates=H","DateFormat=P","Fill=—","Direction=H","UseDPDF=Y")</f>
        <v>4.694</v>
      </c>
      <c r="G58" s="12">
        <f>_xll.BDH("VZ US Equity","TOTAL_CABLE_SUBSCRIBERS","FY 2017","FY 2017","Currency=USD","Period=FY","BEST_FPERIOD_OVERRIDE=FY","FILING_STATUS=MR","Sort=A","Dates=H","DateFormat=P","Fill=—","Direction=H","UseDPDF=Y")</f>
        <v>4.6189999999999998</v>
      </c>
      <c r="H58" s="12">
        <f>_xll.BDH("VZ US Equity","TOTAL_CABLE_SUBSCRIBERS","FY 2018","FY 2018","Currency=USD","Period=FY","BEST_FPERIOD_OVERRIDE=FY","FILING_STATUS=MR","Sort=A","Dates=H","DateFormat=P","Fill=—","Direction=H","UseDPDF=Y")</f>
        <v>4.4509999999999996</v>
      </c>
      <c r="I58" s="12">
        <f>_xll.BDH("VZ US Equity","TOTAL_CABLE_SUBSCRIBERS","FY 2019","FY 2019","Currency=USD","Period=FY","BEST_FPERIOD_OVERRIDE=FY","FILING_STATUS=MR","Sort=A","Dates=H","DateFormat=P","Fill=—","Direction=H","UseDPDF=Y")</f>
        <v>4.2290000000000001</v>
      </c>
      <c r="J58" s="12">
        <f>_xll.BDH("VZ US Equity","TOTAL_CABLE_SUBSCRIBERS","FY 2020","FY 2020","Currency=USD","Period=FY","BEST_FPERIOD_OVERRIDE=FY","FILING_STATUS=MR","Sort=A","Dates=H","DateFormat=P","Fill=—","Direction=H","UseDPDF=Y")</f>
        <v>3.927</v>
      </c>
      <c r="K58" s="12">
        <f>_xll.BDH("VZ US Equity","TOTAL_CABLE_SUBSCRIBERS","FY 2021","FY 2021","Currency=USD","Period=FY","BEST_FPERIOD_OVERRIDE=FY","FILING_STATUS=MR","Sort=A","Dates=H","DateFormat=P","Fill=—","Direction=H","UseDPDF=Y")</f>
        <v>3.6440000000000001</v>
      </c>
      <c r="L58" s="12">
        <f>_xll.BDH("VZ US Equity","TOTAL_CABLE_SUBSCRIBERS","FY 2022","FY 2022","Currency=USD","Period=FY","BEST_FPERIOD_OVERRIDE=FY","FILING_STATUS=MR","Sort=A","Dates=H","DateFormat=P","Fill=—","Direction=H","UseDPDF=Y")</f>
        <v>3.3010000000000002</v>
      </c>
    </row>
    <row r="59" spans="1:12">
      <c r="A59" s="10" t="s">
        <v>83</v>
      </c>
      <c r="B59" s="10" t="s">
        <v>84</v>
      </c>
      <c r="C59" s="12">
        <f>_xll.BDH("VZ US Equity","TOTAL_CABLE_SUBSCRIBER_ADDS","FY 2013","FY 2013","Currency=USD","Period=FY","BEST_FPERIOD_OVERRIDE=FY","FILING_STATUS=MR","Sort=A","Dates=H","DateFormat=P","Fill=—","Direction=H","UseDPDF=Y")</f>
        <v>0.53600000000000003</v>
      </c>
      <c r="D59" s="12">
        <f>_xll.BDH("VZ US Equity","TOTAL_CABLE_SUBSCRIBER_ADDS","FY 2014","FY 2014","Currency=USD","Period=FY","BEST_FPERIOD_OVERRIDE=FY","FILING_STATUS=MR","Sort=A","Dates=H","DateFormat=P","Fill=—","Direction=H","UseDPDF=Y")</f>
        <v>0.38700000000000001</v>
      </c>
      <c r="E59" s="12">
        <f>_xll.BDH("VZ US Equity","TOTAL_CABLE_SUBSCRIBER_ADDS","FY 2015","FY 2015","Currency=USD","Period=FY","BEST_FPERIOD_OVERRIDE=FY","FILING_STATUS=MR","Sort=A","Dates=H","DateFormat=P","Fill=—","Direction=H","UseDPDF=Y")</f>
        <v>0.17799999999999999</v>
      </c>
      <c r="F59" s="12">
        <f>_xll.BDH("VZ US Equity","TOTAL_CABLE_SUBSCRIBER_ADDS","FY 2016","FY 2016","Currency=USD","Period=FY","BEST_FPERIOD_OVERRIDE=FY","FILING_STATUS=MR","Sort=A","Dates=H","DateFormat=P","Fill=—","Direction=H","UseDPDF=Y")</f>
        <v>5.8999999999999997E-2</v>
      </c>
      <c r="G59" s="12">
        <f>_xll.BDH("VZ US Equity","TOTAL_CABLE_SUBSCRIBER_ADDS","FY 2017","FY 2017","Currency=USD","Period=FY","BEST_FPERIOD_OVERRIDE=FY","FILING_STATUS=MR","Sort=A","Dates=H","DateFormat=P","Fill=—","Direction=H","UseDPDF=Y")</f>
        <v>-7.4999999999999997E-2</v>
      </c>
      <c r="H59" s="12">
        <f>_xll.BDH("VZ US Equity","TOTAL_CABLE_SUBSCRIBER_ADDS","FY 2018","FY 2018","Currency=USD","Period=FY","BEST_FPERIOD_OVERRIDE=FY","FILING_STATUS=MR","Sort=A","Dates=H","DateFormat=P","Fill=—","Direction=H","UseDPDF=Y")</f>
        <v>-0.16800000000000001</v>
      </c>
      <c r="I59" s="12">
        <f>_xll.BDH("VZ US Equity","TOTAL_CABLE_SUBSCRIBER_ADDS","FY 2019","FY 2019","Currency=USD","Period=FY","BEST_FPERIOD_OVERRIDE=FY","FILING_STATUS=MR","Sort=A","Dates=H","DateFormat=P","Fill=—","Direction=H","UseDPDF=Y")</f>
        <v>-0.222</v>
      </c>
      <c r="J59" s="12">
        <f>_xll.BDH("VZ US Equity","TOTAL_CABLE_SUBSCRIBER_ADDS","FY 2020","FY 2020","Currency=USD","Period=FY","BEST_FPERIOD_OVERRIDE=FY","FILING_STATUS=MR","Sort=A","Dates=H","DateFormat=P","Fill=—","Direction=H","UseDPDF=Y")</f>
        <v>-0.30199999999999999</v>
      </c>
      <c r="K59" s="12">
        <f>_xll.BDH("VZ US Equity","TOTAL_CABLE_SUBSCRIBER_ADDS","FY 2021","FY 2021","Currency=USD","Period=FY","BEST_FPERIOD_OVERRIDE=FY","FILING_STATUS=MR","Sort=A","Dates=H","DateFormat=P","Fill=—","Direction=H","UseDPDF=Y")</f>
        <v>-0.28299999999999997</v>
      </c>
      <c r="L59" s="12">
        <f>_xll.BDH("VZ US Equity","TOTAL_CABLE_SUBSCRIBER_ADDS","FY 2022","FY 2022","Currency=USD","Period=FY","BEST_FPERIOD_OVERRIDE=FY","FILING_STATUS=MR","Sort=A","Dates=H","DateFormat=P","Fill=—","Direction=H","UseDPDF=Y")</f>
        <v>-0.34300000000000003</v>
      </c>
    </row>
    <row r="60" spans="1:12">
      <c r="A60" s="10" t="s">
        <v>90</v>
      </c>
      <c r="B60" s="10" t="s">
        <v>82</v>
      </c>
      <c r="C60" s="12">
        <f>_xll.BDH("VZ US Equity","BROADBAND_HSI_SUBSCRIBERS","FY 2013","FY 2013","Currency=USD","Period=FY","BEST_FPERIOD_OVERRIDE=FY","FILING_STATUS=MR","Sort=A","Dates=H","DateFormat=P","Fill=—","Direction=H","UseDPDF=Y")</f>
        <v>9015</v>
      </c>
      <c r="D60" s="12">
        <f>_xll.BDH("VZ US Equity","BROADBAND_HSI_SUBSCRIBERS","FY 2014","FY 2014","Currency=USD","Period=FY","BEST_FPERIOD_OVERRIDE=FY","FILING_STATUS=MR","Sort=A","Dates=H","DateFormat=P","Fill=—","Direction=H","UseDPDF=Y")</f>
        <v>9205</v>
      </c>
      <c r="E60" s="12">
        <f>_xll.BDH("VZ US Equity","BROADBAND_HSI_SUBSCRIBERS","FY 2015","FY 2015","Currency=USD","Period=FY","BEST_FPERIOD_OVERRIDE=FY","FILING_STATUS=MR","Sort=A","Dates=H","DateFormat=P","Fill=—","Direction=H","UseDPDF=Y")</f>
        <v>7085</v>
      </c>
      <c r="F60" s="12">
        <f>_xll.BDH("VZ US Equity","BROADBAND_HSI_SUBSCRIBERS","FY 2016","FY 2016","Currency=USD","Period=FY","BEST_FPERIOD_OVERRIDE=FY","FILING_STATUS=MR","Sort=A","Dates=H","DateFormat=P","Fill=—","Direction=H","UseDPDF=Y")</f>
        <v>7038</v>
      </c>
      <c r="G60" s="12">
        <f>_xll.BDH("VZ US Equity","BROADBAND_HSI_SUBSCRIBERS","FY 2017","FY 2017","Currency=USD","Period=FY","BEST_FPERIOD_OVERRIDE=FY","FILING_STATUS=MR","Sort=A","Dates=H","DateFormat=P","Fill=—","Direction=H","UseDPDF=Y")</f>
        <v>6959</v>
      </c>
      <c r="H60" s="12">
        <f>_xll.BDH("VZ US Equity","BROADBAND_HSI_SUBSCRIBERS","FY 2018","FY 2018","Currency=USD","Period=FY","BEST_FPERIOD_OVERRIDE=FY","FILING_STATUS=MR","Sort=A","Dates=H","DateFormat=P","Fill=—","Direction=H","UseDPDF=Y")</f>
        <v>6961</v>
      </c>
      <c r="I60" s="12">
        <f>_xll.BDH("VZ US Equity","BROADBAND_HSI_SUBSCRIBERS","FY 2019","FY 2019","Currency=USD","Period=FY","BEST_FPERIOD_OVERRIDE=FY","FILING_STATUS=MR","Sort=A","Dates=H","DateFormat=P","Fill=—","Direction=H","UseDPDF=Y")</f>
        <v>6956</v>
      </c>
      <c r="J60" s="12">
        <f>_xll.BDH("VZ US Equity","BROADBAND_HSI_SUBSCRIBERS","FY 2020","FY 2020","Currency=USD","Period=FY","BEST_FPERIOD_OVERRIDE=FY","FILING_STATUS=MR","Sort=A","Dates=H","DateFormat=P","Fill=—","Direction=H","UseDPDF=Y")</f>
        <v>7129</v>
      </c>
      <c r="K60" s="12">
        <f>_xll.BDH("VZ US Equity","BROADBAND_HSI_SUBSCRIBERS","FY 2021","FY 2021","Currency=USD","Period=FY","BEST_FPERIOD_OVERRIDE=FY","FILING_STATUS=MR","Sort=A","Dates=H","DateFormat=P","Fill=—","Direction=H","UseDPDF=Y")</f>
        <v>7365</v>
      </c>
      <c r="L60" s="12">
        <f>_xll.BDH("VZ US Equity","BROADBAND_HSI_SUBSCRIBERS","FY 2022","FY 2022","Currency=USD","Period=FY","BEST_FPERIOD_OVERRIDE=FY","FILING_STATUS=MR","Sort=A","Dates=H","DateFormat=P","Fill=—","Direction=H","UseDPDF=Y")</f>
        <v>7484</v>
      </c>
    </row>
    <row r="61" spans="1:12">
      <c r="A61" s="10" t="s">
        <v>91</v>
      </c>
      <c r="B61" s="10" t="s">
        <v>86</v>
      </c>
      <c r="C61" s="13">
        <f>_xll.BDH("VZ US Equity","BROADBAND_HSI_NET_SUBSCRIB_ADDS","FY 2013","FY 2013","Currency=USD","Period=FY","BEST_FPERIOD_OVERRIDE=FY","FILING_STATUS=MR","Sort=A","Dates=H","DateFormat=P","Fill=—","Direction=H","UseDPDF=Y")</f>
        <v>220000</v>
      </c>
      <c r="D61" s="13">
        <f>_xll.BDH("VZ US Equity","BROADBAND_HSI_NET_SUBSCRIB_ADDS","FY 2014","FY 2014","Currency=USD","Period=FY","BEST_FPERIOD_OVERRIDE=FY","FILING_STATUS=MR","Sort=A","Dates=H","DateFormat=P","Fill=—","Direction=H","UseDPDF=Y")</f>
        <v>190000</v>
      </c>
      <c r="E61" s="13">
        <f>_xll.BDH("VZ US Equity","BROADBAND_HSI_NET_SUBSCRIB_ADDS","FY 2015","FY 2015","Currency=USD","Period=FY","BEST_FPERIOD_OVERRIDE=FY","FILING_STATUS=MR","Sort=A","Dates=H","DateFormat=P","Fill=—","Direction=H","UseDPDF=Y")</f>
        <v>61000</v>
      </c>
      <c r="F61" s="13">
        <f>_xll.BDH("VZ US Equity","BROADBAND_HSI_NET_SUBSCRIB_ADDS","FY 2016","FY 2016","Currency=USD","Period=FY","BEST_FPERIOD_OVERRIDE=FY","FILING_STATUS=MR","Sort=A","Dates=H","DateFormat=P","Fill=—","Direction=H","UseDPDF=Y")</f>
        <v>-47000</v>
      </c>
      <c r="G61" s="13">
        <f>_xll.BDH("VZ US Equity","BROADBAND_HSI_NET_SUBSCRIB_ADDS","FY 2017","FY 2017","Currency=USD","Period=FY","BEST_FPERIOD_OVERRIDE=FY","FILING_STATUS=MR","Sort=A","Dates=H","DateFormat=P","Fill=—","Direction=H","UseDPDF=Y")</f>
        <v>-79000</v>
      </c>
      <c r="H61" s="13">
        <f>_xll.BDH("VZ US Equity","BROADBAND_HSI_NET_SUBSCRIB_ADDS","FY 2018","FY 2018","Currency=USD","Period=FY","BEST_FPERIOD_OVERRIDE=FY","FILING_STATUS=MR","Sort=A","Dates=H","DateFormat=P","Fill=—","Direction=H","UseDPDF=Y")</f>
        <v>2000</v>
      </c>
      <c r="I61" s="13">
        <f>_xll.BDH("VZ US Equity","BROADBAND_HSI_NET_SUBSCRIB_ADDS","FY 2019","FY 2019","Currency=USD","Period=FY","BEST_FPERIOD_OVERRIDE=FY","FILING_STATUS=MR","Sort=A","Dates=H","DateFormat=P","Fill=—","Direction=H","UseDPDF=Y")</f>
        <v>-5000</v>
      </c>
      <c r="J61" s="13">
        <f>_xll.BDH("VZ US Equity","BROADBAND_HSI_NET_SUBSCRIB_ADDS","FY 2020","FY 2020","Currency=USD","Period=FY","BEST_FPERIOD_OVERRIDE=FY","FILING_STATUS=MR","Sort=A","Dates=H","DateFormat=P","Fill=—","Direction=H","UseDPDF=Y")</f>
        <v>173000</v>
      </c>
      <c r="K61" s="13">
        <f>_xll.BDH("VZ US Equity","BROADBAND_HSI_NET_SUBSCRIB_ADDS","FY 2021","FY 2021","Currency=USD","Period=FY","BEST_FPERIOD_OVERRIDE=FY","FILING_STATUS=MR","Sort=A","Dates=H","DateFormat=P","Fill=—","Direction=H","UseDPDF=Y")</f>
        <v>236000</v>
      </c>
      <c r="L61" s="13">
        <f>_xll.BDH("VZ US Equity","BROADBAND_HSI_NET_SUBSCRIB_ADDS","FY 2022","FY 2022","Currency=USD","Period=FY","BEST_FPERIOD_OVERRIDE=FY","FILING_STATUS=MR","Sort=A","Dates=H","DateFormat=P","Fill=—","Direction=H","UseDPDF=Y")</f>
        <v>119000</v>
      </c>
    </row>
    <row r="62" spans="1:12">
      <c r="A62" s="10" t="s">
        <v>92</v>
      </c>
      <c r="B62" s="10" t="s">
        <v>93</v>
      </c>
      <c r="C62" s="13" t="str">
        <f>_xll.BDH("VZ US Equity","VIDEO_ARPU","FY 2013","FY 2013","Currency=USD","Period=FY","BEST_FPERIOD_OVERRIDE=FY","FILING_STATUS=MR","Sort=A","Dates=H","DateFormat=P","Fill=—","Direction=H","UseDPDF=Y")</f>
        <v>—</v>
      </c>
      <c r="D62" s="13" t="str">
        <f>_xll.BDH("VZ US Equity","VIDEO_ARPU","FY 2014","FY 2014","Currency=USD","Period=FY","BEST_FPERIOD_OVERRIDE=FY","FILING_STATUS=MR","Sort=A","Dates=H","DateFormat=P","Fill=—","Direction=H","UseDPDF=Y")</f>
        <v>—</v>
      </c>
      <c r="E62" s="13">
        <f>_xll.BDH("VZ US Equity","VIDEO_ARPU","FY 2015","FY 2015","Currency=USD","Period=FY","BEST_FPERIOD_OVERRIDE=FY","FILING_STATUS=MR","Sort=A","Dates=H","DateFormat=P","Fill=—","Direction=H","UseDPDF=Y")</f>
        <v>196.827</v>
      </c>
      <c r="F62" s="13">
        <f>_xll.BDH("VZ US Equity","VIDEO_ARPU","FY 2016","FY 2016","Currency=USD","Period=FY","BEST_FPERIOD_OVERRIDE=FY","FILING_STATUS=MR","Sort=A","Dates=H","DateFormat=P","Fill=—","Direction=H","UseDPDF=Y")</f>
        <v>199.47</v>
      </c>
      <c r="G62" s="13">
        <f>_xll.BDH("VZ US Equity","VIDEO_ARPU","FY 2017","FY 2017","Currency=USD","Period=FY","BEST_FPERIOD_OVERRIDE=FY","FILING_STATUS=MR","Sort=A","Dates=H","DateFormat=P","Fill=—","Direction=H","UseDPDF=Y")</f>
        <v>210.92</v>
      </c>
      <c r="H62" s="13">
        <f>_xll.BDH("VZ US Equity","VIDEO_ARPU","FY 2018","FY 2018","Currency=USD","Period=FY","BEST_FPERIOD_OVERRIDE=FY","FILING_STATUS=MR","Sort=A","Dates=H","DateFormat=P","Fill=—","Direction=H","UseDPDF=Y")</f>
        <v>223.53</v>
      </c>
      <c r="I62" s="13">
        <f>_xll.BDH("VZ US Equity","VIDEO_ARPU","FY 2019","FY 2019","Currency=USD","Period=FY","BEST_FPERIOD_OVERRIDE=FY","FILING_STATUS=MR","Sort=A","Dates=H","DateFormat=P","Fill=—","Direction=H","UseDPDF=Y")</f>
        <v>240.25</v>
      </c>
      <c r="J62" s="13">
        <f>_xll.BDH("VZ US Equity","VIDEO_ARPU","FY 2020","FY 2020","Currency=USD","Period=FY","BEST_FPERIOD_OVERRIDE=FY","FILING_STATUS=MR","Sort=A","Dates=H","DateFormat=P","Fill=—","Direction=H","UseDPDF=Y")</f>
        <v>257.60000000000002</v>
      </c>
      <c r="K62" s="13" t="str">
        <f>_xll.BDH("VZ US Equity","VIDEO_ARPU","FY 2021","FY 2021","Currency=USD","Period=FY","BEST_FPERIOD_OVERRIDE=FY","FILING_STATUS=MR","Sort=A","Dates=H","DateFormat=P","Fill=—","Direction=H","UseDPDF=Y")</f>
        <v>—</v>
      </c>
      <c r="L62" s="13" t="str">
        <f>_xll.BDH("VZ US Equity","VIDEO_ARPU","FY 2022","FY 2022","Currency=USD","Period=FY","BEST_FPERIOD_OVERRIDE=FY","FILING_STATUS=MR","Sort=A","Dates=H","DateFormat=P","Fill=—","Direction=H","UseDPDF=Y")</f>
        <v>—</v>
      </c>
    </row>
    <row r="63" spans="1:12">
      <c r="A63" s="10" t="s">
        <v>94</v>
      </c>
      <c r="B63" s="10" t="s">
        <v>95</v>
      </c>
      <c r="C63" s="13">
        <f>_xll.BDH("VZ US Equity","TOTAL_CABLE_PENETRATION","FY 2013","FY 2013","Currency=USD","Period=FY","BEST_FPERIOD_OVERRIDE=FY","FILING_STATUS=MR","Sort=A","Dates=H","DateFormat=P","Fill=—","Direction=H","UseDPDF=Y")</f>
        <v>35</v>
      </c>
      <c r="D63" s="13">
        <f>_xll.BDH("VZ US Equity","TOTAL_CABLE_PENETRATION","FY 2014","FY 2014","Currency=USD","Period=FY","BEST_FPERIOD_OVERRIDE=FY","FILING_STATUS=MR","Sort=A","Dates=H","DateFormat=P","Fill=—","Direction=H","UseDPDF=Y")</f>
        <v>35.799999999999997</v>
      </c>
      <c r="E63" s="13">
        <f>_xll.BDH("VZ US Equity","TOTAL_CABLE_PENETRATION","FY 2015","FY 2015","Currency=USD","Period=FY","BEST_FPERIOD_OVERRIDE=FY","FILING_STATUS=MR","Sort=A","Dates=H","DateFormat=P","Fill=—","Direction=H","UseDPDF=Y")</f>
        <v>35.299999999999997</v>
      </c>
      <c r="F63" s="13">
        <f>_xll.BDH("VZ US Equity","TOTAL_CABLE_PENETRATION","FY 2016","FY 2016","Currency=USD","Period=FY","BEST_FPERIOD_OVERRIDE=FY","FILING_STATUS=MR","Sort=A","Dates=H","DateFormat=P","Fill=—","Direction=H","UseDPDF=Y")</f>
        <v>34.299999999999997</v>
      </c>
      <c r="G63" s="13">
        <f>_xll.BDH("VZ US Equity","TOTAL_CABLE_PENETRATION","FY 2017","FY 2017","Currency=USD","Period=FY","BEST_FPERIOD_OVERRIDE=FY","FILING_STATUS=MR","Sort=A","Dates=H","DateFormat=P","Fill=—","Direction=H","UseDPDF=Y")</f>
        <v>32.299999999999997</v>
      </c>
      <c r="H63" s="13" t="str">
        <f>_xll.BDH("VZ US Equity","TOTAL_CABLE_PENETRATION","FY 2018","FY 2018","Currency=USD","Period=FY","BEST_FPERIOD_OVERRIDE=FY","FILING_STATUS=MR","Sort=A","Dates=H","DateFormat=P","Fill=—","Direction=H","UseDPDF=Y")</f>
        <v>—</v>
      </c>
      <c r="I63" s="13" t="str">
        <f>_xll.BDH("VZ US Equity","TOTAL_CABLE_PENETRATION","FY 2019","FY 2019","Currency=USD","Period=FY","BEST_FPERIOD_OVERRIDE=FY","FILING_STATUS=MR","Sort=A","Dates=H","DateFormat=P","Fill=—","Direction=H","UseDPDF=Y")</f>
        <v>—</v>
      </c>
      <c r="J63" s="13" t="str">
        <f>_xll.BDH("VZ US Equity","TOTAL_CABLE_PENETRATION","FY 2020","FY 2020","Currency=USD","Period=FY","BEST_FPERIOD_OVERRIDE=FY","FILING_STATUS=MR","Sort=A","Dates=H","DateFormat=P","Fill=—","Direction=H","UseDPDF=Y")</f>
        <v>—</v>
      </c>
      <c r="K63" s="13" t="str">
        <f>_xll.BDH("VZ US Equity","TOTAL_CABLE_PENETRATION","FY 2021","FY 2021","Currency=USD","Period=FY","BEST_FPERIOD_OVERRIDE=FY","FILING_STATUS=MR","Sort=A","Dates=H","DateFormat=P","Fill=—","Direction=H","UseDPDF=Y")</f>
        <v>—</v>
      </c>
      <c r="L63" s="13" t="str">
        <f>_xll.BDH("VZ US Equity","TOTAL_CABLE_PENETRATION","FY 2022","FY 2022","Currency=USD","Period=FY","BEST_FPERIOD_OVERRIDE=FY","FILING_STATUS=MR","Sort=A","Dates=H","DateFormat=P","Fill=—","Direction=H","UseDPDF=Y")</f>
        <v>—</v>
      </c>
    </row>
    <row r="64" spans="1:1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1:12">
      <c r="A65" s="6" t="s">
        <v>60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12">
      <c r="A66" s="10" t="s">
        <v>96</v>
      </c>
      <c r="B66" s="10" t="s">
        <v>97</v>
      </c>
      <c r="C66" s="12">
        <f>_xll.BDH("VZ US Equity","IS_COGS_TO_FE_AND_PP_AND_G","FY 2013","FY 2013","Currency=USD","Period=FY","BEST_FPERIOD_OVERRIDE=FY","FILING_STATUS=MR","SCALING_FORMAT=MLN","FA_ADJUSTED=GAAP","Sort=A","Dates=H","DateFormat=P","Fill=—","Direction=H","UseDPDF=Y")</f>
        <v>44887</v>
      </c>
      <c r="D66" s="12">
        <f>_xll.BDH("VZ US Equity","IS_COGS_TO_FE_AND_PP_AND_G","FY 2014","FY 2014","Currency=USD","Period=FY","BEST_FPERIOD_OVERRIDE=FY","FILING_STATUS=MR","SCALING_FORMAT=MLN","FA_ADJUSTED=GAAP","Sort=A","Dates=H","DateFormat=P","Fill=—","Direction=H","UseDPDF=Y")</f>
        <v>49931</v>
      </c>
      <c r="E66" s="12">
        <f>_xll.BDH("VZ US Equity","IS_COGS_TO_FE_AND_PP_AND_G","FY 2015","FY 2015","Currency=USD","Period=FY","BEST_FPERIOD_OVERRIDE=FY","FILING_STATUS=MR","SCALING_FORMAT=MLN","FA_ADJUSTED=GAAP","Sort=A","Dates=H","DateFormat=P","Fill=—","Direction=H","UseDPDF=Y")</f>
        <v>52557</v>
      </c>
      <c r="F66" s="12">
        <f>_xll.BDH("VZ US Equity","IS_COGS_TO_FE_AND_PP_AND_G","FY 2016","FY 2016","Currency=USD","Period=FY","BEST_FPERIOD_OVERRIDE=FY","FILING_STATUS=MR","SCALING_FORMAT=MLN","FA_ADJUSTED=GAAP","Sort=A","Dates=H","DateFormat=P","Fill=—","Direction=H","UseDPDF=Y")</f>
        <v>52701</v>
      </c>
      <c r="G66" s="12">
        <f>_xll.BDH("VZ US Equity","IS_COGS_TO_FE_AND_PP_AND_G","FY 2017","FY 2017","Currency=USD","Period=FY","BEST_FPERIOD_OVERRIDE=FY","FILING_STATUS=MR","SCALING_FORMAT=MLN","FA_ADJUSTED=GAAP","Sort=A","Dates=H","DateFormat=P","Fill=—","Direction=H","UseDPDF=Y")</f>
        <v>53063</v>
      </c>
      <c r="H66" s="12">
        <f>_xll.BDH("VZ US Equity","IS_COGS_TO_FE_AND_PP_AND_G","FY 2018","FY 2018","Currency=USD","Period=FY","BEST_FPERIOD_OVERRIDE=FY","FILING_STATUS=MR","SCALING_FORMAT=MLN","FA_ADJUSTED=GAAP","Sort=A","Dates=H","DateFormat=P","Fill=—","Direction=H","UseDPDF=Y")</f>
        <v>55508</v>
      </c>
      <c r="I66" s="12">
        <f>_xll.BDH("VZ US Equity","IS_COGS_TO_FE_AND_PP_AND_G","FY 2019","FY 2019","Currency=USD","Period=FY","BEST_FPERIOD_OVERRIDE=FY","FILING_STATUS=MR","SCALING_FORMAT=MLN","FA_ADJUSTED=GAAP","Sort=A","Dates=H","DateFormat=P","Fill=—","Direction=H","UseDPDF=Y")</f>
        <v>54726</v>
      </c>
      <c r="J66" s="12">
        <f>_xll.BDH("VZ US Equity","IS_COGS_TO_FE_AND_PP_AND_G","FY 2020","FY 2020","Currency=USD","Period=FY","BEST_FPERIOD_OVERRIDE=FY","FILING_STATUS=MR","SCALING_FORMAT=MLN","FA_ADJUSTED=GAAP","Sort=A","Dates=H","DateFormat=P","Fill=—","Direction=H","UseDPDF=Y")</f>
        <v>51201</v>
      </c>
      <c r="K66" s="12">
        <f>_xll.BDH("VZ US Equity","IS_COGS_TO_FE_AND_PP_AND_G","FY 2021","FY 2021","Currency=USD","Period=FY","BEST_FPERIOD_OVERRIDE=FY","FILING_STATUS=MR","SCALING_FORMAT=MLN","FA_ADJUSTED=GAAP","Sort=A","Dates=H","DateFormat=P","Fill=—","Direction=H","UseDPDF=Y")</f>
        <v>56301</v>
      </c>
      <c r="L66" s="12">
        <f>_xll.BDH("VZ US Equity","IS_COGS_TO_FE_AND_PP_AND_G","FY 2022","FY 2022","Currency=USD","Period=FY","BEST_FPERIOD_OVERRIDE=FY","FILING_STATUS=MR","SCALING_FORMAT=MLN","FA_ADJUSTED=GAAP","Sort=A","Dates=H","DateFormat=P","Fill=—","Direction=H","UseDPDF=Y")</f>
        <v>59133</v>
      </c>
    </row>
    <row r="67" spans="1:12">
      <c r="A67" s="10" t="s">
        <v>98</v>
      </c>
      <c r="B67" s="10" t="s">
        <v>99</v>
      </c>
      <c r="C67" s="12">
        <f>_xll.BDH("VZ US Equity","GROSS_PROFIT","FY 2013","FY 2013","Currency=USD","Period=FY","BEST_FPERIOD_OVERRIDE=FY","FILING_STATUS=MR","SCALING_FORMAT=MLN","FA_ADJUSTED=GAAP","Sort=A","Dates=H","DateFormat=P","Fill=—","Direction=H","UseDPDF=Y")</f>
        <v>75663</v>
      </c>
      <c r="D67" s="12">
        <f>_xll.BDH("VZ US Equity","GROSS_PROFIT","FY 2014","FY 2014","Currency=USD","Period=FY","BEST_FPERIOD_OVERRIDE=FY","FILING_STATUS=MR","SCALING_FORMAT=MLN","FA_ADJUSTED=GAAP","Sort=A","Dates=H","DateFormat=P","Fill=—","Direction=H","UseDPDF=Y")</f>
        <v>77148</v>
      </c>
      <c r="E67" s="12">
        <f>_xll.BDH("VZ US Equity","GROSS_PROFIT","FY 2015","FY 2015","Currency=USD","Period=FY","BEST_FPERIOD_OVERRIDE=FY","FILING_STATUS=MR","SCALING_FORMAT=MLN","FA_ADJUSTED=GAAP","Sort=A","Dates=H","DateFormat=P","Fill=—","Direction=H","UseDPDF=Y")</f>
        <v>79063</v>
      </c>
      <c r="F67" s="12">
        <f>_xll.BDH("VZ US Equity","GROSS_PROFIT","FY 2016","FY 2016","Currency=USD","Period=FY","BEST_FPERIOD_OVERRIDE=FY","FILING_STATUS=MR","SCALING_FORMAT=MLN","FA_ADJUSTED=GAAP","Sort=A","Dates=H","DateFormat=P","Fill=—","Direction=H","UseDPDF=Y")</f>
        <v>73279</v>
      </c>
      <c r="G67" s="12">
        <f>_xll.BDH("VZ US Equity","GROSS_PROFIT","FY 2017","FY 2017","Currency=USD","Period=FY","BEST_FPERIOD_OVERRIDE=FY","FILING_STATUS=MR","SCALING_FORMAT=MLN","FA_ADJUSTED=GAAP","Sort=A","Dates=H","DateFormat=P","Fill=—","Direction=H","UseDPDF=Y")</f>
        <v>72971</v>
      </c>
      <c r="H67" s="12">
        <f>_xll.BDH("VZ US Equity","GROSS_PROFIT","FY 2018","FY 2018","Currency=USD","Period=FY","BEST_FPERIOD_OVERRIDE=FY","FILING_STATUS=MR","SCALING_FORMAT=MLN","FA_ADJUSTED=GAAP","Sort=A","Dates=H","DateFormat=P","Fill=—","Direction=H","UseDPDF=Y")</f>
        <v>75355</v>
      </c>
      <c r="I67" s="12">
        <f>_xll.BDH("VZ US Equity","GROSS_PROFIT","FY 2019","FY 2019","Currency=USD","Period=FY","BEST_FPERIOD_OVERRIDE=FY","FILING_STATUS=MR","SCALING_FORMAT=MLN","FA_ADJUSTED=GAAP","Sort=A","Dates=H","DateFormat=P","Fill=—","Direction=H","UseDPDF=Y")</f>
        <v>77142</v>
      </c>
      <c r="J67" s="12">
        <f>_xll.BDH("VZ US Equity","GROSS_PROFIT","FY 2020","FY 2020","Currency=USD","Period=FY","BEST_FPERIOD_OVERRIDE=FY","FILING_STATUS=MR","SCALING_FORMAT=MLN","FA_ADJUSTED=GAAP","Sort=A","Dates=H","DateFormat=P","Fill=—","Direction=H","UseDPDF=Y")</f>
        <v>77091</v>
      </c>
      <c r="K67" s="12">
        <f>_xll.BDH("VZ US Equity","GROSS_PROFIT","FY 2021","FY 2021","Currency=USD","Period=FY","BEST_FPERIOD_OVERRIDE=FY","FILING_STATUS=MR","SCALING_FORMAT=MLN","FA_ADJUSTED=GAAP","Sort=A","Dates=H","DateFormat=P","Fill=—","Direction=H","UseDPDF=Y")</f>
        <v>77312</v>
      </c>
      <c r="L67" s="12">
        <f>_xll.BDH("VZ US Equity","GROSS_PROFIT","FY 2022","FY 2022","Currency=USD","Period=FY","BEST_FPERIOD_OVERRIDE=FY","FILING_STATUS=MR","SCALING_FORMAT=MLN","FA_ADJUSTED=GAAP","Sort=A","Dates=H","DateFormat=P","Fill=—","Direction=H","UseDPDF=Y")</f>
        <v>77702</v>
      </c>
    </row>
    <row r="68" spans="1:12">
      <c r="A68" s="10" t="s">
        <v>61</v>
      </c>
      <c r="B68" s="10" t="s">
        <v>61</v>
      </c>
      <c r="C68" s="12">
        <f>_xll.BDH("VZ US Equity","EBITDA","FY 2013","FY 2013","Currency=USD","Period=FY","BEST_FPERIOD_OVERRIDE=FY","FILING_STATUS=MR","SCALING_FORMAT=MLN","FA_ADJUSTED=GAAP","Sort=A","Dates=H","DateFormat=P","Fill=—","Direction=H","UseDPDF=Y")</f>
        <v>48574</v>
      </c>
      <c r="D68" s="12">
        <f>_xll.BDH("VZ US Equity","EBITDA","FY 2014","FY 2014","Currency=USD","Period=FY","BEST_FPERIOD_OVERRIDE=FY","FILING_STATUS=MR","SCALING_FORMAT=MLN","FA_ADJUSTED=GAAP","Sort=A","Dates=H","DateFormat=P","Fill=—","Direction=H","UseDPDF=Y")</f>
        <v>36132</v>
      </c>
      <c r="E68" s="12">
        <f>_xll.BDH("VZ US Equity","EBITDA","FY 2015","FY 2015","Currency=USD","Period=FY","BEST_FPERIOD_OVERRIDE=FY","FILING_STATUS=MR","SCALING_FORMAT=MLN","FA_ADJUSTED=GAAP","Sort=A","Dates=H","DateFormat=P","Fill=—","Direction=H","UseDPDF=Y")</f>
        <v>49077</v>
      </c>
      <c r="F68" s="12">
        <f>_xll.BDH("VZ US Equity","EBITDA","FY 2016","FY 2016","Currency=USD","Period=FY","BEST_FPERIOD_OVERRIDE=FY","FILING_STATUS=MR","SCALING_FORMAT=MLN","FA_ADJUSTED=GAAP","Sort=A","Dates=H","DateFormat=P","Fill=—","Direction=H","UseDPDF=Y")</f>
        <v>45177</v>
      </c>
      <c r="G68" s="12">
        <f>_xll.BDH("VZ US Equity","EBITDA","FY 2017","FY 2017","Currency=USD","Period=FY","BEST_FPERIOD_OVERRIDE=FY","FILING_STATUS=MR","SCALING_FORMAT=MLN","FA_ADJUSTED=GAAP","Sort=A","Dates=H","DateFormat=P","Fill=—","Direction=H","UseDPDF=Y")</f>
        <v>44379</v>
      </c>
      <c r="H68" s="12">
        <f>_xll.BDH("VZ US Equity","EBITDA","FY 2018","FY 2018","Currency=USD","Period=FY","BEST_FPERIOD_OVERRIDE=FY","FILING_STATUS=MR","SCALING_FORMAT=MLN","FA_ADJUSTED=GAAP","Sort=A","Dates=H","DateFormat=P","Fill=—","Direction=H","UseDPDF=Y")</f>
        <v>39681</v>
      </c>
      <c r="I68" s="12">
        <f>_xll.BDH("VZ US Equity","EBITDA","FY 2019","FY 2019","Currency=USD","Period=FY","BEST_FPERIOD_OVERRIDE=FY","FILING_STATUS=MR","SCALING_FORMAT=MLN","FA_ADJUSTED=GAAP","Sort=A","Dates=H","DateFormat=P","Fill=—","Direction=H","UseDPDF=Y")</f>
        <v>51635</v>
      </c>
      <c r="J68" s="12">
        <f>_xll.BDH("VZ US Equity","EBITDA","FY 2020","FY 2020","Currency=USD","Period=FY","BEST_FPERIOD_OVERRIDE=FY","FILING_STATUS=MR","SCALING_FORMAT=MLN","FA_ADJUSTED=GAAP","Sort=A","Dates=H","DateFormat=P","Fill=—","Direction=H","UseDPDF=Y")</f>
        <v>50367</v>
      </c>
      <c r="K68" s="12">
        <f>_xll.BDH("VZ US Equity","EBITDA","FY 2021","FY 2021","Currency=USD","Period=FY","BEST_FPERIOD_OVERRIDE=FY","FILING_STATUS=MR","SCALING_FORMAT=MLN","FA_ADJUSTED=GAAP","Sort=A","Dates=H","DateFormat=P","Fill=—","Direction=H","UseDPDF=Y")</f>
        <v>53709</v>
      </c>
      <c r="L68" s="12">
        <f>_xll.BDH("VZ US Equity","EBITDA","FY 2022","FY 2022","Currency=USD","Period=FY","BEST_FPERIOD_OVERRIDE=FY","FILING_STATUS=MR","SCALING_FORMAT=MLN","FA_ADJUSTED=GAAP","Sort=A","Dates=H","DateFormat=P","Fill=—","Direction=H","UseDPDF=Y")</f>
        <v>52712</v>
      </c>
    </row>
    <row r="69" spans="1:12">
      <c r="A69" s="10" t="s">
        <v>100</v>
      </c>
      <c r="B69" s="10" t="s">
        <v>101</v>
      </c>
      <c r="C69" s="12">
        <f>_xll.BDH("VZ US Equity","IS_OPER_INC","FY 2013","FY 2013","Currency=USD","Period=FY","BEST_FPERIOD_OVERRIDE=FY","FILING_STATUS=MR","SCALING_FORMAT=MLN","FA_ADJUSTED=GAAP","Sort=A","Dates=H","DateFormat=P","Fill=—","Direction=H","UseDPDF=Y")</f>
        <v>31968</v>
      </c>
      <c r="D69" s="12">
        <f>_xll.BDH("VZ US Equity","IS_OPER_INC","FY 2014","FY 2014","Currency=USD","Period=FY","BEST_FPERIOD_OVERRIDE=FY","FILING_STATUS=MR","SCALING_FORMAT=MLN","FA_ADJUSTED=GAAP","Sort=A","Dates=H","DateFormat=P","Fill=—","Direction=H","UseDPDF=Y")</f>
        <v>19599</v>
      </c>
      <c r="E69" s="12">
        <f>_xll.BDH("VZ US Equity","IS_OPER_INC","FY 2015","FY 2015","Currency=USD","Period=FY","BEST_FPERIOD_OVERRIDE=FY","FILING_STATUS=MR","SCALING_FORMAT=MLN","FA_ADJUSTED=GAAP","Sort=A","Dates=H","DateFormat=P","Fill=—","Direction=H","UseDPDF=Y")</f>
        <v>33060</v>
      </c>
      <c r="F69" s="12">
        <f>_xll.BDH("VZ US Equity","IS_OPER_INC","FY 2016","FY 2016","Currency=USD","Period=FY","BEST_FPERIOD_OVERRIDE=FY","FILING_STATUS=MR","SCALING_FORMAT=MLN","FA_ADJUSTED=GAAP","Sort=A","Dates=H","DateFormat=P","Fill=—","Direction=H","UseDPDF=Y")</f>
        <v>29249</v>
      </c>
      <c r="G69" s="12">
        <f>_xll.BDH("VZ US Equity","IS_OPER_INC","FY 2017","FY 2017","Currency=USD","Period=FY","BEST_FPERIOD_OVERRIDE=FY","FILING_STATUS=MR","SCALING_FORMAT=MLN","FA_ADJUSTED=GAAP","Sort=A","Dates=H","DateFormat=P","Fill=—","Direction=H","UseDPDF=Y")</f>
        <v>27425</v>
      </c>
      <c r="H69" s="12">
        <f>_xll.BDH("VZ US Equity","IS_OPER_INC","FY 2018","FY 2018","Currency=USD","Period=FY","BEST_FPERIOD_OVERRIDE=FY","FILING_STATUS=MR","SCALING_FORMAT=MLN","FA_ADJUSTED=GAAP","Sort=A","Dates=H","DateFormat=P","Fill=—","Direction=H","UseDPDF=Y")</f>
        <v>22278</v>
      </c>
      <c r="I69" s="12">
        <f>_xll.BDH("VZ US Equity","IS_OPER_INC","FY 2019","FY 2019","Currency=USD","Period=FY","BEST_FPERIOD_OVERRIDE=FY","FILING_STATUS=MR","SCALING_FORMAT=MLN","FA_ADJUSTED=GAAP","Sort=A","Dates=H","DateFormat=P","Fill=—","Direction=H","UseDPDF=Y")</f>
        <v>30378</v>
      </c>
      <c r="J69" s="12">
        <f>_xll.BDH("VZ US Equity","IS_OPER_INC","FY 2020","FY 2020","Currency=USD","Period=FY","BEST_FPERIOD_OVERRIDE=FY","FILING_STATUS=MR","SCALING_FORMAT=MLN","FA_ADJUSTED=GAAP","Sort=A","Dates=H","DateFormat=P","Fill=—","Direction=H","UseDPDF=Y")</f>
        <v>28798</v>
      </c>
      <c r="K69" s="12">
        <f>_xll.BDH("VZ US Equity","IS_OPER_INC","FY 2021","FY 2021","Currency=USD","Period=FY","BEST_FPERIOD_OVERRIDE=FY","FILING_STATUS=MR","SCALING_FORMAT=MLN","FA_ADJUSTED=GAAP","Sort=A","Dates=H","DateFormat=P","Fill=—","Direction=H","UseDPDF=Y")</f>
        <v>32448</v>
      </c>
      <c r="L69" s="12">
        <f>_xll.BDH("VZ US Equity","IS_OPER_INC","FY 2022","FY 2022","Currency=USD","Period=FY","BEST_FPERIOD_OVERRIDE=FY","FILING_STATUS=MR","SCALING_FORMAT=MLN","FA_ADJUSTED=GAAP","Sort=A","Dates=H","DateFormat=P","Fill=—","Direction=H","UseDPDF=Y")</f>
        <v>30467</v>
      </c>
    </row>
    <row r="70" spans="1:12">
      <c r="A70" s="10" t="s">
        <v>64</v>
      </c>
      <c r="B70" s="10" t="s">
        <v>65</v>
      </c>
      <c r="C70" s="12">
        <f>_xll.BDH("VZ US Equity","CF_CAP_EXPEND_PRPTY_ADD","FY 2013","FY 2013","Currency=USD","Period=FY","BEST_FPERIOD_OVERRIDE=FY","FILING_STATUS=MR","SCALING_FORMAT=MLN","Sort=A","Dates=H","DateFormat=P","Fill=—","Direction=H","UseDPDF=Y")</f>
        <v>-16604</v>
      </c>
      <c r="D70" s="12">
        <f>_xll.BDH("VZ US Equity","CF_CAP_EXPEND_PRPTY_ADD","FY 2014","FY 2014","Currency=USD","Period=FY","BEST_FPERIOD_OVERRIDE=FY","FILING_STATUS=MR","SCALING_FORMAT=MLN","Sort=A","Dates=H","DateFormat=P","Fill=—","Direction=H","UseDPDF=Y")</f>
        <v>-17191</v>
      </c>
      <c r="E70" s="12">
        <f>_xll.BDH("VZ US Equity","CF_CAP_EXPEND_PRPTY_ADD","FY 2015","FY 2015","Currency=USD","Period=FY","BEST_FPERIOD_OVERRIDE=FY","FILING_STATUS=MR","SCALING_FORMAT=MLN","Sort=A","Dates=H","DateFormat=P","Fill=—","Direction=H","UseDPDF=Y")</f>
        <v>-17775</v>
      </c>
      <c r="F70" s="12">
        <f>_xll.BDH("VZ US Equity","CF_CAP_EXPEND_PRPTY_ADD","FY 2016","FY 2016","Currency=USD","Period=FY","BEST_FPERIOD_OVERRIDE=FY","FILING_STATUS=MR","SCALING_FORMAT=MLN","Sort=A","Dates=H","DateFormat=P","Fill=—","Direction=H","UseDPDF=Y")</f>
        <v>-17059</v>
      </c>
      <c r="G70" s="12">
        <f>_xll.BDH("VZ US Equity","CF_CAP_EXPEND_PRPTY_ADD","FY 2017","FY 2017","Currency=USD","Period=FY","BEST_FPERIOD_OVERRIDE=FY","FILING_STATUS=MR","SCALING_FORMAT=MLN","Sort=A","Dates=H","DateFormat=P","Fill=—","Direction=H","UseDPDF=Y")</f>
        <v>-17247</v>
      </c>
      <c r="H70" s="12">
        <f>_xll.BDH("VZ US Equity","CF_CAP_EXPEND_PRPTY_ADD","FY 2018","FY 2018","Currency=USD","Period=FY","BEST_FPERIOD_OVERRIDE=FY","FILING_STATUS=MR","SCALING_FORMAT=MLN","Sort=A","Dates=H","DateFormat=P","Fill=—","Direction=H","UseDPDF=Y")</f>
        <v>-16658</v>
      </c>
      <c r="I70" s="12">
        <f>_xll.BDH("VZ US Equity","CF_CAP_EXPEND_PRPTY_ADD","FY 2019","FY 2019","Currency=USD","Period=FY","BEST_FPERIOD_OVERRIDE=FY","FILING_STATUS=MR","SCALING_FORMAT=MLN","Sort=A","Dates=H","DateFormat=P","Fill=—","Direction=H","UseDPDF=Y")</f>
        <v>-17939</v>
      </c>
      <c r="J70" s="12">
        <f>_xll.BDH("VZ US Equity","CF_CAP_EXPEND_PRPTY_ADD","FY 2020","FY 2020","Currency=USD","Period=FY","BEST_FPERIOD_OVERRIDE=FY","FILING_STATUS=MR","SCALING_FORMAT=MLN","Sort=A","Dates=H","DateFormat=P","Fill=—","Direction=H","UseDPDF=Y")</f>
        <v>-18192</v>
      </c>
      <c r="K70" s="12">
        <f>_xll.BDH("VZ US Equity","CF_CAP_EXPEND_PRPTY_ADD","FY 2021","FY 2021","Currency=USD","Period=FY","BEST_FPERIOD_OVERRIDE=FY","FILING_STATUS=MR","SCALING_FORMAT=MLN","Sort=A","Dates=H","DateFormat=P","Fill=—","Direction=H","UseDPDF=Y")</f>
        <v>-20286</v>
      </c>
      <c r="L70" s="12">
        <f>_xll.BDH("VZ US Equity","CF_CAP_EXPEND_PRPTY_ADD","FY 2022","FY 2022","Currency=USD","Period=FY","BEST_FPERIOD_OVERRIDE=FY","FILING_STATUS=MR","SCALING_FORMAT=MLN","Sort=A","Dates=H","DateFormat=P","Fill=—","Direction=H","UseDPDF=Y")</f>
        <v>-23087</v>
      </c>
    </row>
    <row r="71" spans="1:1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>
      <c r="A72" s="6" t="s">
        <v>102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>
      <c r="A73" s="10" t="s">
        <v>103</v>
      </c>
      <c r="B73" s="10" t="s">
        <v>104</v>
      </c>
      <c r="C73" s="13">
        <f>_xll.BDH("VZ US Equity","GROSS_MARGIN","FY 2013","FY 2013","Currency=USD","Period=FY","BEST_FPERIOD_OVERRIDE=FY","FILING_STATUS=MR","FA_ADJUSTED=GAAP","Sort=A","Dates=H","DateFormat=P","Fill=—","Direction=H","UseDPDF=Y")</f>
        <v>62.764800000000001</v>
      </c>
      <c r="D73" s="13">
        <f>_xll.BDH("VZ US Equity","GROSS_MARGIN","FY 2014","FY 2014","Currency=USD","Period=FY","BEST_FPERIOD_OVERRIDE=FY","FILING_STATUS=MR","FA_ADJUSTED=GAAP","Sort=A","Dates=H","DateFormat=P","Fill=—","Direction=H","UseDPDF=Y")</f>
        <v>60.7087</v>
      </c>
      <c r="E73" s="13">
        <f>_xll.BDH("VZ US Equity","GROSS_MARGIN","FY 2015","FY 2015","Currency=USD","Period=FY","BEST_FPERIOD_OVERRIDE=FY","FILING_STATUS=MR","FA_ADJUSTED=GAAP","Sort=A","Dates=H","DateFormat=P","Fill=—","Direction=H","UseDPDF=Y")</f>
        <v>60.069099999999999</v>
      </c>
      <c r="F73" s="13">
        <f>_xll.BDH("VZ US Equity","GROSS_MARGIN","FY 2016","FY 2016","Currency=USD","Period=FY","BEST_FPERIOD_OVERRIDE=FY","FILING_STATUS=MR","FA_ADJUSTED=GAAP","Sort=A","Dates=H","DateFormat=P","Fill=—","Direction=H","UseDPDF=Y")</f>
        <v>58.167200000000001</v>
      </c>
      <c r="G73" s="13">
        <f>_xll.BDH("VZ US Equity","GROSS_MARGIN","FY 2017","FY 2017","Currency=USD","Period=FY","BEST_FPERIOD_OVERRIDE=FY","FILING_STATUS=MR","FA_ADJUSTED=GAAP","Sort=A","Dates=H","DateFormat=P","Fill=—","Direction=H","UseDPDF=Y")</f>
        <v>57.8979</v>
      </c>
      <c r="H73" s="13">
        <f>_xll.BDH("VZ US Equity","GROSS_MARGIN","FY 2018","FY 2018","Currency=USD","Period=FY","BEST_FPERIOD_OVERRIDE=FY","FILING_STATUS=MR","FA_ADJUSTED=GAAP","Sort=A","Dates=H","DateFormat=P","Fill=—","Direction=H","UseDPDF=Y")</f>
        <v>57.583100000000002</v>
      </c>
      <c r="I73" s="13">
        <f>_xll.BDH("VZ US Equity","GROSS_MARGIN","FY 2019","FY 2019","Currency=USD","Period=FY","BEST_FPERIOD_OVERRIDE=FY","FILING_STATUS=MR","FA_ADJUSTED=GAAP","Sort=A","Dates=H","DateFormat=P","Fill=—","Direction=H","UseDPDF=Y")</f>
        <v>58.499400000000001</v>
      </c>
      <c r="J73" s="13">
        <f>_xll.BDH("VZ US Equity","GROSS_MARGIN","FY 2020","FY 2020","Currency=USD","Period=FY","BEST_FPERIOD_OVERRIDE=FY","FILING_STATUS=MR","FA_ADJUSTED=GAAP","Sort=A","Dates=H","DateFormat=P","Fill=—","Direction=H","UseDPDF=Y")</f>
        <v>60.090299999999999</v>
      </c>
      <c r="K73" s="13">
        <f>_xll.BDH("VZ US Equity","GROSS_MARGIN","FY 2021","FY 2021","Currency=USD","Period=FY","BEST_FPERIOD_OVERRIDE=FY","FILING_STATUS=MR","FA_ADJUSTED=GAAP","Sort=A","Dates=H","DateFormat=P","Fill=—","Direction=H","UseDPDF=Y")</f>
        <v>57.8626</v>
      </c>
      <c r="L73" s="13">
        <f>_xll.BDH("VZ US Equity","GROSS_MARGIN","FY 2022","FY 2022","Currency=USD","Period=FY","BEST_FPERIOD_OVERRIDE=FY","FILING_STATUS=MR","FA_ADJUSTED=GAAP","Sort=A","Dates=H","DateFormat=P","Fill=—","Direction=H","UseDPDF=Y")</f>
        <v>56.785200000000003</v>
      </c>
    </row>
    <row r="74" spans="1:12">
      <c r="A74" s="10" t="s">
        <v>105</v>
      </c>
      <c r="B74" s="10" t="s">
        <v>106</v>
      </c>
      <c r="C74" s="13">
        <f>_xll.BDH("VZ US Equity","EBITDA_TO_REVENUE","FY 2013","FY 2013","Currency=USD","Period=FY","BEST_FPERIOD_OVERRIDE=FY","FILING_STATUS=MR","FA_ADJUSTED=GAAP","Sort=A","Dates=H","DateFormat=P","Fill=—","Direction=H","UseDPDF=Y")</f>
        <v>40.293700000000001</v>
      </c>
      <c r="D74" s="13">
        <f>_xll.BDH("VZ US Equity","EBITDA_TO_REVENUE","FY 2014","FY 2014","Currency=USD","Period=FY","BEST_FPERIOD_OVERRIDE=FY","FILING_STATUS=MR","FA_ADJUSTED=GAAP","Sort=A","Dates=H","DateFormat=P","Fill=—","Direction=H","UseDPDF=Y")</f>
        <v>28.432700000000001</v>
      </c>
      <c r="E74" s="13">
        <f>_xll.BDH("VZ US Equity","EBITDA_TO_REVENUE","FY 2015","FY 2015","Currency=USD","Period=FY","BEST_FPERIOD_OVERRIDE=FY","FILING_STATUS=MR","FA_ADJUSTED=GAAP","Sort=A","Dates=H","DateFormat=P","Fill=—","Direction=H","UseDPDF=Y")</f>
        <v>37.286900000000003</v>
      </c>
      <c r="F74" s="13">
        <f>_xll.BDH("VZ US Equity","EBITDA_TO_REVENUE","FY 2016","FY 2016","Currency=USD","Period=FY","BEST_FPERIOD_OVERRIDE=FY","FILING_STATUS=MR","FA_ADJUSTED=GAAP","Sort=A","Dates=H","DateFormat=P","Fill=—","Direction=H","UseDPDF=Y")</f>
        <v>35.860500000000002</v>
      </c>
      <c r="G74" s="13">
        <f>_xll.BDH("VZ US Equity","EBITDA_TO_REVENUE","FY 2017","FY 2017","Currency=USD","Period=FY","BEST_FPERIOD_OVERRIDE=FY","FILING_STATUS=MR","FA_ADJUSTED=GAAP","Sort=A","Dates=H","DateFormat=P","Fill=—","Direction=H","UseDPDF=Y")</f>
        <v>35.2119</v>
      </c>
      <c r="H74" s="13">
        <f>_xll.BDH("VZ US Equity","EBITDA_TO_REVENUE","FY 2018","FY 2018","Currency=USD","Period=FY","BEST_FPERIOD_OVERRIDE=FY","FILING_STATUS=MR","FA_ADJUSTED=GAAP","Sort=A","Dates=H","DateFormat=P","Fill=—","Direction=H","UseDPDF=Y")</f>
        <v>30.322600000000001</v>
      </c>
      <c r="I74" s="13">
        <f>_xll.BDH("VZ US Equity","EBITDA_TO_REVENUE","FY 2019","FY 2019","Currency=USD","Period=FY","BEST_FPERIOD_OVERRIDE=FY","FILING_STATUS=MR","FA_ADJUSTED=GAAP","Sort=A","Dates=H","DateFormat=P","Fill=—","Direction=H","UseDPDF=Y")</f>
        <v>39.156599999999997</v>
      </c>
      <c r="J74" s="13">
        <f>_xll.BDH("VZ US Equity","EBITDA_TO_REVENUE","FY 2020","FY 2020","Currency=USD","Period=FY","BEST_FPERIOD_OVERRIDE=FY","FILING_STATUS=MR","FA_ADJUSTED=GAAP","Sort=A","Dates=H","DateFormat=P","Fill=—","Direction=H","UseDPDF=Y")</f>
        <v>39.259700000000002</v>
      </c>
      <c r="K74" s="13">
        <f>_xll.BDH("VZ US Equity","EBITDA_TO_REVENUE","FY 2021","FY 2021","Currency=USD","Period=FY","BEST_FPERIOD_OVERRIDE=FY","FILING_STATUS=MR","FA_ADJUSTED=GAAP","Sort=A","Dates=H","DateFormat=P","Fill=—","Direction=H","UseDPDF=Y")</f>
        <v>40.197400000000002</v>
      </c>
      <c r="L74" s="13">
        <f>_xll.BDH("VZ US Equity","EBITDA_TO_REVENUE","FY 2022","FY 2022","Currency=USD","Period=FY","BEST_FPERIOD_OVERRIDE=FY","FILING_STATUS=MR","FA_ADJUSTED=GAAP","Sort=A","Dates=H","DateFormat=P","Fill=—","Direction=H","UseDPDF=Y")</f>
        <v>38.522300000000001</v>
      </c>
    </row>
    <row r="75" spans="1:12">
      <c r="A75" s="10" t="s">
        <v>107</v>
      </c>
      <c r="B75" s="10" t="s">
        <v>108</v>
      </c>
      <c r="C75" s="13">
        <f>_xll.BDH("VZ US Equity","OPER_MARGIN","FY 2013","FY 2013","Currency=USD","Period=FY","BEST_FPERIOD_OVERRIDE=FY","FILING_STATUS=MR","FA_ADJUSTED=GAAP","Sort=A","Dates=H","DateFormat=P","Fill=—","Direction=H","UseDPDF=Y")</f>
        <v>26.5185</v>
      </c>
      <c r="D75" s="13">
        <f>_xll.BDH("VZ US Equity","OPER_MARGIN","FY 2014","FY 2014","Currency=USD","Period=FY","BEST_FPERIOD_OVERRIDE=FY","FILING_STATUS=MR","FA_ADJUSTED=GAAP","Sort=A","Dates=H","DateFormat=P","Fill=—","Direction=H","UseDPDF=Y")</f>
        <v>15.422700000000001</v>
      </c>
      <c r="E75" s="13">
        <f>_xll.BDH("VZ US Equity","OPER_MARGIN","FY 2015","FY 2015","Currency=USD","Period=FY","BEST_FPERIOD_OVERRIDE=FY","FILING_STATUS=MR","FA_ADJUSTED=GAAP","Sort=A","Dates=H","DateFormat=P","Fill=—","Direction=H","UseDPDF=Y")</f>
        <v>25.117799999999999</v>
      </c>
      <c r="F75" s="13">
        <f>_xll.BDH("VZ US Equity","OPER_MARGIN","FY 2016","FY 2016","Currency=USD","Period=FY","BEST_FPERIOD_OVERRIDE=FY","FILING_STATUS=MR","FA_ADJUSTED=GAAP","Sort=A","Dates=H","DateFormat=P","Fill=—","Direction=H","UseDPDF=Y")</f>
        <v>23.217199999999998</v>
      </c>
      <c r="G75" s="13">
        <f>_xll.BDH("VZ US Equity","OPER_MARGIN","FY 2017","FY 2017","Currency=USD","Period=FY","BEST_FPERIOD_OVERRIDE=FY","FILING_STATUS=MR","FA_ADJUSTED=GAAP","Sort=A","Dates=H","DateFormat=P","Fill=—","Direction=H","UseDPDF=Y")</f>
        <v>21.76</v>
      </c>
      <c r="H75" s="13">
        <f>_xll.BDH("VZ US Equity","OPER_MARGIN","FY 2018","FY 2018","Currency=USD","Period=FY","BEST_FPERIOD_OVERRIDE=FY","FILING_STATUS=MR","FA_ADJUSTED=GAAP","Sort=A","Dates=H","DateFormat=P","Fill=—","Direction=H","UseDPDF=Y")</f>
        <v>17.023900000000001</v>
      </c>
      <c r="I75" s="13">
        <f>_xll.BDH("VZ US Equity","OPER_MARGIN","FY 2019","FY 2019","Currency=USD","Period=FY","BEST_FPERIOD_OVERRIDE=FY","FILING_STATUS=MR","FA_ADJUSTED=GAAP","Sort=A","Dates=H","DateFormat=P","Fill=—","Direction=H","UseDPDF=Y")</f>
        <v>23.0367</v>
      </c>
      <c r="J75" s="13">
        <f>_xll.BDH("VZ US Equity","OPER_MARGIN","FY 2020","FY 2020","Currency=USD","Period=FY","BEST_FPERIOD_OVERRIDE=FY","FILING_STATUS=MR","FA_ADJUSTED=GAAP","Sort=A","Dates=H","DateFormat=P","Fill=—","Direction=H","UseDPDF=Y")</f>
        <v>22.447199999999999</v>
      </c>
      <c r="K75" s="13">
        <f>_xll.BDH("VZ US Equity","OPER_MARGIN","FY 2021","FY 2021","Currency=USD","Period=FY","BEST_FPERIOD_OVERRIDE=FY","FILING_STATUS=MR","FA_ADJUSTED=GAAP","Sort=A","Dates=H","DateFormat=P","Fill=—","Direction=H","UseDPDF=Y")</f>
        <v>24.2851</v>
      </c>
      <c r="L75" s="13">
        <f>_xll.BDH("VZ US Equity","OPER_MARGIN","FY 2022","FY 2022","Currency=USD","Period=FY","BEST_FPERIOD_OVERRIDE=FY","FILING_STATUS=MR","FA_ADJUSTED=GAAP","Sort=A","Dates=H","DateFormat=P","Fill=—","Direction=H","UseDPDF=Y")</f>
        <v>22.265499999999999</v>
      </c>
    </row>
    <row r="76" spans="1:1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12">
      <c r="A77" s="6" t="s">
        <v>109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>
      <c r="A78" s="10" t="s">
        <v>110</v>
      </c>
      <c r="B78" s="10" t="s">
        <v>111</v>
      </c>
      <c r="C78" s="12">
        <f>_xll.BDH("VZ US Equity","SALES_REV_TURN","FY 2013","FY 2013","Currency=USD","Period=FY","BEST_FPERIOD_OVERRIDE=FY","FILING_STATUS=MR","SCALING_FORMAT=MLN","FA_ADJUSTED=GAAP","Sort=A","Dates=H","DateFormat=P","Fill=—","Direction=H","UseDPDF=Y")</f>
        <v>120550</v>
      </c>
      <c r="D78" s="12">
        <f>_xll.BDH("VZ US Equity","SALES_REV_TURN","FY 2014","FY 2014","Currency=USD","Period=FY","BEST_FPERIOD_OVERRIDE=FY","FILING_STATUS=MR","SCALING_FORMAT=MLN","FA_ADJUSTED=GAAP","Sort=A","Dates=H","DateFormat=P","Fill=—","Direction=H","UseDPDF=Y")</f>
        <v>127079</v>
      </c>
      <c r="E78" s="12">
        <f>_xll.BDH("VZ US Equity","SALES_REV_TURN","FY 2015","FY 2015","Currency=USD","Period=FY","BEST_FPERIOD_OVERRIDE=FY","FILING_STATUS=MR","SCALING_FORMAT=MLN","FA_ADJUSTED=GAAP","Sort=A","Dates=H","DateFormat=P","Fill=—","Direction=H","UseDPDF=Y")</f>
        <v>131620</v>
      </c>
      <c r="F78" s="12">
        <f>_xll.BDH("VZ US Equity","SALES_REV_TURN","FY 2016","FY 2016","Currency=USD","Period=FY","BEST_FPERIOD_OVERRIDE=FY","FILING_STATUS=MR","SCALING_FORMAT=MLN","FA_ADJUSTED=GAAP","Sort=A","Dates=H","DateFormat=P","Fill=—","Direction=H","UseDPDF=Y")</f>
        <v>125980</v>
      </c>
      <c r="G78" s="12">
        <f>_xll.BDH("VZ US Equity","SALES_REV_TURN","FY 2017","FY 2017","Currency=USD","Period=FY","BEST_FPERIOD_OVERRIDE=FY","FILING_STATUS=MR","SCALING_FORMAT=MLN","FA_ADJUSTED=GAAP","Sort=A","Dates=H","DateFormat=P","Fill=—","Direction=H","UseDPDF=Y")</f>
        <v>126034</v>
      </c>
      <c r="H78" s="12">
        <f>_xll.BDH("VZ US Equity","SALES_REV_TURN","FY 2018","FY 2018","Currency=USD","Period=FY","BEST_FPERIOD_OVERRIDE=FY","FILING_STATUS=MR","SCALING_FORMAT=MLN","FA_ADJUSTED=GAAP","Sort=A","Dates=H","DateFormat=P","Fill=—","Direction=H","UseDPDF=Y")</f>
        <v>130863</v>
      </c>
      <c r="I78" s="12">
        <f>_xll.BDH("VZ US Equity","SALES_REV_TURN","FY 2019","FY 2019","Currency=USD","Period=FY","BEST_FPERIOD_OVERRIDE=FY","FILING_STATUS=MR","SCALING_FORMAT=MLN","FA_ADJUSTED=GAAP","Sort=A","Dates=H","DateFormat=P","Fill=—","Direction=H","UseDPDF=Y")</f>
        <v>131868</v>
      </c>
      <c r="J78" s="12">
        <f>_xll.BDH("VZ US Equity","SALES_REV_TURN","FY 2020","FY 2020","Currency=USD","Period=FY","BEST_FPERIOD_OVERRIDE=FY","FILING_STATUS=MR","SCALING_FORMAT=MLN","FA_ADJUSTED=GAAP","Sort=A","Dates=H","DateFormat=P","Fill=—","Direction=H","UseDPDF=Y")</f>
        <v>128292</v>
      </c>
      <c r="K78" s="12">
        <f>_xll.BDH("VZ US Equity","SALES_REV_TURN","FY 2021","FY 2021","Currency=USD","Period=FY","BEST_FPERIOD_OVERRIDE=FY","FILING_STATUS=MR","SCALING_FORMAT=MLN","FA_ADJUSTED=GAAP","Sort=A","Dates=H","DateFormat=P","Fill=—","Direction=H","UseDPDF=Y")</f>
        <v>133613</v>
      </c>
      <c r="L78" s="12">
        <f>_xll.BDH("VZ US Equity","SALES_REV_TURN","FY 2022","FY 2022","Currency=USD","Period=FY","BEST_FPERIOD_OVERRIDE=FY","FILING_STATUS=MR","SCALING_FORMAT=MLN","FA_ADJUSTED=GAAP","Sort=A","Dates=H","DateFormat=P","Fill=—","Direction=H","UseDPDF=Y")</f>
        <v>136835</v>
      </c>
    </row>
    <row r="79" spans="1:12">
      <c r="A79" s="10" t="s">
        <v>98</v>
      </c>
      <c r="B79" s="10" t="s">
        <v>99</v>
      </c>
      <c r="C79" s="12">
        <f>_xll.BDH("VZ US Equity","GROSS_PROFIT","FY 2013","FY 2013","Currency=USD","Period=FY","BEST_FPERIOD_OVERRIDE=FY","FILING_STATUS=MR","SCALING_FORMAT=MLN","FA_ADJUSTED=GAAP","Sort=A","Dates=H","DateFormat=P","Fill=—","Direction=H","UseDPDF=Y")</f>
        <v>75663</v>
      </c>
      <c r="D79" s="12">
        <f>_xll.BDH("VZ US Equity","GROSS_PROFIT","FY 2014","FY 2014","Currency=USD","Period=FY","BEST_FPERIOD_OVERRIDE=FY","FILING_STATUS=MR","SCALING_FORMAT=MLN","FA_ADJUSTED=GAAP","Sort=A","Dates=H","DateFormat=P","Fill=—","Direction=H","UseDPDF=Y")</f>
        <v>77148</v>
      </c>
      <c r="E79" s="12">
        <f>_xll.BDH("VZ US Equity","GROSS_PROFIT","FY 2015","FY 2015","Currency=USD","Period=FY","BEST_FPERIOD_OVERRIDE=FY","FILING_STATUS=MR","SCALING_FORMAT=MLN","FA_ADJUSTED=GAAP","Sort=A","Dates=H","DateFormat=P","Fill=—","Direction=H","UseDPDF=Y")</f>
        <v>79063</v>
      </c>
      <c r="F79" s="12">
        <f>_xll.BDH("VZ US Equity","GROSS_PROFIT","FY 2016","FY 2016","Currency=USD","Period=FY","BEST_FPERIOD_OVERRIDE=FY","FILING_STATUS=MR","SCALING_FORMAT=MLN","FA_ADJUSTED=GAAP","Sort=A","Dates=H","DateFormat=P","Fill=—","Direction=H","UseDPDF=Y")</f>
        <v>73279</v>
      </c>
      <c r="G79" s="12">
        <f>_xll.BDH("VZ US Equity","GROSS_PROFIT","FY 2017","FY 2017","Currency=USD","Period=FY","BEST_FPERIOD_OVERRIDE=FY","FILING_STATUS=MR","SCALING_FORMAT=MLN","FA_ADJUSTED=GAAP","Sort=A","Dates=H","DateFormat=P","Fill=—","Direction=H","UseDPDF=Y")</f>
        <v>72971</v>
      </c>
      <c r="H79" s="12">
        <f>_xll.BDH("VZ US Equity","GROSS_PROFIT","FY 2018","FY 2018","Currency=USD","Period=FY","BEST_FPERIOD_OVERRIDE=FY","FILING_STATUS=MR","SCALING_FORMAT=MLN","FA_ADJUSTED=GAAP","Sort=A","Dates=H","DateFormat=P","Fill=—","Direction=H","UseDPDF=Y")</f>
        <v>75355</v>
      </c>
      <c r="I79" s="12">
        <f>_xll.BDH("VZ US Equity","GROSS_PROFIT","FY 2019","FY 2019","Currency=USD","Period=FY","BEST_FPERIOD_OVERRIDE=FY","FILING_STATUS=MR","SCALING_FORMAT=MLN","FA_ADJUSTED=GAAP","Sort=A","Dates=H","DateFormat=P","Fill=—","Direction=H","UseDPDF=Y")</f>
        <v>77142</v>
      </c>
      <c r="J79" s="12">
        <f>_xll.BDH("VZ US Equity","GROSS_PROFIT","FY 2020","FY 2020","Currency=USD","Period=FY","BEST_FPERIOD_OVERRIDE=FY","FILING_STATUS=MR","SCALING_FORMAT=MLN","FA_ADJUSTED=GAAP","Sort=A","Dates=H","DateFormat=P","Fill=—","Direction=H","UseDPDF=Y")</f>
        <v>77091</v>
      </c>
      <c r="K79" s="12">
        <f>_xll.BDH("VZ US Equity","GROSS_PROFIT","FY 2021","FY 2021","Currency=USD","Period=FY","BEST_FPERIOD_OVERRIDE=FY","FILING_STATUS=MR","SCALING_FORMAT=MLN","FA_ADJUSTED=GAAP","Sort=A","Dates=H","DateFormat=P","Fill=—","Direction=H","UseDPDF=Y")</f>
        <v>77312</v>
      </c>
      <c r="L79" s="12">
        <f>_xll.BDH("VZ US Equity","GROSS_PROFIT","FY 2022","FY 2022","Currency=USD","Period=FY","BEST_FPERIOD_OVERRIDE=FY","FILING_STATUS=MR","SCALING_FORMAT=MLN","FA_ADJUSTED=GAAP","Sort=A","Dates=H","DateFormat=P","Fill=—","Direction=H","UseDPDF=Y")</f>
        <v>77702</v>
      </c>
    </row>
    <row r="80" spans="1:12">
      <c r="A80" s="10" t="s">
        <v>61</v>
      </c>
      <c r="B80" s="10" t="s">
        <v>61</v>
      </c>
      <c r="C80" s="12">
        <f>_xll.BDH("VZ US Equity","EBITDA","FY 2013","FY 2013","Currency=USD","Period=FY","BEST_FPERIOD_OVERRIDE=FY","FILING_STATUS=MR","SCALING_FORMAT=MLN","FA_ADJUSTED=GAAP","Sort=A","Dates=H","DateFormat=P","Fill=—","Direction=H","UseDPDF=Y")</f>
        <v>48574</v>
      </c>
      <c r="D80" s="12">
        <f>_xll.BDH("VZ US Equity","EBITDA","FY 2014","FY 2014","Currency=USD","Period=FY","BEST_FPERIOD_OVERRIDE=FY","FILING_STATUS=MR","SCALING_FORMAT=MLN","FA_ADJUSTED=GAAP","Sort=A","Dates=H","DateFormat=P","Fill=—","Direction=H","UseDPDF=Y")</f>
        <v>36132</v>
      </c>
      <c r="E80" s="12">
        <f>_xll.BDH("VZ US Equity","EBITDA","FY 2015","FY 2015","Currency=USD","Period=FY","BEST_FPERIOD_OVERRIDE=FY","FILING_STATUS=MR","SCALING_FORMAT=MLN","FA_ADJUSTED=GAAP","Sort=A","Dates=H","DateFormat=P","Fill=—","Direction=H","UseDPDF=Y")</f>
        <v>49077</v>
      </c>
      <c r="F80" s="12">
        <f>_xll.BDH("VZ US Equity","EBITDA","FY 2016","FY 2016","Currency=USD","Period=FY","BEST_FPERIOD_OVERRIDE=FY","FILING_STATUS=MR","SCALING_FORMAT=MLN","FA_ADJUSTED=GAAP","Sort=A","Dates=H","DateFormat=P","Fill=—","Direction=H","UseDPDF=Y")</f>
        <v>45177</v>
      </c>
      <c r="G80" s="12">
        <f>_xll.BDH("VZ US Equity","EBITDA","FY 2017","FY 2017","Currency=USD","Period=FY","BEST_FPERIOD_OVERRIDE=FY","FILING_STATUS=MR","SCALING_FORMAT=MLN","FA_ADJUSTED=GAAP","Sort=A","Dates=H","DateFormat=P","Fill=—","Direction=H","UseDPDF=Y")</f>
        <v>44379</v>
      </c>
      <c r="H80" s="12">
        <f>_xll.BDH("VZ US Equity","EBITDA","FY 2018","FY 2018","Currency=USD","Period=FY","BEST_FPERIOD_OVERRIDE=FY","FILING_STATUS=MR","SCALING_FORMAT=MLN","FA_ADJUSTED=GAAP","Sort=A","Dates=H","DateFormat=P","Fill=—","Direction=H","UseDPDF=Y")</f>
        <v>39681</v>
      </c>
      <c r="I80" s="12">
        <f>_xll.BDH("VZ US Equity","EBITDA","FY 2019","FY 2019","Currency=USD","Period=FY","BEST_FPERIOD_OVERRIDE=FY","FILING_STATUS=MR","SCALING_FORMAT=MLN","FA_ADJUSTED=GAAP","Sort=A","Dates=H","DateFormat=P","Fill=—","Direction=H","UseDPDF=Y")</f>
        <v>51635</v>
      </c>
      <c r="J80" s="12">
        <f>_xll.BDH("VZ US Equity","EBITDA","FY 2020","FY 2020","Currency=USD","Period=FY","BEST_FPERIOD_OVERRIDE=FY","FILING_STATUS=MR","SCALING_FORMAT=MLN","FA_ADJUSTED=GAAP","Sort=A","Dates=H","DateFormat=P","Fill=—","Direction=H","UseDPDF=Y")</f>
        <v>50367</v>
      </c>
      <c r="K80" s="12">
        <f>_xll.BDH("VZ US Equity","EBITDA","FY 2021","FY 2021","Currency=USD","Period=FY","BEST_FPERIOD_OVERRIDE=FY","FILING_STATUS=MR","SCALING_FORMAT=MLN","FA_ADJUSTED=GAAP","Sort=A","Dates=H","DateFormat=P","Fill=—","Direction=H","UseDPDF=Y")</f>
        <v>53709</v>
      </c>
      <c r="L80" s="12">
        <f>_xll.BDH("VZ US Equity","EBITDA","FY 2022","FY 2022","Currency=USD","Period=FY","BEST_FPERIOD_OVERRIDE=FY","FILING_STATUS=MR","SCALING_FORMAT=MLN","FA_ADJUSTED=GAAP","Sort=A","Dates=H","DateFormat=P","Fill=—","Direction=H","UseDPDF=Y")</f>
        <v>52712</v>
      </c>
    </row>
    <row r="81" spans="1:12">
      <c r="A81" s="10" t="s">
        <v>100</v>
      </c>
      <c r="B81" s="10" t="s">
        <v>101</v>
      </c>
      <c r="C81" s="12">
        <f>_xll.BDH("VZ US Equity","IS_OPER_INC","FY 2013","FY 2013","Currency=USD","Period=FY","BEST_FPERIOD_OVERRIDE=FY","FILING_STATUS=MR","SCALING_FORMAT=MLN","FA_ADJUSTED=GAAP","Sort=A","Dates=H","DateFormat=P","Fill=—","Direction=H","UseDPDF=Y")</f>
        <v>31968</v>
      </c>
      <c r="D81" s="12">
        <f>_xll.BDH("VZ US Equity","IS_OPER_INC","FY 2014","FY 2014","Currency=USD","Period=FY","BEST_FPERIOD_OVERRIDE=FY","FILING_STATUS=MR","SCALING_FORMAT=MLN","FA_ADJUSTED=GAAP","Sort=A","Dates=H","DateFormat=P","Fill=—","Direction=H","UseDPDF=Y")</f>
        <v>19599</v>
      </c>
      <c r="E81" s="12">
        <f>_xll.BDH("VZ US Equity","IS_OPER_INC","FY 2015","FY 2015","Currency=USD","Period=FY","BEST_FPERIOD_OVERRIDE=FY","FILING_STATUS=MR","SCALING_FORMAT=MLN","FA_ADJUSTED=GAAP","Sort=A","Dates=H","DateFormat=P","Fill=—","Direction=H","UseDPDF=Y")</f>
        <v>33060</v>
      </c>
      <c r="F81" s="12">
        <f>_xll.BDH("VZ US Equity","IS_OPER_INC","FY 2016","FY 2016","Currency=USD","Period=FY","BEST_FPERIOD_OVERRIDE=FY","FILING_STATUS=MR","SCALING_FORMAT=MLN","FA_ADJUSTED=GAAP","Sort=A","Dates=H","DateFormat=P","Fill=—","Direction=H","UseDPDF=Y")</f>
        <v>29249</v>
      </c>
      <c r="G81" s="12">
        <f>_xll.BDH("VZ US Equity","IS_OPER_INC","FY 2017","FY 2017","Currency=USD","Period=FY","BEST_FPERIOD_OVERRIDE=FY","FILING_STATUS=MR","SCALING_FORMAT=MLN","FA_ADJUSTED=GAAP","Sort=A","Dates=H","DateFormat=P","Fill=—","Direction=H","UseDPDF=Y")</f>
        <v>27425</v>
      </c>
      <c r="H81" s="12">
        <f>_xll.BDH("VZ US Equity","IS_OPER_INC","FY 2018","FY 2018","Currency=USD","Period=FY","BEST_FPERIOD_OVERRIDE=FY","FILING_STATUS=MR","SCALING_FORMAT=MLN","FA_ADJUSTED=GAAP","Sort=A","Dates=H","DateFormat=P","Fill=—","Direction=H","UseDPDF=Y")</f>
        <v>22278</v>
      </c>
      <c r="I81" s="12">
        <f>_xll.BDH("VZ US Equity","IS_OPER_INC","FY 2019","FY 2019","Currency=USD","Period=FY","BEST_FPERIOD_OVERRIDE=FY","FILING_STATUS=MR","SCALING_FORMAT=MLN","FA_ADJUSTED=GAAP","Sort=A","Dates=H","DateFormat=P","Fill=—","Direction=H","UseDPDF=Y")</f>
        <v>30378</v>
      </c>
      <c r="J81" s="12">
        <f>_xll.BDH("VZ US Equity","IS_OPER_INC","FY 2020","FY 2020","Currency=USD","Period=FY","BEST_FPERIOD_OVERRIDE=FY","FILING_STATUS=MR","SCALING_FORMAT=MLN","FA_ADJUSTED=GAAP","Sort=A","Dates=H","DateFormat=P","Fill=—","Direction=H","UseDPDF=Y")</f>
        <v>28798</v>
      </c>
      <c r="K81" s="12">
        <f>_xll.BDH("VZ US Equity","IS_OPER_INC","FY 2021","FY 2021","Currency=USD","Period=FY","BEST_FPERIOD_OVERRIDE=FY","FILING_STATUS=MR","SCALING_FORMAT=MLN","FA_ADJUSTED=GAAP","Sort=A","Dates=H","DateFormat=P","Fill=—","Direction=H","UseDPDF=Y")</f>
        <v>32448</v>
      </c>
      <c r="L81" s="12">
        <f>_xll.BDH("VZ US Equity","IS_OPER_INC","FY 2022","FY 2022","Currency=USD","Period=FY","BEST_FPERIOD_OVERRIDE=FY","FILING_STATUS=MR","SCALING_FORMAT=MLN","FA_ADJUSTED=GAAP","Sort=A","Dates=H","DateFormat=P","Fill=—","Direction=H","UseDPDF=Y")</f>
        <v>30467</v>
      </c>
    </row>
    <row r="82" spans="1:12">
      <c r="A82" s="10" t="s">
        <v>112</v>
      </c>
      <c r="B82" s="10" t="s">
        <v>113</v>
      </c>
      <c r="C82" s="12">
        <f>_xll.BDH("VZ US Equity","NORMALIZED_INCOME","FY 2013","FY 2013","Currency=USD","Period=FY","BEST_FPERIOD_OVERRIDE=FY","FILING_STATUS=MR","SCALING_FORMAT=MLN","Sort=A","Dates=H","DateFormat=P","Fill=—","Direction=H","UseDPDF=Y")</f>
        <v>8279.52</v>
      </c>
      <c r="D82" s="12">
        <f>_xll.BDH("VZ US Equity","NORMALIZED_INCOME","FY 2014","FY 2014","Currency=USD","Period=FY","BEST_FPERIOD_OVERRIDE=FY","FILING_STATUS=MR","SCALING_FORMAT=MLN","Sort=A","Dates=H","DateFormat=P","Fill=—","Direction=H","UseDPDF=Y")</f>
        <v>13327</v>
      </c>
      <c r="E82" s="12">
        <f>_xll.BDH("VZ US Equity","NORMALIZED_INCOME","FY 2015","FY 2015","Currency=USD","Period=FY","BEST_FPERIOD_OVERRIDE=FY","FILING_STATUS=MR","SCALING_FORMAT=MLN","Sort=A","Dates=H","DateFormat=P","Fill=—","Direction=H","UseDPDF=Y")</f>
        <v>16254.6</v>
      </c>
      <c r="F82" s="12">
        <f>_xll.BDH("VZ US Equity","NORMALIZED_INCOME","FY 2016","FY 2016","Currency=USD","Period=FY","BEST_FPERIOD_OVERRIDE=FY","FILING_STATUS=MR","SCALING_FORMAT=MLN","Sort=A","Dates=H","DateFormat=P","Fill=—","Direction=H","UseDPDF=Y")</f>
        <v>15809</v>
      </c>
      <c r="G82" s="12">
        <f>_xll.BDH("VZ US Equity","NORMALIZED_INCOME","FY 2017","FY 2017","Currency=USD","Period=FY","BEST_FPERIOD_OVERRIDE=FY","FILING_STATUS=MR","SCALING_FORMAT=MLN","Sort=A","Dates=H","DateFormat=P","Fill=—","Direction=H","UseDPDF=Y")</f>
        <v>15297</v>
      </c>
      <c r="H82" s="12">
        <f>_xll.BDH("VZ US Equity","NORMALIZED_INCOME","FY 2018","FY 2018","Currency=USD","Period=FY","BEST_FPERIOD_OVERRIDE=FY","FILING_STATUS=MR","SCALING_FORMAT=MLN","Sort=A","Dates=H","DateFormat=P","Fill=—","Direction=H","UseDPDF=Y")</f>
        <v>19493.5</v>
      </c>
      <c r="I82" s="12">
        <f>_xll.BDH("VZ US Equity","NORMALIZED_INCOME","FY 2019","FY 2019","Currency=USD","Period=FY","BEST_FPERIOD_OVERRIDE=FY","FILING_STATUS=MR","SCALING_FORMAT=MLN","Sort=A","Dates=H","DateFormat=P","Fill=—","Direction=H","UseDPDF=Y")</f>
        <v>19941.813200000001</v>
      </c>
      <c r="J82" s="12">
        <f>_xll.BDH("VZ US Equity","NORMALIZED_INCOME","FY 2020","FY 2020","Currency=USD","Period=FY","BEST_FPERIOD_OVERRIDE=FY","FILING_STATUS=MR","SCALING_FORMAT=MLN","Sort=A","Dates=H","DateFormat=P","Fill=—","Direction=H","UseDPDF=Y")</f>
        <v>20466.59</v>
      </c>
      <c r="K82" s="12">
        <f>_xll.BDH("VZ US Equity","NORMALIZED_INCOME","FY 2021","FY 2021","Currency=USD","Period=FY","BEST_FPERIOD_OVERRIDE=FY","FILING_STATUS=MR","SCALING_FORMAT=MLN","Sort=A","Dates=H","DateFormat=P","Fill=—","Direction=H","UseDPDF=Y")</f>
        <v>22388</v>
      </c>
      <c r="L82" s="12">
        <f>_xll.BDH("VZ US Equity","NORMALIZED_INCOME","FY 2022","FY 2022","Currency=USD","Period=FY","BEST_FPERIOD_OVERRIDE=FY","FILING_STATUS=MR","SCALING_FORMAT=MLN","Sort=A","Dates=H","DateFormat=P","Fill=—","Direction=H","UseDPDF=Y")</f>
        <v>21389.16</v>
      </c>
    </row>
    <row r="83" spans="1:12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1:12">
      <c r="A84" s="6" t="s">
        <v>114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>
      <c r="A85" s="10" t="s">
        <v>115</v>
      </c>
      <c r="B85" s="10" t="s">
        <v>116</v>
      </c>
      <c r="C85" s="13">
        <f>_xll.BDH("VZ US Equity","EQY_DPS","FY 2013","FY 2013","Currency=USD","Period=FY","BEST_FPERIOD_OVERRIDE=FY","FILING_STATUS=MR","Sort=A","Dates=H","DateFormat=P","Fill=—","Direction=H","UseDPDF=Y")</f>
        <v>2.09</v>
      </c>
      <c r="D85" s="13">
        <f>_xll.BDH("VZ US Equity","EQY_DPS","FY 2014","FY 2014","Currency=USD","Period=FY","BEST_FPERIOD_OVERRIDE=FY","FILING_STATUS=MR","Sort=A","Dates=H","DateFormat=P","Fill=—","Direction=H","UseDPDF=Y")</f>
        <v>2.16</v>
      </c>
      <c r="E85" s="13">
        <f>_xll.BDH("VZ US Equity","EQY_DPS","FY 2015","FY 2015","Currency=USD","Period=FY","BEST_FPERIOD_OVERRIDE=FY","FILING_STATUS=MR","Sort=A","Dates=H","DateFormat=P","Fill=—","Direction=H","UseDPDF=Y")</f>
        <v>2.23</v>
      </c>
      <c r="F85" s="13">
        <f>_xll.BDH("VZ US Equity","EQY_DPS","FY 2016","FY 2016","Currency=USD","Period=FY","BEST_FPERIOD_OVERRIDE=FY","FILING_STATUS=MR","Sort=A","Dates=H","DateFormat=P","Fill=—","Direction=H","UseDPDF=Y")</f>
        <v>2.2850000000000001</v>
      </c>
      <c r="G85" s="13">
        <f>_xll.BDH("VZ US Equity","EQY_DPS","FY 2017","FY 2017","Currency=USD","Period=FY","BEST_FPERIOD_OVERRIDE=FY","FILING_STATUS=MR","Sort=A","Dates=H","DateFormat=P","Fill=—","Direction=H","UseDPDF=Y")</f>
        <v>2.335</v>
      </c>
      <c r="H85" s="13">
        <f>_xll.BDH("VZ US Equity","EQY_DPS","FY 2018","FY 2018","Currency=USD","Period=FY","BEST_FPERIOD_OVERRIDE=FY","FILING_STATUS=MR","Sort=A","Dates=H","DateFormat=P","Fill=—","Direction=H","UseDPDF=Y")</f>
        <v>2.3849999999999998</v>
      </c>
      <c r="I85" s="13">
        <f>_xll.BDH("VZ US Equity","EQY_DPS","FY 2019","FY 2019","Currency=USD","Period=FY","BEST_FPERIOD_OVERRIDE=FY","FILING_STATUS=MR","Sort=A","Dates=H","DateFormat=P","Fill=—","Direction=H","UseDPDF=Y")</f>
        <v>2.4350000000000001</v>
      </c>
      <c r="J85" s="13">
        <f>_xll.BDH("VZ US Equity","EQY_DPS","FY 2020","FY 2020","Currency=USD","Period=FY","BEST_FPERIOD_OVERRIDE=FY","FILING_STATUS=MR","Sort=A","Dates=H","DateFormat=P","Fill=—","Direction=H","UseDPDF=Y")</f>
        <v>2.4849999999999999</v>
      </c>
      <c r="K85" s="13">
        <f>_xll.BDH("VZ US Equity","EQY_DPS","FY 2021","FY 2021","Currency=USD","Period=FY","BEST_FPERIOD_OVERRIDE=FY","FILING_STATUS=MR","Sort=A","Dates=H","DateFormat=P","Fill=—","Direction=H","UseDPDF=Y")</f>
        <v>2.5350000000000001</v>
      </c>
      <c r="L85" s="13">
        <f>_xll.BDH("VZ US Equity","EQY_DPS","FY 2022","FY 2022","Currency=USD","Period=FY","BEST_FPERIOD_OVERRIDE=FY","FILING_STATUS=MR","Sort=A","Dates=H","DateFormat=P","Fill=—","Direction=H","UseDPDF=Y")</f>
        <v>2.585</v>
      </c>
    </row>
    <row r="86" spans="1:12">
      <c r="A86" s="10" t="s">
        <v>117</v>
      </c>
      <c r="B86" s="10" t="s">
        <v>118</v>
      </c>
      <c r="C86" s="13">
        <f>_xll.BDH("VZ US Equity","EQY_DVD_YLD_IND","FY 2013","FY 2013","Currency=USD","Period=FY","BEST_FPERIOD_OVERRIDE=FY","FILING_STATUS=MR","Sort=A","Dates=H","DateFormat=P","Fill=—","Direction=H","UseDPDF=Y")</f>
        <v>4.3141999999999996</v>
      </c>
      <c r="D86" s="13">
        <f>_xll.BDH("VZ US Equity","EQY_DVD_YLD_IND","FY 2014","FY 2014","Currency=USD","Period=FY","BEST_FPERIOD_OVERRIDE=FY","FILING_STATUS=MR","Sort=A","Dates=H","DateFormat=P","Fill=—","Direction=H","UseDPDF=Y")</f>
        <v>4.7028999999999996</v>
      </c>
      <c r="E86" s="13">
        <f>_xll.BDH("VZ US Equity","EQY_DVD_YLD_IND","FY 2015","FY 2015","Currency=USD","Period=FY","BEST_FPERIOD_OVERRIDE=FY","FILING_STATUS=MR","Sort=A","Dates=H","DateFormat=P","Fill=—","Direction=H","UseDPDF=Y")</f>
        <v>4.8897000000000004</v>
      </c>
      <c r="F86" s="13">
        <f>_xll.BDH("VZ US Equity","EQY_DVD_YLD_IND","FY 2016","FY 2016","Currency=USD","Period=FY","BEST_FPERIOD_OVERRIDE=FY","FILING_STATUS=MR","Sort=A","Dates=H","DateFormat=P","Fill=—","Direction=H","UseDPDF=Y")</f>
        <v>4.3274999999999997</v>
      </c>
      <c r="G86" s="13">
        <f>_xll.BDH("VZ US Equity","EQY_DVD_YLD_IND","FY 2017","FY 2017","Currency=USD","Period=FY","BEST_FPERIOD_OVERRIDE=FY","FILING_STATUS=MR","Sort=A","Dates=H","DateFormat=P","Fill=—","Direction=H","UseDPDF=Y")</f>
        <v>4.4587000000000003</v>
      </c>
      <c r="H86" s="13">
        <f>_xll.BDH("VZ US Equity","EQY_DVD_YLD_IND","FY 2018","FY 2018","Currency=USD","Period=FY","BEST_FPERIOD_OVERRIDE=FY","FILING_STATUS=MR","Sort=A","Dates=H","DateFormat=P","Fill=—","Direction=H","UseDPDF=Y")</f>
        <v>4.2866999999999997</v>
      </c>
      <c r="I86" s="13">
        <f>_xll.BDH("VZ US Equity","EQY_DVD_YLD_IND","FY 2019","FY 2019","Currency=USD","Period=FY","BEST_FPERIOD_OVERRIDE=FY","FILING_STATUS=MR","Sort=A","Dates=H","DateFormat=P","Fill=—","Direction=H","UseDPDF=Y")</f>
        <v>4.0065</v>
      </c>
      <c r="J86" s="13">
        <f>_xll.BDH("VZ US Equity","EQY_DVD_YLD_IND","FY 2020","FY 2020","Currency=USD","Period=FY","BEST_FPERIOD_OVERRIDE=FY","FILING_STATUS=MR","Sort=A","Dates=H","DateFormat=P","Fill=—","Direction=H","UseDPDF=Y")</f>
        <v>4.2723000000000004</v>
      </c>
      <c r="K86" s="13">
        <f>_xll.BDH("VZ US Equity","EQY_DVD_YLD_IND","FY 2021","FY 2021","Currency=USD","Period=FY","BEST_FPERIOD_OVERRIDE=FY","FILING_STATUS=MR","Sort=A","Dates=H","DateFormat=P","Fill=—","Direction=H","UseDPDF=Y")</f>
        <v>4.9268999999999998</v>
      </c>
      <c r="L86" s="13">
        <f>_xll.BDH("VZ US Equity","EQY_DVD_YLD_IND","FY 2022","FY 2022","Currency=USD","Period=FY","BEST_FPERIOD_OVERRIDE=FY","FILING_STATUS=MR","Sort=A","Dates=H","DateFormat=P","Fill=—","Direction=H","UseDPDF=Y")</f>
        <v>6.6243999999999996</v>
      </c>
    </row>
    <row r="87" spans="1:12">
      <c r="A87" s="10" t="s">
        <v>119</v>
      </c>
      <c r="B87" s="10" t="s">
        <v>120</v>
      </c>
      <c r="C87" s="13">
        <f>_xll.BDH("VZ US Equity","CASH_DVD_COVERAGE","FY 2013","FY 2013","Currency=USD","Period=FY","BEST_FPERIOD_OVERRIDE=FY","FILING_STATUS=MR","FA_ADJUSTED=GAAP","Sort=A","Dates=H","DateFormat=P","Fill=—","Direction=H","UseDPDF=Y")</f>
        <v>1.9194</v>
      </c>
      <c r="D87" s="13">
        <f>_xll.BDH("VZ US Equity","CASH_DVD_COVERAGE","FY 2014","FY 2014","Currency=USD","Period=FY","BEST_FPERIOD_OVERRIDE=FY","FILING_STATUS=MR","FA_ADJUSTED=GAAP","Sort=A","Dates=H","DateFormat=P","Fill=—","Direction=H","UseDPDF=Y")</f>
        <v>1.1213</v>
      </c>
      <c r="E87" s="13">
        <f>_xll.BDH("VZ US Equity","CASH_DVD_COVERAGE","FY 2015","FY 2015","Currency=USD","Period=FY","BEST_FPERIOD_OVERRIDE=FY","FILING_STATUS=MR","FA_ADJUSTED=GAAP","Sort=A","Dates=H","DateFormat=P","Fill=—","Direction=H","UseDPDF=Y")</f>
        <v>1.9626999999999999</v>
      </c>
      <c r="F87" s="13">
        <f>_xll.BDH("VZ US Equity","CASH_DVD_COVERAGE","FY 2016","FY 2016","Currency=USD","Period=FY","BEST_FPERIOD_OVERRIDE=FY","FILING_STATUS=MR","FA_ADJUSTED=GAAP","Sort=A","Dates=H","DateFormat=P","Fill=—","Direction=H","UseDPDF=Y")</f>
        <v>1.4080999999999999</v>
      </c>
      <c r="G87" s="13">
        <f>_xll.BDH("VZ US Equity","CASH_DVD_COVERAGE","FY 2017","FY 2017","Currency=USD","Period=FY","BEST_FPERIOD_OVERRIDE=FY","FILING_STATUS=MR","FA_ADJUSTED=GAAP","Sort=A","Dates=H","DateFormat=P","Fill=—","Direction=H","UseDPDF=Y")</f>
        <v>3.1564999999999999</v>
      </c>
      <c r="H87" s="13">
        <f>_xll.BDH("VZ US Equity","CASH_DVD_COVERAGE","FY 2018","FY 2018","Currency=USD","Period=FY","BEST_FPERIOD_OVERRIDE=FY","FILING_STATUS=MR","FA_ADJUSTED=GAAP","Sort=A","Dates=H","DateFormat=P","Fill=—","Direction=H","UseDPDF=Y")</f>
        <v>1.5771999999999999</v>
      </c>
      <c r="I87" s="13">
        <f>_xll.BDH("VZ US Equity","CASH_DVD_COVERAGE","FY 2019","FY 2019","Currency=USD","Period=FY","BEST_FPERIOD_OVERRIDE=FY","FILING_STATUS=MR","FA_ADJUSTED=GAAP","Sort=A","Dates=H","DateFormat=P","Fill=—","Direction=H","UseDPDF=Y")</f>
        <v>1.9119999999999999</v>
      </c>
      <c r="J87" s="13">
        <f>_xll.BDH("VZ US Equity","CASH_DVD_COVERAGE","FY 2020","FY 2020","Currency=USD","Period=FY","BEST_FPERIOD_OVERRIDE=FY","FILING_STATUS=MR","FA_ADJUSTED=GAAP","Sort=A","Dates=H","DateFormat=P","Fill=—","Direction=H","UseDPDF=Y")</f>
        <v>1.7302999999999999</v>
      </c>
      <c r="K87" s="13">
        <f>_xll.BDH("VZ US Equity","CASH_DVD_COVERAGE","FY 2021","FY 2021","Currency=USD","Period=FY","BEST_FPERIOD_OVERRIDE=FY","FILING_STATUS=MR","FA_ADJUSTED=GAAP","Sort=A","Dates=H","DateFormat=P","Fill=—","Direction=H","UseDPDF=Y")</f>
        <v>2.0983999999999998</v>
      </c>
      <c r="L87" s="13">
        <f>_xll.BDH("VZ US Equity","CASH_DVD_COVERAGE","FY 2022","FY 2022","Currency=USD","Period=FY","BEST_FPERIOD_OVERRIDE=FY","FILING_STATUS=MR","FA_ADJUSTED=GAAP","Sort=A","Dates=H","DateFormat=P","Fill=—","Direction=H","UseDPDF=Y")</f>
        <v>1.9569000000000001</v>
      </c>
    </row>
    <row r="88" spans="1:12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>
      <c r="A89" s="6" t="s">
        <v>121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1:12">
      <c r="A90" s="10" t="s">
        <v>122</v>
      </c>
      <c r="B90" s="10" t="s">
        <v>123</v>
      </c>
      <c r="C90" s="12">
        <f>_xll.BDH("VZ US Equity","WORKING_CAPITAL","FY 2013","FY 2013","Currency=USD","Period=FY","BEST_FPERIOD_OVERRIDE=FY","FILING_STATUS=MR","SCALING_FORMAT=MLN","Sort=A","Dates=H","DateFormat=P","Fill=—","Direction=H","UseDPDF=Y")</f>
        <v>43944</v>
      </c>
      <c r="D90" s="12">
        <f>_xll.BDH("VZ US Equity","WORKING_CAPITAL","FY 2014","FY 2014","Currency=USD","Period=FY","BEST_FPERIOD_OVERRIDE=FY","FILING_STATUS=MR","SCALING_FORMAT=MLN","Sort=A","Dates=H","DateFormat=P","Fill=—","Direction=H","UseDPDF=Y")</f>
        <v>1512</v>
      </c>
      <c r="E90" s="12">
        <f>_xll.BDH("VZ US Equity","WORKING_CAPITAL","FY 2015","FY 2015","Currency=USD","Period=FY","BEST_FPERIOD_OVERRIDE=FY","FILING_STATUS=MR","SCALING_FORMAT=MLN","Sort=A","Dates=H","DateFormat=P","Fill=—","Direction=H","UseDPDF=Y")</f>
        <v>-12697</v>
      </c>
      <c r="F90" s="12">
        <f>_xll.BDH("VZ US Equity","WORKING_CAPITAL","FY 2016","FY 2016","Currency=USD","Period=FY","BEST_FPERIOD_OVERRIDE=FY","FILING_STATUS=MR","SCALING_FORMAT=MLN","Sort=A","Dates=H","DateFormat=P","Fill=—","Direction=H","UseDPDF=Y")</f>
        <v>-3945</v>
      </c>
      <c r="G90" s="12">
        <f>_xll.BDH("VZ US Equity","WORKING_CAPITAL","FY 2017","FY 2017","Currency=USD","Period=FY","BEST_FPERIOD_OVERRIDE=FY","FILING_STATUS=MR","SCALING_FORMAT=MLN","Sort=A","Dates=H","DateFormat=P","Fill=—","Direction=H","UseDPDF=Y")</f>
        <v>-3124</v>
      </c>
      <c r="H90" s="12">
        <f>_xll.BDH("VZ US Equity","WORKING_CAPITAL","FY 2018","FY 2018","Currency=USD","Period=FY","BEST_FPERIOD_OVERRIDE=FY","FILING_STATUS=MR","SCALING_FORMAT=MLN","Sort=A","Dates=H","DateFormat=P","Fill=—","Direction=H","UseDPDF=Y")</f>
        <v>-3294</v>
      </c>
      <c r="I90" s="12">
        <f>_xll.BDH("VZ US Equity","WORKING_CAPITAL","FY 2019","FY 2019","Currency=USD","Period=FY","BEST_FPERIOD_OVERRIDE=FY","FILING_STATUS=MR","SCALING_FORMAT=MLN","Sort=A","Dates=H","DateFormat=P","Fill=—","Direction=H","UseDPDF=Y")</f>
        <v>-7395</v>
      </c>
      <c r="J90" s="12">
        <f>_xll.BDH("VZ US Equity","WORKING_CAPITAL","FY 2020","FY 2020","Currency=USD","Period=FY","BEST_FPERIOD_OVERRIDE=FY","FILING_STATUS=MR","SCALING_FORMAT=MLN","Sort=A","Dates=H","DateFormat=P","Fill=—","Direction=H","UseDPDF=Y")</f>
        <v>14934</v>
      </c>
      <c r="K90" s="12">
        <f>_xll.BDH("VZ US Equity","WORKING_CAPITAL","FY 2021","FY 2021","Currency=USD","Period=FY","BEST_FPERIOD_OVERRIDE=FY","FILING_STATUS=MR","SCALING_FORMAT=MLN","Sort=A","Dates=H","DateFormat=P","Fill=—","Direction=H","UseDPDF=Y")</f>
        <v>-10432</v>
      </c>
      <c r="L90" s="12">
        <f>_xll.BDH("VZ US Equity","WORKING_CAPITAL","FY 2022","FY 2022","Currency=USD","Period=FY","BEST_FPERIOD_OVERRIDE=FY","FILING_STATUS=MR","SCALING_FORMAT=MLN","Sort=A","Dates=H","DateFormat=P","Fill=—","Direction=H","UseDPDF=Y")</f>
        <v>-12314</v>
      </c>
    </row>
    <row r="91" spans="1:12">
      <c r="A91" s="10" t="s">
        <v>124</v>
      </c>
      <c r="B91" s="10" t="s">
        <v>125</v>
      </c>
      <c r="C91" s="12">
        <f>_xll.BDH("VZ US Equity","CF_CASH_FROM_OPER","FY 2013","FY 2013","Currency=USD","Period=FY","BEST_FPERIOD_OVERRIDE=FY","FILING_STATUS=MR","SCALING_FORMAT=MLN","Sort=A","Dates=H","DateFormat=P","Fill=—","Direction=H","UseDPDF=Y")</f>
        <v>38818</v>
      </c>
      <c r="D91" s="12">
        <f>_xll.BDH("VZ US Equity","CF_CASH_FROM_OPER","FY 2014","FY 2014","Currency=USD","Period=FY","BEST_FPERIOD_OVERRIDE=FY","FILING_STATUS=MR","SCALING_FORMAT=MLN","Sort=A","Dates=H","DateFormat=P","Fill=—","Direction=H","UseDPDF=Y")</f>
        <v>30631</v>
      </c>
      <c r="E91" s="12">
        <f>_xll.BDH("VZ US Equity","CF_CASH_FROM_OPER","FY 2015","FY 2015","Currency=USD","Period=FY","BEST_FPERIOD_OVERRIDE=FY","FILING_STATUS=MR","SCALING_FORMAT=MLN","Sort=A","Dates=H","DateFormat=P","Fill=—","Direction=H","UseDPDF=Y")</f>
        <v>39027</v>
      </c>
      <c r="F91" s="12">
        <f>_xll.BDH("VZ US Equity","CF_CASH_FROM_OPER","FY 2016","FY 2016","Currency=USD","Period=FY","BEST_FPERIOD_OVERRIDE=FY","FILING_STATUS=MR","SCALING_FORMAT=MLN","Sort=A","Dates=H","DateFormat=P","Fill=—","Direction=H","UseDPDF=Y")</f>
        <v>21689</v>
      </c>
      <c r="G91" s="12">
        <f>_xll.BDH("VZ US Equity","CF_CASH_FROM_OPER","FY 2017","FY 2017","Currency=USD","Period=FY","BEST_FPERIOD_OVERRIDE=FY","FILING_STATUS=MR","SCALING_FORMAT=MLN","Sort=A","Dates=H","DateFormat=P","Fill=—","Direction=H","UseDPDF=Y")</f>
        <v>24318</v>
      </c>
      <c r="H91" s="12">
        <f>_xll.BDH("VZ US Equity","CF_CASH_FROM_OPER","FY 2018","FY 2018","Currency=USD","Period=FY","BEST_FPERIOD_OVERRIDE=FY","FILING_STATUS=MR","SCALING_FORMAT=MLN","Sort=A","Dates=H","DateFormat=P","Fill=—","Direction=H","UseDPDF=Y")</f>
        <v>34339</v>
      </c>
      <c r="I91" s="12">
        <f>_xll.BDH("VZ US Equity","CF_CASH_FROM_OPER","FY 2019","FY 2019","Currency=USD","Period=FY","BEST_FPERIOD_OVERRIDE=FY","FILING_STATUS=MR","SCALING_FORMAT=MLN","Sort=A","Dates=H","DateFormat=P","Fill=—","Direction=H","UseDPDF=Y")</f>
        <v>35746</v>
      </c>
      <c r="J91" s="12">
        <f>_xll.BDH("VZ US Equity","CF_CASH_FROM_OPER","FY 2020","FY 2020","Currency=USD","Period=FY","BEST_FPERIOD_OVERRIDE=FY","FILING_STATUS=MR","SCALING_FORMAT=MLN","Sort=A","Dates=H","DateFormat=P","Fill=—","Direction=H","UseDPDF=Y")</f>
        <v>41768</v>
      </c>
      <c r="K91" s="12">
        <f>_xll.BDH("VZ US Equity","CF_CASH_FROM_OPER","FY 2021","FY 2021","Currency=USD","Period=FY","BEST_FPERIOD_OVERRIDE=FY","FILING_STATUS=MR","SCALING_FORMAT=MLN","Sort=A","Dates=H","DateFormat=P","Fill=—","Direction=H","UseDPDF=Y")</f>
        <v>39539</v>
      </c>
      <c r="L91" s="12">
        <f>_xll.BDH("VZ US Equity","CF_CASH_FROM_OPER","FY 2022","FY 2022","Currency=USD","Period=FY","BEST_FPERIOD_OVERRIDE=FY","FILING_STATUS=MR","SCALING_FORMAT=MLN","Sort=A","Dates=H","DateFormat=P","Fill=—","Direction=H","UseDPDF=Y")</f>
        <v>37141</v>
      </c>
    </row>
    <row r="92" spans="1:12">
      <c r="A92" s="10" t="s">
        <v>64</v>
      </c>
      <c r="B92" s="10" t="s">
        <v>65</v>
      </c>
      <c r="C92" s="12">
        <f>_xll.BDH("VZ US Equity","CF_CAP_EXPEND_PRPTY_ADD","FY 2013","FY 2013","Currency=USD","Period=FY","BEST_FPERIOD_OVERRIDE=FY","FILING_STATUS=MR","SCALING_FORMAT=MLN","Sort=A","Dates=H","DateFormat=P","Fill=—","Direction=H","UseDPDF=Y")</f>
        <v>-16604</v>
      </c>
      <c r="D92" s="12">
        <f>_xll.BDH("VZ US Equity","CF_CAP_EXPEND_PRPTY_ADD","FY 2014","FY 2014","Currency=USD","Period=FY","BEST_FPERIOD_OVERRIDE=FY","FILING_STATUS=MR","SCALING_FORMAT=MLN","Sort=A","Dates=H","DateFormat=P","Fill=—","Direction=H","UseDPDF=Y")</f>
        <v>-17191</v>
      </c>
      <c r="E92" s="12">
        <f>_xll.BDH("VZ US Equity","CF_CAP_EXPEND_PRPTY_ADD","FY 2015","FY 2015","Currency=USD","Period=FY","BEST_FPERIOD_OVERRIDE=FY","FILING_STATUS=MR","SCALING_FORMAT=MLN","Sort=A","Dates=H","DateFormat=P","Fill=—","Direction=H","UseDPDF=Y")</f>
        <v>-17775</v>
      </c>
      <c r="F92" s="12">
        <f>_xll.BDH("VZ US Equity","CF_CAP_EXPEND_PRPTY_ADD","FY 2016","FY 2016","Currency=USD","Period=FY","BEST_FPERIOD_OVERRIDE=FY","FILING_STATUS=MR","SCALING_FORMAT=MLN","Sort=A","Dates=H","DateFormat=P","Fill=—","Direction=H","UseDPDF=Y")</f>
        <v>-17059</v>
      </c>
      <c r="G92" s="12">
        <f>_xll.BDH("VZ US Equity","CF_CAP_EXPEND_PRPTY_ADD","FY 2017","FY 2017","Currency=USD","Period=FY","BEST_FPERIOD_OVERRIDE=FY","FILING_STATUS=MR","SCALING_FORMAT=MLN","Sort=A","Dates=H","DateFormat=P","Fill=—","Direction=H","UseDPDF=Y")</f>
        <v>-17247</v>
      </c>
      <c r="H92" s="12">
        <f>_xll.BDH("VZ US Equity","CF_CAP_EXPEND_PRPTY_ADD","FY 2018","FY 2018","Currency=USD","Period=FY","BEST_FPERIOD_OVERRIDE=FY","FILING_STATUS=MR","SCALING_FORMAT=MLN","Sort=A","Dates=H","DateFormat=P","Fill=—","Direction=H","UseDPDF=Y")</f>
        <v>-16658</v>
      </c>
      <c r="I92" s="12">
        <f>_xll.BDH("VZ US Equity","CF_CAP_EXPEND_PRPTY_ADD","FY 2019","FY 2019","Currency=USD","Period=FY","BEST_FPERIOD_OVERRIDE=FY","FILING_STATUS=MR","SCALING_FORMAT=MLN","Sort=A","Dates=H","DateFormat=P","Fill=—","Direction=H","UseDPDF=Y")</f>
        <v>-17939</v>
      </c>
      <c r="J92" s="12">
        <f>_xll.BDH("VZ US Equity","CF_CAP_EXPEND_PRPTY_ADD","FY 2020","FY 2020","Currency=USD","Period=FY","BEST_FPERIOD_OVERRIDE=FY","FILING_STATUS=MR","SCALING_FORMAT=MLN","Sort=A","Dates=H","DateFormat=P","Fill=—","Direction=H","UseDPDF=Y")</f>
        <v>-18192</v>
      </c>
      <c r="K92" s="12">
        <f>_xll.BDH("VZ US Equity","CF_CAP_EXPEND_PRPTY_ADD","FY 2021","FY 2021","Currency=USD","Period=FY","BEST_FPERIOD_OVERRIDE=FY","FILING_STATUS=MR","SCALING_FORMAT=MLN","Sort=A","Dates=H","DateFormat=P","Fill=—","Direction=H","UseDPDF=Y")</f>
        <v>-20286</v>
      </c>
      <c r="L92" s="12">
        <f>_xll.BDH("VZ US Equity","CF_CAP_EXPEND_PRPTY_ADD","FY 2022","FY 2022","Currency=USD","Period=FY","BEST_FPERIOD_OVERRIDE=FY","FILING_STATUS=MR","SCALING_FORMAT=MLN","Sort=A","Dates=H","DateFormat=P","Fill=—","Direction=H","UseDPDF=Y")</f>
        <v>-23087</v>
      </c>
    </row>
    <row r="93" spans="1:12">
      <c r="A93" s="10" t="s">
        <v>126</v>
      </c>
      <c r="B93" s="10" t="s">
        <v>127</v>
      </c>
      <c r="C93" s="12">
        <f>_xll.BDH("VZ US Equity","CF_FREE_CASH_FLOW","FY 2013","FY 2013","Currency=USD","Period=FY","BEST_FPERIOD_OVERRIDE=FY","FILING_STATUS=MR","SCALING_FORMAT=MLN","Sort=A","Dates=H","DateFormat=P","Fill=—","Direction=H","UseDPDF=Y")</f>
        <v>22214</v>
      </c>
      <c r="D93" s="12">
        <f>_xll.BDH("VZ US Equity","CF_FREE_CASH_FLOW","FY 2014","FY 2014","Currency=USD","Period=FY","BEST_FPERIOD_OVERRIDE=FY","FILING_STATUS=MR","SCALING_FORMAT=MLN","Sort=A","Dates=H","DateFormat=P","Fill=—","Direction=H","UseDPDF=Y")</f>
        <v>13440</v>
      </c>
      <c r="E93" s="12">
        <f>_xll.BDH("VZ US Equity","CF_FREE_CASH_FLOW","FY 2015","FY 2015","Currency=USD","Period=FY","BEST_FPERIOD_OVERRIDE=FY","FILING_STATUS=MR","SCALING_FORMAT=MLN","Sort=A","Dates=H","DateFormat=P","Fill=—","Direction=H","UseDPDF=Y")</f>
        <v>21252</v>
      </c>
      <c r="F93" s="12">
        <f>_xll.BDH("VZ US Equity","CF_FREE_CASH_FLOW","FY 2016","FY 2016","Currency=USD","Period=FY","BEST_FPERIOD_OVERRIDE=FY","FILING_STATUS=MR","SCALING_FORMAT=MLN","Sort=A","Dates=H","DateFormat=P","Fill=—","Direction=H","UseDPDF=Y")</f>
        <v>4630</v>
      </c>
      <c r="G93" s="12">
        <f>_xll.BDH("VZ US Equity","CF_FREE_CASH_FLOW","FY 2017","FY 2017","Currency=USD","Period=FY","BEST_FPERIOD_OVERRIDE=FY","FILING_STATUS=MR","SCALING_FORMAT=MLN","Sort=A","Dates=H","DateFormat=P","Fill=—","Direction=H","UseDPDF=Y")</f>
        <v>7071</v>
      </c>
      <c r="H93" s="12">
        <f>_xll.BDH("VZ US Equity","CF_FREE_CASH_FLOW","FY 2018","FY 2018","Currency=USD","Period=FY","BEST_FPERIOD_OVERRIDE=FY","FILING_STATUS=MR","SCALING_FORMAT=MLN","Sort=A","Dates=H","DateFormat=P","Fill=—","Direction=H","UseDPDF=Y")</f>
        <v>17681</v>
      </c>
      <c r="I93" s="12">
        <f>_xll.BDH("VZ US Equity","CF_FREE_CASH_FLOW","FY 2019","FY 2019","Currency=USD","Period=FY","BEST_FPERIOD_OVERRIDE=FY","FILING_STATUS=MR","SCALING_FORMAT=MLN","Sort=A","Dates=H","DateFormat=P","Fill=—","Direction=H","UseDPDF=Y")</f>
        <v>17807</v>
      </c>
      <c r="J93" s="12">
        <f>_xll.BDH("VZ US Equity","CF_FREE_CASH_FLOW","FY 2020","FY 2020","Currency=USD","Period=FY","BEST_FPERIOD_OVERRIDE=FY","FILING_STATUS=MR","SCALING_FORMAT=MLN","Sort=A","Dates=H","DateFormat=P","Fill=—","Direction=H","UseDPDF=Y")</f>
        <v>23576</v>
      </c>
      <c r="K93" s="12">
        <f>_xll.BDH("VZ US Equity","CF_FREE_CASH_FLOW","FY 2021","FY 2021","Currency=USD","Period=FY","BEST_FPERIOD_OVERRIDE=FY","FILING_STATUS=MR","SCALING_FORMAT=MLN","Sort=A","Dates=H","DateFormat=P","Fill=—","Direction=H","UseDPDF=Y")</f>
        <v>19253</v>
      </c>
      <c r="L93" s="12">
        <f>_xll.BDH("VZ US Equity","CF_FREE_CASH_FLOW","FY 2022","FY 2022","Currency=USD","Period=FY","BEST_FPERIOD_OVERRIDE=FY","FILING_STATUS=MR","SCALING_FORMAT=MLN","Sort=A","Dates=H","DateFormat=P","Fill=—","Direction=H","UseDPDF=Y")</f>
        <v>14054</v>
      </c>
    </row>
    <row r="94" spans="1:12">
      <c r="A94" s="10" t="s">
        <v>128</v>
      </c>
      <c r="B94" s="10" t="s">
        <v>129</v>
      </c>
      <c r="C94" s="13">
        <f>_xll.BDH("VZ US Equity","FCF_PER_DIL_SHR","FY 2013","FY 2013","Currency=USD","Period=FY","BEST_FPERIOD_OVERRIDE=FY","FILING_STATUS=MR","Sort=A","Dates=H","DateFormat=P","Fill=—","Direction=H","UseDPDF=Y")</f>
        <v>7.7293000000000003</v>
      </c>
      <c r="D94" s="13">
        <f>_xll.BDH("VZ US Equity","FCF_PER_DIL_SHR","FY 2014","FY 2014","Currency=USD","Period=FY","BEST_FPERIOD_OVERRIDE=FY","FILING_STATUS=MR","Sort=A","Dates=H","DateFormat=P","Fill=—","Direction=H","UseDPDF=Y")</f>
        <v>3.3759999999999999</v>
      </c>
      <c r="E94" s="13">
        <f>_xll.BDH("VZ US Equity","FCF_PER_DIL_SHR","FY 2015","FY 2015","Currency=USD","Period=FY","BEST_FPERIOD_OVERRIDE=FY","FILING_STATUS=MR","Sort=A","Dates=H","DateFormat=P","Fill=—","Direction=H","UseDPDF=Y")</f>
        <v>5.1923000000000004</v>
      </c>
      <c r="F94" s="13">
        <f>_xll.BDH("VZ US Equity","FCF_PER_DIL_SHR","FY 2016","FY 2016","Currency=USD","Period=FY","BEST_FPERIOD_OVERRIDE=FY","FILING_STATUS=MR","Sort=A","Dates=H","DateFormat=P","Fill=—","Direction=H","UseDPDF=Y")</f>
        <v>1.1331</v>
      </c>
      <c r="G94" s="13">
        <f>_xll.BDH("VZ US Equity","FCF_PER_DIL_SHR","FY 2017","FY 2017","Currency=USD","Period=FY","BEST_FPERIOD_OVERRIDE=FY","FILING_STATUS=MR","Sort=A","Dates=H","DateFormat=P","Fill=—","Direction=H","UseDPDF=Y")</f>
        <v>1.7293000000000001</v>
      </c>
      <c r="H94" s="13">
        <f>_xll.BDH("VZ US Equity","FCF_PER_DIL_SHR","FY 2018","FY 2018","Currency=USD","Period=FY","BEST_FPERIOD_OVERRIDE=FY","FILING_STATUS=MR","Sort=A","Dates=H","DateFormat=P","Fill=—","Direction=H","UseDPDF=Y")</f>
        <v>4.2789999999999999</v>
      </c>
      <c r="I94" s="13">
        <f>_xll.BDH("VZ US Equity","FCF_PER_DIL_SHR","FY 2019","FY 2019","Currency=USD","Period=FY","BEST_FPERIOD_OVERRIDE=FY","FILING_STATUS=MR","Sort=A","Dates=H","DateFormat=P","Fill=—","Direction=H","UseDPDF=Y")</f>
        <v>4.3011999999999997</v>
      </c>
      <c r="J94" s="13">
        <f>_xll.BDH("VZ US Equity","FCF_PER_DIL_SHR","FY 2020","FY 2020","Currency=USD","Period=FY","BEST_FPERIOD_OVERRIDE=FY","FILING_STATUS=MR","Sort=A","Dates=H","DateFormat=P","Fill=—","Direction=H","UseDPDF=Y")</f>
        <v>5.6919000000000004</v>
      </c>
      <c r="K94" s="13">
        <f>_xll.BDH("VZ US Equity","FCF_PER_DIL_SHR","FY 2021","FY 2021","Currency=USD","Period=FY","BEST_FPERIOD_OVERRIDE=FY","FILING_STATUS=MR","Sort=A","Dates=H","DateFormat=P","Fill=—","Direction=H","UseDPDF=Y")</f>
        <v>4.6393000000000004</v>
      </c>
      <c r="L94" s="13">
        <f>_xll.BDH("VZ US Equity","FCF_PER_DIL_SHR","FY 2022","FY 2022","Currency=USD","Period=FY","BEST_FPERIOD_OVERRIDE=FY","FILING_STATUS=MR","Sort=A","Dates=H","DateFormat=P","Fill=—","Direction=H","UseDPDF=Y")</f>
        <v>3.343</v>
      </c>
    </row>
    <row r="95" spans="1:1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>
      <c r="A96" s="6" t="s">
        <v>130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1:12">
      <c r="A97" s="10" t="s">
        <v>131</v>
      </c>
      <c r="B97" s="10" t="s">
        <v>132</v>
      </c>
      <c r="C97" s="13" t="str">
        <f>_xll.BDH("VZ US Equity","AVG_MONTHLY_REV_PER_CUSTOMER","FY 2013","FY 2013","Currency=USD","Period=FY","BEST_FPERIOD_OVERRIDE=FY","FILING_STATUS=MR","Sort=A","Dates=H","DateFormat=P","Fill=—","Direction=H","UseDPDF=Y")</f>
        <v>—</v>
      </c>
      <c r="D97" s="13">
        <f>_xll.BDH("VZ US Equity","AVG_MONTHLY_REV_PER_CUSTOMER","FY 2014","FY 2014","Currency=USD","Period=FY","BEST_FPERIOD_OVERRIDE=FY","FILING_STATUS=MR","Sort=A","Dates=H","DateFormat=P","Fill=—","Direction=H","UseDPDF=Y")</f>
        <v>229.47</v>
      </c>
      <c r="E97" s="13" t="str">
        <f>_xll.BDH("VZ US Equity","AVG_MONTHLY_REV_PER_CUSTOMER","FY 2015","FY 2015","Currency=USD","Period=FY","BEST_FPERIOD_OVERRIDE=FY","FILING_STATUS=MR","Sort=A","Dates=H","DateFormat=P","Fill=—","Direction=H","UseDPDF=Y")</f>
        <v>—</v>
      </c>
      <c r="F97" s="13" t="str">
        <f>_xll.BDH("VZ US Equity","AVG_MONTHLY_REV_PER_CUSTOMER","FY 2016","FY 2016","Currency=USD","Period=FY","BEST_FPERIOD_OVERRIDE=FY","FILING_STATUS=MR","Sort=A","Dates=H","DateFormat=P","Fill=—","Direction=H","UseDPDF=Y")</f>
        <v>—</v>
      </c>
      <c r="G97" s="13" t="str">
        <f>_xll.BDH("VZ US Equity","AVG_MONTHLY_REV_PER_CUSTOMER","FY 2017","FY 2017","Currency=USD","Period=FY","BEST_FPERIOD_OVERRIDE=FY","FILING_STATUS=MR","Sort=A","Dates=H","DateFormat=P","Fill=—","Direction=H","UseDPDF=Y")</f>
        <v>—</v>
      </c>
      <c r="H97" s="13" t="str">
        <f>_xll.BDH("VZ US Equity","AVG_MONTHLY_REV_PER_CUSTOMER","FY 2018","FY 2018","Currency=USD","Period=FY","BEST_FPERIOD_OVERRIDE=FY","FILING_STATUS=MR","Sort=A","Dates=H","DateFormat=P","Fill=—","Direction=H","UseDPDF=Y")</f>
        <v>—</v>
      </c>
      <c r="I97" s="13" t="str">
        <f>_xll.BDH("VZ US Equity","AVG_MONTHLY_REV_PER_CUSTOMER","FY 2019","FY 2019","Currency=USD","Period=FY","BEST_FPERIOD_OVERRIDE=FY","FILING_STATUS=MR","Sort=A","Dates=H","DateFormat=P","Fill=—","Direction=H","UseDPDF=Y")</f>
        <v>—</v>
      </c>
      <c r="J97" s="13" t="str">
        <f>_xll.BDH("VZ US Equity","AVG_MONTHLY_REV_PER_CUSTOMER","FY 2020","FY 2020","Currency=USD","Period=FY","BEST_FPERIOD_OVERRIDE=FY","FILING_STATUS=MR","Sort=A","Dates=H","DateFormat=P","Fill=—","Direction=H","UseDPDF=Y")</f>
        <v>—</v>
      </c>
      <c r="K97" s="13" t="str">
        <f>_xll.BDH("VZ US Equity","AVG_MONTHLY_REV_PER_CUSTOMER","FY 2021","FY 2021","Currency=USD","Period=FY","BEST_FPERIOD_OVERRIDE=FY","FILING_STATUS=MR","Sort=A","Dates=H","DateFormat=P","Fill=—","Direction=H","UseDPDF=Y")</f>
        <v>—</v>
      </c>
      <c r="L97" s="13" t="str">
        <f>_xll.BDH("VZ US Equity","AVG_MONTHLY_REV_PER_CUSTOMER","FY 2022","FY 2022","Currency=USD","Period=FY","BEST_FPERIOD_OVERRIDE=FY","FILING_STATUS=MR","Sort=A","Dates=H","DateFormat=P","Fill=—","Direction=H","UseDPDF=Y")</f>
        <v>—</v>
      </c>
    </row>
    <row r="98" spans="1:12">
      <c r="A98" s="10" t="s">
        <v>133</v>
      </c>
      <c r="B98" s="10" t="s">
        <v>134</v>
      </c>
      <c r="C98" s="13" t="str">
        <f>_xll.BDH("VZ US Equity","TOTAL_MONTHLY_CHURN_RATE","FY 2013","FY 2013","Currency=USD","Period=FY","BEST_FPERIOD_OVERRIDE=FY","FILING_STATUS=MR","Sort=A","Dates=H","DateFormat=P","Fill=—","Direction=H","UseDPDF=Y")</f>
        <v>—</v>
      </c>
      <c r="D98" s="13" t="str">
        <f>_xll.BDH("VZ US Equity","TOTAL_MONTHLY_CHURN_RATE","FY 2014","FY 2014","Currency=USD","Period=FY","BEST_FPERIOD_OVERRIDE=FY","FILING_STATUS=MR","Sort=A","Dates=H","DateFormat=P","Fill=—","Direction=H","UseDPDF=Y")</f>
        <v>—</v>
      </c>
      <c r="E98" s="13" t="str">
        <f>_xll.BDH("VZ US Equity","TOTAL_MONTHLY_CHURN_RATE","FY 2015","FY 2015","Currency=USD","Period=FY","BEST_FPERIOD_OVERRIDE=FY","FILING_STATUS=MR","Sort=A","Dates=H","DateFormat=P","Fill=—","Direction=H","UseDPDF=Y")</f>
        <v>—</v>
      </c>
      <c r="F98" s="13" t="str">
        <f>_xll.BDH("VZ US Equity","TOTAL_MONTHLY_CHURN_RATE","FY 2016","FY 2016","Currency=USD","Period=FY","BEST_FPERIOD_OVERRIDE=FY","FILING_STATUS=MR","Sort=A","Dates=H","DateFormat=P","Fill=—","Direction=H","UseDPDF=Y")</f>
        <v>—</v>
      </c>
      <c r="G98" s="13" t="str">
        <f>_xll.BDH("VZ US Equity","TOTAL_MONTHLY_CHURN_RATE","FY 2017","FY 2017","Currency=USD","Period=FY","BEST_FPERIOD_OVERRIDE=FY","FILING_STATUS=MR","Sort=A","Dates=H","DateFormat=P","Fill=—","Direction=H","UseDPDF=Y")</f>
        <v>—</v>
      </c>
      <c r="H98" s="13" t="str">
        <f>_xll.BDH("VZ US Equity","TOTAL_MONTHLY_CHURN_RATE","FY 2018","FY 2018","Currency=USD","Period=FY","BEST_FPERIOD_OVERRIDE=FY","FILING_STATUS=MR","Sort=A","Dates=H","DateFormat=P","Fill=—","Direction=H","UseDPDF=Y")</f>
        <v>—</v>
      </c>
      <c r="I98" s="13">
        <f>_xll.BDH("VZ US Equity","TOTAL_MONTHLY_CHURN_RATE","FY 2019","FY 2019","Currency=USD","Period=FY","BEST_FPERIOD_OVERRIDE=FY","FILING_STATUS=MR","Sort=A","Dates=H","DateFormat=P","Fill=—","Direction=H","UseDPDF=Y")</f>
        <v>1.28</v>
      </c>
      <c r="J98" s="13">
        <f>_xll.BDH("VZ US Equity","TOTAL_MONTHLY_CHURN_RATE","FY 2020","FY 2020","Currency=USD","Period=FY","BEST_FPERIOD_OVERRIDE=FY","FILING_STATUS=MR","Sort=A","Dates=H","DateFormat=P","Fill=—","Direction=H","UseDPDF=Y")</f>
        <v>1.03</v>
      </c>
      <c r="K98" s="13">
        <f>_xll.BDH("VZ US Equity","TOTAL_MONTHLY_CHURN_RATE","FY 2021","FY 2021","Currency=USD","Period=FY","BEST_FPERIOD_OVERRIDE=FY","FILING_STATUS=MR","Sort=A","Dates=H","DateFormat=P","Fill=—","Direction=H","UseDPDF=Y")</f>
        <v>1.1000000000000001</v>
      </c>
      <c r="L98" s="13">
        <f>_xll.BDH("VZ US Equity","TOTAL_MONTHLY_CHURN_RATE","FY 2022","FY 2022","Currency=USD","Period=FY","BEST_FPERIOD_OVERRIDE=FY","FILING_STATUS=MR","Sort=A","Dates=H","DateFormat=P","Fill=—","Direction=H","UseDPDF=Y")</f>
        <v>1.63</v>
      </c>
    </row>
    <row r="99" spans="1:12">
      <c r="A99" s="10" t="s">
        <v>135</v>
      </c>
      <c r="B99" s="10" t="s">
        <v>136</v>
      </c>
      <c r="C99" s="12">
        <f>_xll.BDH("VZ US Equity","WIRELINE_SERVICE_REVENUE","FY 2013","FY 2013","Currency=USD","Period=FY","BEST_FPERIOD_OVERRIDE=FY","FILING_STATUS=MR","SCALING_FORMAT=MLN","Sort=A","Dates=H","DateFormat=P","Fill=—","Direction=H","UseDPDF=Y")</f>
        <v>38745</v>
      </c>
      <c r="D99" s="12">
        <f>_xll.BDH("VZ US Equity","WIRELINE_SERVICE_REVENUE","FY 2014","FY 2014","Currency=USD","Period=FY","BEST_FPERIOD_OVERRIDE=FY","FILING_STATUS=MR","SCALING_FORMAT=MLN","Sort=A","Dates=H","DateFormat=P","Fill=—","Direction=H","UseDPDF=Y")</f>
        <v>37953</v>
      </c>
      <c r="E99" s="12">
        <f>_xll.BDH("VZ US Equity","WIRELINE_SERVICE_REVENUE","FY 2015","FY 2015","Currency=USD","Period=FY","BEST_FPERIOD_OVERRIDE=FY","FILING_STATUS=MR","SCALING_FORMAT=MLN","Sort=A","Dates=H","DateFormat=P","Fill=—","Direction=H","UseDPDF=Y")</f>
        <v>31753</v>
      </c>
      <c r="F99" s="12">
        <f>_xll.BDH("VZ US Equity","WIRELINE_SERVICE_REVENUE","FY 2016","FY 2016","Currency=USD","Period=FY","BEST_FPERIOD_OVERRIDE=FY","FILING_STATUS=MR","SCALING_FORMAT=MLN","Sort=A","Dates=H","DateFormat=P","Fill=—","Direction=H","UseDPDF=Y")</f>
        <v>30510</v>
      </c>
      <c r="G99" s="12">
        <f>_xll.BDH("VZ US Equity","WIRELINE_SERVICE_REVENUE","FY 2017","FY 2017","Currency=USD","Period=FY","BEST_FPERIOD_OVERRIDE=FY","FILING_STATUS=MR","SCALING_FORMAT=MLN","Sort=A","Dates=H","DateFormat=P","Fill=—","Direction=H","UseDPDF=Y")</f>
        <v>30680</v>
      </c>
      <c r="H99" s="12">
        <f>_xll.BDH("VZ US Equity","WIRELINE_SERVICE_REVENUE","FY 2018","FY 2018","Currency=USD","Period=FY","BEST_FPERIOD_OVERRIDE=FY","FILING_STATUS=MR","SCALING_FORMAT=MLN","Sort=A","Dates=H","DateFormat=P","Fill=—","Direction=H","UseDPDF=Y")</f>
        <v>29760</v>
      </c>
      <c r="I99" s="12">
        <f>_xll.BDH("VZ US Equity","WIRELINE_SERVICE_REVENUE","FY 2019","FY 2019","Currency=USD","Period=FY","BEST_FPERIOD_OVERRIDE=FY","FILING_STATUS=MR","SCALING_FORMAT=MLN","Sort=A","Dates=H","DateFormat=P","Fill=—","Direction=H","UseDPDF=Y")</f>
        <v>28557</v>
      </c>
      <c r="J99" s="12">
        <f>_xll.BDH("VZ US Equity","WIRELINE_SERVICE_REVENUE","FY 2020","FY 2020","Currency=USD","Period=FY","BEST_FPERIOD_OVERRIDE=FY","FILING_STATUS=MR","SCALING_FORMAT=MLN","Sort=A","Dates=H","DateFormat=P","Fill=—","Direction=H","UseDPDF=Y")</f>
        <v>30962</v>
      </c>
      <c r="K99" s="12">
        <f>_xll.BDH("VZ US Equity","WIRELINE_SERVICE_REVENUE","FY 2021","FY 2021","Currency=USD","Period=FY","BEST_FPERIOD_OVERRIDE=FY","FILING_STATUS=MR","SCALING_FORMAT=MLN","Sort=A","Dates=H","DateFormat=P","Fill=—","Direction=H","UseDPDF=Y")</f>
        <v>31042</v>
      </c>
      <c r="L99" s="12">
        <f>_xll.BDH("VZ US Equity","WIRELINE_SERVICE_REVENUE","FY 2022","FY 2022","Currency=USD","Period=FY","BEST_FPERIOD_OVERRIDE=FY","FILING_STATUS=MR","SCALING_FORMAT=MLN","Sort=A","Dates=H","DateFormat=P","Fill=—","Direction=H","UseDPDF=Y")</f>
        <v>31072</v>
      </c>
    </row>
    <row r="100" spans="1:12">
      <c r="A100" s="10" t="s">
        <v>137</v>
      </c>
      <c r="B100" s="10" t="s">
        <v>138</v>
      </c>
      <c r="C100" s="13">
        <f>_xll.BDH("VZ US Equity","ARPU_AVG_REVENUE_PER_SUBSCRIBER","FY 2013","FY 2013","Currency=USD","Period=FY","BEST_FPERIOD_OVERRIDE=FY","FILING_STATUS=MR","Sort=A","Dates=H","DateFormat=P","Fill=—","Direction=H","UseDPDF=Y")</f>
        <v>111.96</v>
      </c>
      <c r="D100" s="13">
        <f>_xll.BDH("VZ US Equity","ARPU_AVG_REVENUE_PER_SUBSCRIBER","FY 2014","FY 2014","Currency=USD","Period=FY","BEST_FPERIOD_OVERRIDE=FY","FILING_STATUS=MR","Sort=A","Dates=H","DateFormat=P","Fill=—","Direction=H","UseDPDF=Y")</f>
        <v>124.11</v>
      </c>
      <c r="E100" s="13">
        <f>_xll.BDH("VZ US Equity","ARPU_AVG_REVENUE_PER_SUBSCRIBER","FY 2015","FY 2015","Currency=USD","Period=FY","BEST_FPERIOD_OVERRIDE=FY","FILING_STATUS=MR","Sort=A","Dates=H","DateFormat=P","Fill=—","Direction=H","UseDPDF=Y")</f>
        <v>170.95400000000001</v>
      </c>
      <c r="F100" s="13">
        <f>_xll.BDH("VZ US Equity","ARPU_AVG_REVENUE_PER_SUBSCRIBER","FY 2016","FY 2016","Currency=USD","Period=FY","BEST_FPERIOD_OVERRIDE=FY","FILING_STATUS=MR","Sort=A","Dates=H","DateFormat=P","Fill=—","Direction=H","UseDPDF=Y")</f>
        <v>182.4</v>
      </c>
      <c r="G100" s="13">
        <f>_xll.BDH("VZ US Equity","ARPU_AVG_REVENUE_PER_SUBSCRIBER","FY 2017","FY 2017","Currency=USD","Period=FY","BEST_FPERIOD_OVERRIDE=FY","FILING_STATUS=MR","Sort=A","Dates=H","DateFormat=P","Fill=—","Direction=H","UseDPDF=Y")</f>
        <v>199.41</v>
      </c>
      <c r="H100" s="13">
        <f>_xll.BDH("VZ US Equity","ARPU_AVG_REVENUE_PER_SUBSCRIBER","FY 2018","FY 2018","Currency=USD","Period=FY","BEST_FPERIOD_OVERRIDE=FY","FILING_STATUS=MR","Sort=A","Dates=H","DateFormat=P","Fill=—","Direction=H","UseDPDF=Y")</f>
        <v>211.39</v>
      </c>
      <c r="I100" s="13">
        <f>_xll.BDH("VZ US Equity","ARPU_AVG_REVENUE_PER_SUBSCRIBER","FY 2019","FY 2019","Currency=USD","Period=FY","BEST_FPERIOD_OVERRIDE=FY","FILING_STATUS=MR","Sort=A","Dates=H","DateFormat=P","Fill=—","Direction=H","UseDPDF=Y")</f>
        <v>222.137</v>
      </c>
      <c r="J100" s="13" t="str">
        <f>_xll.BDH("VZ US Equity","ARPU_AVG_REVENUE_PER_SUBSCRIBER","FY 2020","FY 2020","Currency=USD","Period=FY","BEST_FPERIOD_OVERRIDE=FY","FILING_STATUS=MR","Sort=A","Dates=H","DateFormat=P","Fill=—","Direction=H","UseDPDF=Y")</f>
        <v>—</v>
      </c>
      <c r="K100" s="13" t="str">
        <f>_xll.BDH("VZ US Equity","ARPU_AVG_REVENUE_PER_SUBSCRIBER","FY 2021","FY 2021","Currency=USD","Period=FY","BEST_FPERIOD_OVERRIDE=FY","FILING_STATUS=MR","Sort=A","Dates=H","DateFormat=P","Fill=—","Direction=H","UseDPDF=Y")</f>
        <v>—</v>
      </c>
      <c r="L100" s="13" t="str">
        <f>_xll.BDH("VZ US Equity","ARPU_AVG_REVENUE_PER_SUBSCRIBER","FY 2022","FY 2022","Currency=USD","Period=FY","BEST_FPERIOD_OVERRIDE=FY","FILING_STATUS=MR","Sort=A","Dates=H","DateFormat=P","Fill=—","Direction=H","UseDPDF=Y")</f>
        <v>—</v>
      </c>
    </row>
    <row r="101" spans="1:12">
      <c r="A101" s="10" t="s">
        <v>139</v>
      </c>
      <c r="B101" s="10" t="s">
        <v>140</v>
      </c>
      <c r="C101" s="12">
        <f>_xll.BDH("VZ US Equity","TOTAL_CABLE_HOMES_PASSED","FY 2013","FY 2013","Currency=USD","Period=FY","BEST_FPERIOD_OVERRIDE=FY","FILING_STATUS=MR","Sort=A","Dates=H","DateFormat=P","Fill=—","Direction=H","UseDPDF=Y")</f>
        <v>15.022</v>
      </c>
      <c r="D101" s="12">
        <f>_xll.BDH("VZ US Equity","TOTAL_CABLE_HOMES_PASSED","FY 2014","FY 2014","Currency=USD","Period=FY","BEST_FPERIOD_OVERRIDE=FY","FILING_STATUS=MR","Sort=A","Dates=H","DateFormat=P","Fill=—","Direction=H","UseDPDF=Y")</f>
        <v>15.776</v>
      </c>
      <c r="E101" s="12">
        <f>_xll.BDH("VZ US Equity","TOTAL_CABLE_HOMES_PASSED","FY 2015","FY 2015","Currency=USD","Period=FY","BEST_FPERIOD_OVERRIDE=FY","FILING_STATUS=MR","Sort=A","Dates=H","DateFormat=P","Fill=—","Direction=H","UseDPDF=Y")</f>
        <v>16.492000000000001</v>
      </c>
      <c r="F101" s="12">
        <f>_xll.BDH("VZ US Equity","TOTAL_CABLE_HOMES_PASSED","FY 2016","FY 2016","Currency=USD","Period=FY","BEST_FPERIOD_OVERRIDE=FY","FILING_STATUS=MR","Sort=A","Dates=H","DateFormat=P","Fill=—","Direction=H","UseDPDF=Y")</f>
        <v>13.693</v>
      </c>
      <c r="G101" s="12">
        <f>_xll.BDH("VZ US Equity","TOTAL_CABLE_HOMES_PASSED","FY 2017","FY 2017","Currency=USD","Period=FY","BEST_FPERIOD_OVERRIDE=FY","FILING_STATUS=MR","Sort=A","Dates=H","DateFormat=P","Fill=—","Direction=H","UseDPDF=Y")</f>
        <v>14.287000000000001</v>
      </c>
      <c r="H101" s="12" t="str">
        <f>_xll.BDH("VZ US Equity","TOTAL_CABLE_HOMES_PASSED","FY 2018","FY 2018","Currency=USD","Period=FY","BEST_FPERIOD_OVERRIDE=FY","FILING_STATUS=MR","Sort=A","Dates=H","DateFormat=P","Fill=—","Direction=H","UseDPDF=Y")</f>
        <v>—</v>
      </c>
      <c r="I101" s="12" t="str">
        <f>_xll.BDH("VZ US Equity","TOTAL_CABLE_HOMES_PASSED","FY 2019","FY 2019","Currency=USD","Period=FY","BEST_FPERIOD_OVERRIDE=FY","FILING_STATUS=MR","Sort=A","Dates=H","DateFormat=P","Fill=—","Direction=H","UseDPDF=Y")</f>
        <v>—</v>
      </c>
      <c r="J101" s="12" t="str">
        <f>_xll.BDH("VZ US Equity","TOTAL_CABLE_HOMES_PASSED","FY 2020","FY 2020","Currency=USD","Period=FY","BEST_FPERIOD_OVERRIDE=FY","FILING_STATUS=MR","Sort=A","Dates=H","DateFormat=P","Fill=—","Direction=H","UseDPDF=Y")</f>
        <v>—</v>
      </c>
      <c r="K101" s="12" t="str">
        <f>_xll.BDH("VZ US Equity","TOTAL_CABLE_HOMES_PASSED","FY 2021","FY 2021","Currency=USD","Period=FY","BEST_FPERIOD_OVERRIDE=FY","FILING_STATUS=MR","Sort=A","Dates=H","DateFormat=P","Fill=—","Direction=H","UseDPDF=Y")</f>
        <v>—</v>
      </c>
      <c r="L101" s="12" t="str">
        <f>_xll.BDH("VZ US Equity","TOTAL_CABLE_HOMES_PASSED","FY 2022","FY 2022","Currency=USD","Period=FY","BEST_FPERIOD_OVERRIDE=FY","FILING_STATUS=MR","Sort=A","Dates=H","DateFormat=P","Fill=—","Direction=H","UseDPDF=Y")</f>
        <v>—</v>
      </c>
    </row>
    <row r="102" spans="1:12">
      <c r="A102" s="10" t="s">
        <v>141</v>
      </c>
      <c r="B102" s="10" t="s">
        <v>142</v>
      </c>
      <c r="C102" s="12">
        <f>_xll.BDH("VZ US Equity","INTERNET_ACCESS_HOMES_PASSED","FY 2013","FY 2013","Currency=USD","Period=FY","BEST_FPERIOD_OVERRIDE=FY","FILING_STATUS=MR","Sort=A","Dates=H","DateFormat=P","Fill=—","Direction=H","UseDPDF=Y")</f>
        <v>15.368</v>
      </c>
      <c r="D102" s="12">
        <f>_xll.BDH("VZ US Equity","INTERNET_ACCESS_HOMES_PASSED","FY 2014","FY 2014","Currency=USD","Period=FY","BEST_FPERIOD_OVERRIDE=FY","FILING_STATUS=MR","Sort=A","Dates=H","DateFormat=P","Fill=—","Direction=H","UseDPDF=Y")</f>
        <v>16.109000000000002</v>
      </c>
      <c r="E102" s="12">
        <f>_xll.BDH("VZ US Equity","INTERNET_ACCESS_HOMES_PASSED","FY 2015","FY 2015","Currency=USD","Period=FY","BEST_FPERIOD_OVERRIDE=FY","FILING_STATUS=MR","Sort=A","Dates=H","DateFormat=P","Fill=—","Direction=H","UseDPDF=Y")</f>
        <v>16.832000000000001</v>
      </c>
      <c r="F102" s="12">
        <f>_xll.BDH("VZ US Equity","INTERNET_ACCESS_HOMES_PASSED","FY 2016","FY 2016","Currency=USD","Period=FY","BEST_FPERIOD_OVERRIDE=FY","FILING_STATUS=MR","Sort=A","Dates=H","DateFormat=P","Fill=—","Direction=H","UseDPDF=Y")</f>
        <v>13.981999999999999</v>
      </c>
      <c r="G102" s="12">
        <f>_xll.BDH("VZ US Equity","INTERNET_ACCESS_HOMES_PASSED","FY 2017","FY 2017","Currency=USD","Period=FY","BEST_FPERIOD_OVERRIDE=FY","FILING_STATUS=MR","Sort=A","Dates=H","DateFormat=P","Fill=—","Direction=H","UseDPDF=Y")</f>
        <v>14.582000000000001</v>
      </c>
      <c r="H102" s="12" t="str">
        <f>_xll.BDH("VZ US Equity","INTERNET_ACCESS_HOMES_PASSED","FY 2018","FY 2018","Currency=USD","Period=FY","BEST_FPERIOD_OVERRIDE=FY","FILING_STATUS=MR","Sort=A","Dates=H","DateFormat=P","Fill=—","Direction=H","UseDPDF=Y")</f>
        <v>—</v>
      </c>
      <c r="I102" s="12" t="str">
        <f>_xll.BDH("VZ US Equity","INTERNET_ACCESS_HOMES_PASSED","FY 2019","FY 2019","Currency=USD","Period=FY","BEST_FPERIOD_OVERRIDE=FY","FILING_STATUS=MR","Sort=A","Dates=H","DateFormat=P","Fill=—","Direction=H","UseDPDF=Y")</f>
        <v>—</v>
      </c>
      <c r="J102" s="12" t="str">
        <f>_xll.BDH("VZ US Equity","INTERNET_ACCESS_HOMES_PASSED","FY 2020","FY 2020","Currency=USD","Period=FY","BEST_FPERIOD_OVERRIDE=FY","FILING_STATUS=MR","Sort=A","Dates=H","DateFormat=P","Fill=—","Direction=H","UseDPDF=Y")</f>
        <v>—</v>
      </c>
      <c r="K102" s="12" t="str">
        <f>_xll.BDH("VZ US Equity","INTERNET_ACCESS_HOMES_PASSED","FY 2021","FY 2021","Currency=USD","Period=FY","BEST_FPERIOD_OVERRIDE=FY","FILING_STATUS=MR","Sort=A","Dates=H","DateFormat=P","Fill=—","Direction=H","UseDPDF=Y")</f>
        <v>—</v>
      </c>
      <c r="L102" s="12" t="str">
        <f>_xll.BDH("VZ US Equity","INTERNET_ACCESS_HOMES_PASSED","FY 2022","FY 2022","Currency=USD","Period=FY","BEST_FPERIOD_OVERRIDE=FY","FILING_STATUS=MR","Sort=A","Dates=H","DateFormat=P","Fill=—","Direction=H","UseDPDF=Y")</f>
        <v>—</v>
      </c>
    </row>
    <row r="103" spans="1:12">
      <c r="A103" s="10" t="s">
        <v>143</v>
      </c>
      <c r="B103" s="10" t="s">
        <v>144</v>
      </c>
      <c r="C103" s="13">
        <f>_xll.BDH("VZ US Equity","INTERNET_PENETRATION","FY 2013","FY 2013","Currency=USD","Period=FY","BEST_FPERIOD_OVERRIDE=FY","FILING_STATUS=MR","Sort=A","Dates=H","DateFormat=P","Fill=—","Direction=H","UseDPDF=Y")</f>
        <v>39.5</v>
      </c>
      <c r="D103" s="13">
        <f>_xll.BDH("VZ US Equity","INTERNET_PENETRATION","FY 2014","FY 2014","Currency=USD","Period=FY","BEST_FPERIOD_OVERRIDE=FY","FILING_STATUS=MR","Sort=A","Dates=H","DateFormat=P","Fill=—","Direction=H","UseDPDF=Y")</f>
        <v>41.1</v>
      </c>
      <c r="E103" s="13">
        <f>_xll.BDH("VZ US Equity","INTERNET_PENETRATION","FY 2015","FY 2015","Currency=USD","Period=FY","BEST_FPERIOD_OVERRIDE=FY","FILING_STATUS=MR","Sort=A","Dates=H","DateFormat=P","Fill=—","Direction=H","UseDPDF=Y")</f>
        <v>41.8</v>
      </c>
      <c r="F103" s="13">
        <f>_xll.BDH("VZ US Equity","INTERNET_PENETRATION","FY 2016","FY 2016","Currency=USD","Period=FY","BEST_FPERIOD_OVERRIDE=FY","FILING_STATUS=MR","Sort=A","Dates=H","DateFormat=P","Fill=—","Direction=H","UseDPDF=Y")</f>
        <v>40.4</v>
      </c>
      <c r="G103" s="13">
        <f>_xll.BDH("VZ US Equity","INTERNET_PENETRATION","FY 2017","FY 2017","Currency=USD","Period=FY","BEST_FPERIOD_OVERRIDE=FY","FILING_STATUS=MR","Sort=A","Dates=H","DateFormat=P","Fill=—","Direction=H","UseDPDF=Y")</f>
        <v>40.1</v>
      </c>
      <c r="H103" s="13" t="str">
        <f>_xll.BDH("VZ US Equity","INTERNET_PENETRATION","FY 2018","FY 2018","Currency=USD","Period=FY","BEST_FPERIOD_OVERRIDE=FY","FILING_STATUS=MR","Sort=A","Dates=H","DateFormat=P","Fill=—","Direction=H","UseDPDF=Y")</f>
        <v>—</v>
      </c>
      <c r="I103" s="13" t="str">
        <f>_xll.BDH("VZ US Equity","INTERNET_PENETRATION","FY 2019","FY 2019","Currency=USD","Period=FY","BEST_FPERIOD_OVERRIDE=FY","FILING_STATUS=MR","Sort=A","Dates=H","DateFormat=P","Fill=—","Direction=H","UseDPDF=Y")</f>
        <v>—</v>
      </c>
      <c r="J103" s="13" t="str">
        <f>_xll.BDH("VZ US Equity","INTERNET_PENETRATION","FY 2020","FY 2020","Currency=USD","Period=FY","BEST_FPERIOD_OVERRIDE=FY","FILING_STATUS=MR","Sort=A","Dates=H","DateFormat=P","Fill=—","Direction=H","UseDPDF=Y")</f>
        <v>—</v>
      </c>
      <c r="K103" s="13" t="str">
        <f>_xll.BDH("VZ US Equity","INTERNET_PENETRATION","FY 2021","FY 2021","Currency=USD","Period=FY","BEST_FPERIOD_OVERRIDE=FY","FILING_STATUS=MR","Sort=A","Dates=H","DateFormat=P","Fill=—","Direction=H","UseDPDF=Y")</f>
        <v>—</v>
      </c>
      <c r="L103" s="13" t="str">
        <f>_xll.BDH("VZ US Equity","INTERNET_PENETRATION","FY 2022","FY 2022","Currency=USD","Period=FY","BEST_FPERIOD_OVERRIDE=FY","FILING_STATUS=MR","Sort=A","Dates=H","DateFormat=P","Fill=—","Direction=H","UseDPDF=Y")</f>
        <v>—</v>
      </c>
    </row>
    <row r="104" spans="1:12">
      <c r="A104" s="10" t="s">
        <v>145</v>
      </c>
      <c r="B104" s="10" t="s">
        <v>146</v>
      </c>
      <c r="C104" s="12">
        <f>_xll.BDH("VZ US Equity","INTERNET_DATA_SUBSCRIBER_ADDS","FY 2013","FY 2013","Currency=USD","Period=FY","BEST_FPERIOD_OVERRIDE=FY","FILING_STATUS=MR","Sort=A","Dates=H","DateFormat=P","Fill=—","Direction=H","UseDPDF=Y")</f>
        <v>0.22</v>
      </c>
      <c r="D104" s="12">
        <f>_xll.BDH("VZ US Equity","INTERNET_DATA_SUBSCRIBER_ADDS","FY 2014","FY 2014","Currency=USD","Period=FY","BEST_FPERIOD_OVERRIDE=FY","FILING_STATUS=MR","Sort=A","Dates=H","DateFormat=P","Fill=—","Direction=H","UseDPDF=Y")</f>
        <v>0.19</v>
      </c>
      <c r="E104" s="12">
        <f>_xll.BDH("VZ US Equity","INTERNET_DATA_SUBSCRIBER_ADDS","FY 2015","FY 2015","Currency=USD","Period=FY","BEST_FPERIOD_OVERRIDE=FY","FILING_STATUS=MR","Sort=A","Dates=H","DateFormat=P","Fill=—","Direction=H","UseDPDF=Y")</f>
        <v>2.3E-2</v>
      </c>
      <c r="F104" s="12">
        <f>_xll.BDH("VZ US Equity","INTERNET_DATA_SUBSCRIBER_ADDS","FY 2016","FY 2016","Currency=USD","Period=FY","BEST_FPERIOD_OVERRIDE=FY","FILING_STATUS=MR","Sort=A","Dates=H","DateFormat=P","Fill=—","Direction=H","UseDPDF=Y")</f>
        <v>-4.7E-2</v>
      </c>
      <c r="G104" s="12">
        <f>_xll.BDH("VZ US Equity","INTERNET_DATA_SUBSCRIBER_ADDS","FY 2017","FY 2017","Currency=USD","Period=FY","BEST_FPERIOD_OVERRIDE=FY","FILING_STATUS=MR","Sort=A","Dates=H","DateFormat=P","Fill=—","Direction=H","UseDPDF=Y")</f>
        <v>-7.9000000000000001E-2</v>
      </c>
      <c r="H104" s="12">
        <f>_xll.BDH("VZ US Equity","INTERNET_DATA_SUBSCRIBER_ADDS","FY 2018","FY 2018","Currency=USD","Period=FY","BEST_FPERIOD_OVERRIDE=FY","FILING_STATUS=MR","Sort=A","Dates=H","DateFormat=P","Fill=—","Direction=H","UseDPDF=Y")</f>
        <v>2E-3</v>
      </c>
      <c r="I104" s="12">
        <f>_xll.BDH("VZ US Equity","INTERNET_DATA_SUBSCRIBER_ADDS","FY 2019","FY 2019","Currency=USD","Period=FY","BEST_FPERIOD_OVERRIDE=FY","FILING_STATUS=MR","Sort=A","Dates=H","DateFormat=P","Fill=—","Direction=H","UseDPDF=Y")</f>
        <v>-7.0000000000000001E-3</v>
      </c>
      <c r="J104" s="12">
        <f>_xll.BDH("VZ US Equity","INTERNET_DATA_SUBSCRIBER_ADDS","FY 2020","FY 2020","Currency=USD","Period=FY","BEST_FPERIOD_OVERRIDE=FY","FILING_STATUS=MR","Sort=A","Dates=H","DateFormat=P","Fill=—","Direction=H","UseDPDF=Y")</f>
        <v>0.17299999999999999</v>
      </c>
      <c r="K104" s="12">
        <f>_xll.BDH("VZ US Equity","INTERNET_DATA_SUBSCRIBER_ADDS","FY 2021","FY 2021","Currency=USD","Period=FY","BEST_FPERIOD_OVERRIDE=FY","FILING_STATUS=MR","Sort=A","Dates=H","DateFormat=P","Fill=—","Direction=H","UseDPDF=Y")</f>
        <v>0.23599999999999999</v>
      </c>
      <c r="L104" s="12">
        <f>_xll.BDH("VZ US Equity","INTERNET_DATA_SUBSCRIBER_ADDS","FY 2022","FY 2022","Currency=USD","Period=FY","BEST_FPERIOD_OVERRIDE=FY","FILING_STATUS=MR","Sort=A","Dates=H","DateFormat=P","Fill=—","Direction=H","UseDPDF=Y")</f>
        <v>0.11899999999999999</v>
      </c>
    </row>
    <row r="105" spans="1:12">
      <c r="A105" s="7" t="s">
        <v>147</v>
      </c>
      <c r="B105" s="7"/>
      <c r="C105" s="7" t="s">
        <v>148</v>
      </c>
      <c r="D105" s="7"/>
      <c r="E105" s="7"/>
      <c r="F105" s="7"/>
      <c r="G105" s="7"/>
      <c r="H105" s="7"/>
      <c r="I105" s="7"/>
      <c r="J105" s="7"/>
      <c r="K105" s="7"/>
      <c r="L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2023-12-04T19:58:18Z</dcterms:modified>
  <cp:category/>
  <cp:contentStatus/>
</cp:coreProperties>
</file>