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BCD2A054-F482-46DB-A033-AA15C391A9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lec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J31" i="2"/>
  <c r="F106" i="2"/>
  <c r="C52" i="2"/>
  <c r="E45" i="2"/>
  <c r="I53" i="2"/>
  <c r="H109" i="2"/>
  <c r="H9" i="2"/>
  <c r="G48" i="2"/>
  <c r="I9" i="2"/>
  <c r="C20" i="2"/>
  <c r="F16" i="2"/>
  <c r="G67" i="2"/>
  <c r="G60" i="2"/>
  <c r="C69" i="2"/>
  <c r="G16" i="2"/>
  <c r="G30" i="2"/>
  <c r="G79" i="2"/>
  <c r="K26" i="2"/>
  <c r="E23" i="2"/>
  <c r="K53" i="2"/>
  <c r="E52" i="2"/>
  <c r="I21" i="2"/>
  <c r="E39" i="2"/>
  <c r="C34" i="2"/>
  <c r="I37" i="2"/>
  <c r="K14" i="2"/>
  <c r="E11" i="2"/>
  <c r="I72" i="2"/>
  <c r="C93" i="2"/>
  <c r="G91" i="2"/>
  <c r="C81" i="2"/>
  <c r="K87" i="2"/>
  <c r="K75" i="2"/>
  <c r="I84" i="2"/>
  <c r="L97" i="2"/>
  <c r="G45" i="2"/>
  <c r="C105" i="2"/>
  <c r="C47" i="2"/>
  <c r="G103" i="2"/>
  <c r="K99" i="2"/>
  <c r="I106" i="2"/>
  <c r="K109" i="2"/>
  <c r="J68" i="2"/>
  <c r="I48" i="2"/>
  <c r="G111" i="2"/>
  <c r="E108" i="2"/>
  <c r="I96" i="2"/>
  <c r="H53" i="2"/>
  <c r="L14" i="2"/>
  <c r="G9" i="2"/>
  <c r="I26" i="2"/>
  <c r="D16" i="2"/>
  <c r="I14" i="2"/>
  <c r="F72" i="2"/>
  <c r="E16" i="2"/>
  <c r="J9" i="2"/>
  <c r="H16" i="2"/>
  <c r="F11" i="2"/>
  <c r="J21" i="2"/>
  <c r="L26" i="2"/>
  <c r="D8" i="2"/>
  <c r="F23" i="2"/>
  <c r="D20" i="2"/>
  <c r="H91" i="2"/>
  <c r="H30" i="2"/>
  <c r="F39" i="2"/>
  <c r="D34" i="2"/>
  <c r="F52" i="2"/>
  <c r="D69" i="2"/>
  <c r="L99" i="2"/>
  <c r="L53" i="2"/>
  <c r="D47" i="2"/>
  <c r="H45" i="2"/>
  <c r="L87" i="2"/>
  <c r="L75" i="2"/>
  <c r="J72" i="2"/>
  <c r="J96" i="2"/>
  <c r="H79" i="2"/>
  <c r="J84" i="2"/>
  <c r="J37" i="2"/>
  <c r="D81" i="2"/>
  <c r="D93" i="2"/>
  <c r="J48" i="2"/>
  <c r="J106" i="2"/>
  <c r="C44" i="2"/>
  <c r="H103" i="2"/>
  <c r="K21" i="2"/>
  <c r="K48" i="2"/>
  <c r="I30" i="2"/>
  <c r="G23" i="2"/>
  <c r="E34" i="2"/>
  <c r="I79" i="2"/>
  <c r="F108" i="2"/>
  <c r="H111" i="2"/>
  <c r="D105" i="2"/>
  <c r="C27" i="2"/>
  <c r="I45" i="2"/>
  <c r="G39" i="2"/>
  <c r="E81" i="2"/>
  <c r="K72" i="2"/>
  <c r="E47" i="2"/>
  <c r="I67" i="2"/>
  <c r="I60" i="2"/>
  <c r="G64" i="2"/>
  <c r="G55" i="2"/>
  <c r="E69" i="2"/>
  <c r="L109" i="2"/>
  <c r="C88" i="2"/>
  <c r="K96" i="2"/>
  <c r="G52" i="2"/>
  <c r="C54" i="2"/>
  <c r="K37" i="2"/>
  <c r="I91" i="2"/>
  <c r="K84" i="2"/>
  <c r="G108" i="2"/>
  <c r="E93" i="2"/>
  <c r="C100" i="2"/>
  <c r="E105" i="2"/>
  <c r="K106" i="2"/>
  <c r="H52" i="2"/>
  <c r="J16" i="2"/>
  <c r="L21" i="2"/>
  <c r="J91" i="2"/>
  <c r="H23" i="2"/>
  <c r="C110" i="2"/>
  <c r="I103" i="2"/>
  <c r="J45" i="2"/>
  <c r="F34" i="2"/>
  <c r="D54" i="2"/>
  <c r="I111" i="2"/>
  <c r="D27" i="2"/>
  <c r="H64" i="2"/>
  <c r="H55" i="2"/>
  <c r="L106" i="2"/>
  <c r="J79" i="2"/>
  <c r="F69" i="2"/>
  <c r="L84" i="2"/>
  <c r="L72" i="2"/>
  <c r="F81" i="2"/>
  <c r="D88" i="2"/>
  <c r="D100" i="2"/>
  <c r="H39" i="2"/>
  <c r="L96" i="2"/>
  <c r="F105" i="2"/>
  <c r="K9" i="2"/>
  <c r="J103" i="2"/>
  <c r="H108" i="2"/>
  <c r="J67" i="2"/>
  <c r="J60" i="2"/>
  <c r="D110" i="2"/>
  <c r="E8" i="2"/>
  <c r="J111" i="2"/>
  <c r="G11" i="2"/>
  <c r="H26" i="2"/>
  <c r="H14" i="2"/>
  <c r="J46" i="2"/>
  <c r="F93" i="2"/>
  <c r="L9" i="2"/>
  <c r="C10" i="2"/>
  <c r="E44" i="2"/>
  <c r="I16" i="2"/>
  <c r="E27" i="2"/>
  <c r="G34" i="2"/>
  <c r="K30" i="2"/>
  <c r="I39" i="2"/>
  <c r="C63" i="2"/>
  <c r="G47" i="2"/>
  <c r="K45" i="2"/>
  <c r="C49" i="2"/>
  <c r="I64" i="2"/>
  <c r="I55" i="2"/>
  <c r="I52" i="2"/>
  <c r="E54" i="2"/>
  <c r="G69" i="2"/>
  <c r="K67" i="2"/>
  <c r="K60" i="2"/>
  <c r="K91" i="2"/>
  <c r="G81" i="2"/>
  <c r="C85" i="2"/>
  <c r="C73" i="2"/>
  <c r="K79" i="2"/>
  <c r="C97" i="2"/>
  <c r="C15" i="2"/>
  <c r="E88" i="2"/>
  <c r="E100" i="2"/>
  <c r="G105" i="2"/>
  <c r="J17" i="2"/>
  <c r="K103" i="2"/>
  <c r="I108" i="2"/>
  <c r="K111" i="2"/>
  <c r="C107" i="2"/>
  <c r="F9" i="2"/>
  <c r="G93" i="2"/>
  <c r="F48" i="2"/>
  <c r="E110" i="2"/>
  <c r="H11" i="2"/>
  <c r="F37" i="2"/>
  <c r="D44" i="2"/>
  <c r="L48" i="2"/>
  <c r="E20" i="2"/>
  <c r="L67" i="2"/>
  <c r="L60" i="2"/>
  <c r="D63" i="2"/>
  <c r="J11" i="2"/>
  <c r="I11" i="2"/>
  <c r="C22" i="2"/>
  <c r="H69" i="2"/>
  <c r="H81" i="2"/>
  <c r="F88" i="2"/>
  <c r="L79" i="2"/>
  <c r="F100" i="2"/>
  <c r="D97" i="2"/>
  <c r="H93" i="2"/>
  <c r="D85" i="2"/>
  <c r="D73" i="2"/>
  <c r="L91" i="2"/>
  <c r="L103" i="2"/>
  <c r="H105" i="2"/>
  <c r="J108" i="2"/>
  <c r="D107" i="2"/>
  <c r="L10" i="2"/>
  <c r="F8" i="2"/>
  <c r="L22" i="2"/>
  <c r="D30" i="2"/>
  <c r="J30" i="2"/>
  <c r="F110" i="2"/>
  <c r="G8" i="2"/>
  <c r="L111" i="2"/>
  <c r="F27" i="2"/>
  <c r="L63" i="2"/>
  <c r="F47" i="2"/>
  <c r="L37" i="2"/>
  <c r="J23" i="2"/>
  <c r="F15" i="2"/>
  <c r="D10" i="2"/>
  <c r="L16" i="2"/>
  <c r="G20" i="2"/>
  <c r="H47" i="2"/>
  <c r="L49" i="2"/>
  <c r="J39" i="2"/>
  <c r="I69" i="2"/>
  <c r="C17" i="2"/>
  <c r="F44" i="2"/>
  <c r="D49" i="2"/>
  <c r="L30" i="2"/>
  <c r="C68" i="2"/>
  <c r="E22" i="2"/>
  <c r="G27" i="2"/>
  <c r="E63" i="2"/>
  <c r="L8" i="2"/>
  <c r="G88" i="2"/>
  <c r="C80" i="2"/>
  <c r="I81" i="2"/>
  <c r="D15" i="2"/>
  <c r="C92" i="2"/>
  <c r="G110" i="2"/>
  <c r="G100" i="2"/>
  <c r="C104" i="2"/>
  <c r="I105" i="2"/>
  <c r="E107" i="2"/>
  <c r="E97" i="2"/>
  <c r="I23" i="2"/>
  <c r="I93" i="2"/>
  <c r="E85" i="2"/>
  <c r="E73" i="2"/>
  <c r="C112" i="2"/>
  <c r="K108" i="2"/>
  <c r="H8" i="2"/>
  <c r="F20" i="2"/>
  <c r="I47" i="2"/>
  <c r="E49" i="2"/>
  <c r="G15" i="2"/>
  <c r="E15" i="2"/>
  <c r="K16" i="2"/>
  <c r="I20" i="2"/>
  <c r="D22" i="2"/>
  <c r="H20" i="2"/>
  <c r="I8" i="2"/>
  <c r="E10" i="2"/>
  <c r="H15" i="2"/>
  <c r="F54" i="2"/>
  <c r="J52" i="2"/>
  <c r="H65" i="2"/>
  <c r="H59" i="2"/>
  <c r="K52" i="2"/>
  <c r="L45" i="2"/>
  <c r="D17" i="2"/>
  <c r="J8" i="2"/>
  <c r="H34" i="2"/>
  <c r="K64" i="2"/>
  <c r="K55" i="2"/>
  <c r="G54" i="2"/>
  <c r="L23" i="2"/>
  <c r="J34" i="2"/>
  <c r="C66" i="2"/>
  <c r="C56" i="2"/>
  <c r="F10" i="2"/>
  <c r="F86" i="2"/>
  <c r="F74" i="2"/>
  <c r="F38" i="2"/>
  <c r="L11" i="2"/>
  <c r="H27" i="2"/>
  <c r="K11" i="2"/>
  <c r="D46" i="2"/>
  <c r="D31" i="2"/>
  <c r="L39" i="2"/>
  <c r="J20" i="2"/>
  <c r="L64" i="2"/>
  <c r="L55" i="2"/>
  <c r="F22" i="2"/>
  <c r="F49" i="2"/>
  <c r="H44" i="2"/>
  <c r="J47" i="2"/>
  <c r="H54" i="2"/>
  <c r="J69" i="2"/>
  <c r="D68" i="2"/>
  <c r="L52" i="2"/>
  <c r="D92" i="2"/>
  <c r="F63" i="2"/>
  <c r="D66" i="2"/>
  <c r="D56" i="2"/>
  <c r="F85" i="2"/>
  <c r="F73" i="2"/>
  <c r="D80" i="2"/>
  <c r="J81" i="2"/>
  <c r="F21" i="2"/>
  <c r="E31" i="2"/>
  <c r="H88" i="2"/>
  <c r="H100" i="2"/>
  <c r="E86" i="2"/>
  <c r="E74" i="2"/>
  <c r="E38" i="2"/>
  <c r="F107" i="2"/>
  <c r="J93" i="2"/>
  <c r="L108" i="2"/>
  <c r="F97" i="2"/>
  <c r="L86" i="2"/>
  <c r="L74" i="2"/>
  <c r="L38" i="2"/>
  <c r="D104" i="2"/>
  <c r="H110" i="2"/>
  <c r="C31" i="2"/>
  <c r="D112" i="2"/>
  <c r="J105" i="2"/>
  <c r="D45" i="2"/>
  <c r="H98" i="2"/>
  <c r="H76" i="2"/>
  <c r="H40" i="2"/>
  <c r="K39" i="2"/>
  <c r="K23" i="2"/>
  <c r="J64" i="2"/>
  <c r="J55" i="2"/>
  <c r="I34" i="2"/>
  <c r="I27" i="2"/>
  <c r="C26" i="2"/>
  <c r="K34" i="2"/>
  <c r="K8" i="2"/>
  <c r="G22" i="2"/>
  <c r="G44" i="2"/>
  <c r="E17" i="2"/>
  <c r="K20" i="2"/>
  <c r="G86" i="2"/>
  <c r="G74" i="2"/>
  <c r="G38" i="2"/>
  <c r="G10" i="2"/>
  <c r="K47" i="2"/>
  <c r="I54" i="2"/>
  <c r="C14" i="2"/>
  <c r="I15" i="2"/>
  <c r="E46" i="2"/>
  <c r="C87" i="2"/>
  <c r="C75" i="2"/>
  <c r="K81" i="2"/>
  <c r="C46" i="2"/>
  <c r="G49" i="2"/>
  <c r="E66" i="2"/>
  <c r="E56" i="2"/>
  <c r="G63" i="2"/>
  <c r="C65" i="2"/>
  <c r="C59" i="2"/>
  <c r="G97" i="2"/>
  <c r="K65" i="2"/>
  <c r="K59" i="2"/>
  <c r="E80" i="2"/>
  <c r="I88" i="2"/>
  <c r="K69" i="2"/>
  <c r="E68" i="2"/>
  <c r="I44" i="2"/>
  <c r="G85" i="2"/>
  <c r="G73" i="2"/>
  <c r="C53" i="2"/>
  <c r="G107" i="2"/>
  <c r="K93" i="2"/>
  <c r="J110" i="2"/>
  <c r="I100" i="2"/>
  <c r="C99" i="2"/>
  <c r="F31" i="2"/>
  <c r="C109" i="2"/>
  <c r="K105" i="2"/>
  <c r="I110" i="2"/>
  <c r="L69" i="2"/>
  <c r="E92" i="2"/>
  <c r="F112" i="2"/>
  <c r="H107" i="2"/>
  <c r="F66" i="2"/>
  <c r="F56" i="2"/>
  <c r="D53" i="2"/>
  <c r="I10" i="2"/>
  <c r="D109" i="2"/>
  <c r="H10" i="2"/>
  <c r="G31" i="2"/>
  <c r="C9" i="2"/>
  <c r="H63" i="2"/>
  <c r="E112" i="2"/>
  <c r="E104" i="2"/>
  <c r="I86" i="2"/>
  <c r="I74" i="2"/>
  <c r="I38" i="2"/>
  <c r="L20" i="2"/>
  <c r="J88" i="2"/>
  <c r="F92" i="2"/>
  <c r="L81" i="2"/>
  <c r="F17" i="2"/>
  <c r="F104" i="2"/>
  <c r="D26" i="2"/>
  <c r="C37" i="2"/>
  <c r="G46" i="2"/>
  <c r="D65" i="2"/>
  <c r="D59" i="2"/>
  <c r="I22" i="2"/>
  <c r="F80" i="2"/>
  <c r="K27" i="2"/>
  <c r="E26" i="2"/>
  <c r="E98" i="2"/>
  <c r="E76" i="2"/>
  <c r="E40" i="2"/>
  <c r="K44" i="2"/>
  <c r="E53" i="2"/>
  <c r="I49" i="2"/>
  <c r="K54" i="2"/>
  <c r="H49" i="2"/>
  <c r="C48" i="2"/>
  <c r="I63" i="2"/>
  <c r="E65" i="2"/>
  <c r="E59" i="2"/>
  <c r="E99" i="2"/>
  <c r="F46" i="2"/>
  <c r="C106" i="2"/>
  <c r="K98" i="2"/>
  <c r="K76" i="2"/>
  <c r="K40" i="2"/>
  <c r="C84" i="2"/>
  <c r="G68" i="2"/>
  <c r="G66" i="2"/>
  <c r="G56" i="2"/>
  <c r="K88" i="2"/>
  <c r="G92" i="2"/>
  <c r="C72" i="2"/>
  <c r="E109" i="2"/>
  <c r="I107" i="2"/>
  <c r="G80" i="2"/>
  <c r="K110" i="2"/>
  <c r="K66" i="2"/>
  <c r="K56" i="2"/>
  <c r="E87" i="2"/>
  <c r="E75" i="2"/>
  <c r="C96" i="2"/>
  <c r="I97" i="2"/>
  <c r="I85" i="2"/>
  <c r="I73" i="2"/>
  <c r="G112" i="2"/>
  <c r="K100" i="2"/>
  <c r="G104" i="2"/>
  <c r="D14" i="2"/>
  <c r="L34" i="2"/>
  <c r="F68" i="2"/>
  <c r="L65" i="2"/>
  <c r="L59" i="2"/>
  <c r="L93" i="2"/>
  <c r="F14" i="2"/>
  <c r="H97" i="2"/>
  <c r="C21" i="2"/>
  <c r="D99" i="2"/>
  <c r="D9" i="2"/>
  <c r="H85" i="2"/>
  <c r="H73" i="2"/>
  <c r="L105" i="2"/>
  <c r="E14" i="2"/>
  <c r="J100" i="2"/>
  <c r="D87" i="2"/>
  <c r="D75" i="2"/>
  <c r="K15" i="2"/>
  <c r="D48" i="2"/>
  <c r="J10" i="2"/>
  <c r="J22" i="2"/>
  <c r="G17" i="2"/>
  <c r="D21" i="2"/>
  <c r="L27" i="2"/>
  <c r="F98" i="2"/>
  <c r="F76" i="2"/>
  <c r="F40" i="2"/>
  <c r="H17" i="2"/>
  <c r="F26" i="2"/>
  <c r="D67" i="2"/>
  <c r="D60" i="2"/>
  <c r="J86" i="2"/>
  <c r="J74" i="2"/>
  <c r="J38" i="2"/>
  <c r="H31" i="2"/>
  <c r="L44" i="2"/>
  <c r="D37" i="2"/>
  <c r="L88" i="2"/>
  <c r="L15" i="2"/>
  <c r="J49" i="2"/>
  <c r="F53" i="2"/>
  <c r="L54" i="2"/>
  <c r="H66" i="2"/>
  <c r="H56" i="2"/>
  <c r="D96" i="2"/>
  <c r="H68" i="2"/>
  <c r="F109" i="2"/>
  <c r="F99" i="2"/>
  <c r="J63" i="2"/>
  <c r="F65" i="2"/>
  <c r="F59" i="2"/>
  <c r="J107" i="2"/>
  <c r="J85" i="2"/>
  <c r="J73" i="2"/>
  <c r="H80" i="2"/>
  <c r="H104" i="2"/>
  <c r="H46" i="2"/>
  <c r="L110" i="2"/>
  <c r="H92" i="2"/>
  <c r="D106" i="2"/>
  <c r="L100" i="2"/>
  <c r="D72" i="2"/>
  <c r="H22" i="2"/>
  <c r="F87" i="2"/>
  <c r="F75" i="2"/>
  <c r="C30" i="2"/>
  <c r="I17" i="2"/>
  <c r="J15" i="2"/>
  <c r="L98" i="2"/>
  <c r="L76" i="2"/>
  <c r="L40" i="2"/>
  <c r="J97" i="2"/>
  <c r="J54" i="2"/>
  <c r="H86" i="2"/>
  <c r="H74" i="2"/>
  <c r="H38" i="2"/>
  <c r="I31" i="2"/>
  <c r="G26" i="2"/>
  <c r="D84" i="2"/>
  <c r="J66" i="2"/>
  <c r="J56" i="2"/>
  <c r="K10" i="2"/>
  <c r="E9" i="2"/>
  <c r="G14" i="2"/>
  <c r="C16" i="2"/>
  <c r="L47" i="2"/>
  <c r="J44" i="2"/>
  <c r="J27" i="2"/>
  <c r="K22" i="2"/>
  <c r="H112" i="2"/>
  <c r="E37" i="2"/>
  <c r="K86" i="2"/>
  <c r="K74" i="2"/>
  <c r="K38" i="2"/>
  <c r="G53" i="2"/>
  <c r="E21" i="2"/>
  <c r="I46" i="2"/>
  <c r="C45" i="2"/>
  <c r="G98" i="2"/>
  <c r="G76" i="2"/>
  <c r="G40" i="2"/>
  <c r="E48" i="2"/>
  <c r="E84" i="2"/>
  <c r="I66" i="2"/>
  <c r="I56" i="2"/>
  <c r="K63" i="2"/>
  <c r="C67" i="2"/>
  <c r="C60" i="2"/>
  <c r="E72" i="2"/>
  <c r="K49" i="2"/>
  <c r="I68" i="2"/>
  <c r="G65" i="2"/>
  <c r="G59" i="2"/>
  <c r="E106" i="2"/>
  <c r="G99" i="2"/>
  <c r="C79" i="2"/>
  <c r="K97" i="2"/>
  <c r="C103" i="2"/>
  <c r="I104" i="2"/>
  <c r="C91" i="2"/>
  <c r="E96" i="2"/>
  <c r="I92" i="2"/>
  <c r="F84" i="2"/>
  <c r="G87" i="2"/>
  <c r="G75" i="2"/>
  <c r="J104" i="2"/>
  <c r="G72" i="2"/>
  <c r="I112" i="2"/>
  <c r="I65" i="2"/>
  <c r="I59" i="2"/>
  <c r="K107" i="2"/>
  <c r="K85" i="2"/>
  <c r="K73" i="2"/>
  <c r="I80" i="2"/>
  <c r="E79" i="2"/>
  <c r="K112" i="2"/>
  <c r="D91" i="2"/>
  <c r="K17" i="2"/>
  <c r="D79" i="2"/>
  <c r="E67" i="2"/>
  <c r="E60" i="2"/>
  <c r="K68" i="2"/>
  <c r="C111" i="2"/>
  <c r="C98" i="2"/>
  <c r="C76" i="2"/>
  <c r="C40" i="2"/>
  <c r="J112" i="2"/>
  <c r="D111" i="2"/>
  <c r="F96" i="2"/>
  <c r="G109" i="2"/>
  <c r="L85" i="2"/>
  <c r="L73" i="2"/>
  <c r="J80" i="2"/>
  <c r="I109" i="2"/>
  <c r="C86" i="2"/>
  <c r="C74" i="2"/>
  <c r="C38" i="2"/>
  <c r="K80" i="2"/>
  <c r="E91" i="2"/>
  <c r="K92" i="2"/>
  <c r="G96" i="2"/>
  <c r="E103" i="2"/>
  <c r="I99" i="2"/>
  <c r="C108" i="2"/>
  <c r="L107" i="2"/>
  <c r="G106" i="2"/>
  <c r="K104" i="2"/>
  <c r="I87" i="2"/>
  <c r="I75" i="2"/>
  <c r="G21" i="2"/>
  <c r="C23" i="2"/>
  <c r="E111" i="2"/>
  <c r="J14" i="2"/>
  <c r="J92" i="2"/>
  <c r="I98" i="2"/>
  <c r="I76" i="2"/>
  <c r="I40" i="2"/>
  <c r="J65" i="2"/>
  <c r="J59" i="2"/>
  <c r="G84" i="2"/>
  <c r="H87" i="2"/>
  <c r="H75" i="2"/>
  <c r="L46" i="2"/>
  <c r="F30" i="2"/>
  <c r="D103" i="2"/>
  <c r="K31" i="2"/>
  <c r="H21" i="2"/>
  <c r="H99" i="2"/>
  <c r="G37" i="2"/>
  <c r="E64" i="2"/>
  <c r="E55" i="2"/>
  <c r="K46" i="2"/>
  <c r="L17" i="2"/>
  <c r="C64" i="2"/>
  <c r="C55" i="2"/>
  <c r="D23" i="2"/>
  <c r="C11" i="2"/>
  <c r="E30" i="2"/>
  <c r="C39" i="2"/>
  <c r="L31" i="2"/>
  <c r="J26" i="2"/>
  <c r="D108" i="2"/>
  <c r="J98" i="2"/>
  <c r="J76" i="2"/>
  <c r="J40" i="2"/>
  <c r="D39" i="2"/>
  <c r="F91" i="2"/>
  <c r="D64" i="2"/>
  <c r="D55" i="2"/>
  <c r="L66" i="2"/>
  <c r="L56" i="2"/>
  <c r="L68" i="2"/>
  <c r="J53" i="2"/>
  <c r="F103" i="2"/>
  <c r="L80" i="2"/>
  <c r="H67" i="2"/>
  <c r="H60" i="2"/>
  <c r="L92" i="2"/>
  <c r="D86" i="2"/>
  <c r="D74" i="2"/>
  <c r="D38" i="2"/>
  <c r="F111" i="2"/>
  <c r="F45" i="2"/>
  <c r="H106" i="2"/>
  <c r="J99" i="2"/>
  <c r="F64" i="2"/>
  <c r="F55" i="2"/>
  <c r="L112" i="2"/>
  <c r="H48" i="2"/>
  <c r="F79" i="2"/>
  <c r="L104" i="2"/>
  <c r="H72" i="2"/>
  <c r="F67" i="2"/>
  <c r="F60" i="2"/>
  <c r="J109" i="2"/>
  <c r="D11" i="2"/>
  <c r="D52" i="2"/>
  <c r="D98" i="2"/>
  <c r="D76" i="2"/>
  <c r="D40" i="2"/>
  <c r="J87" i="2"/>
  <c r="J75" i="2"/>
  <c r="H96" i="2"/>
  <c r="H37" i="2"/>
  <c r="H84" i="2"/>
</calcChain>
</file>

<file path=xl/sharedStrings.xml><?xml version="1.0" encoding="utf-8"?>
<sst xmlns="http://schemas.openxmlformats.org/spreadsheetml/2006/main" count="188" uniqueCount="165">
  <si>
    <t>AT&amp;T Inc (T US) - Telecom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</si>
  <si>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</si>
  <si>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</si>
  <si>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</si>
  <si>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</si>
  <si>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</si>
  <si>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</si>
  <si>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</si>
  <si>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</si>
  <si>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</si>
  <si>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</si>
  <si>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</si>
  <si>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</si>
  <si>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</si>
  <si>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</si>
  <si>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</si>
  <si>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</si>
  <si>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</si>
  <si>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</si>
  <si>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</si>
  <si>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</si>
  <si>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</si>
  <si>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</si>
  <si>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Wireless</t>
  </si>
  <si>
    <t>Revenues</t>
  </si>
  <si>
    <t>Wireless Revenue</t>
  </si>
  <si>
    <t>WIRELESS_REVENUE</t>
  </si>
  <si>
    <t>Wireless Service Revenue</t>
  </si>
  <si>
    <t>CELLULAR_SERVICE_REVENUE</t>
  </si>
  <si>
    <t>Wireless Equipment Revenue</t>
  </si>
  <si>
    <t>EQUIP_REVENUES_CELLULAR_TELECOM</t>
  </si>
  <si>
    <t>Wireless Data/SMS Revenue</t>
  </si>
  <si>
    <t>WIRELESS_DATA_SMS_REVENUE</t>
  </si>
  <si>
    <t>Subscribers</t>
  </si>
  <si>
    <t>Total Wireless Subscribers (RGU)</t>
  </si>
  <si>
    <t>NUMBER_OF_CELLULAR_SUBSCRIBERS</t>
  </si>
  <si>
    <t>Wireless Subscribers-Postpaid</t>
  </si>
  <si>
    <t>TOTAL_WIRELESS_SUBSCRIBERS_PPD</t>
  </si>
  <si>
    <t>Wireless Subscribers-Prepaid</t>
  </si>
  <si>
    <t>TOTAL_WIRELESS_SUBSCRIBERS_PREPD</t>
  </si>
  <si>
    <t>Average Wireless Subscribers</t>
  </si>
  <si>
    <t>AVERAGE_WIRELESS_SUBSCRIBERS</t>
  </si>
  <si>
    <t>Subscriber Additions</t>
  </si>
  <si>
    <t>Wireless Subscriber Additions</t>
  </si>
  <si>
    <t>CELLULAR_NET_SUBSCRIBER_ADDITION</t>
  </si>
  <si>
    <t>Organic Net Additions</t>
  </si>
  <si>
    <t>ORGANIC_NET_ADDS</t>
  </si>
  <si>
    <t>Net Wireless Additions-Postpaid</t>
  </si>
  <si>
    <t>NET_WIRELESS_SUBSCRIBER_ADDS_PPD</t>
  </si>
  <si>
    <t>Net Wireless Additions-Prepaid</t>
  </si>
  <si>
    <t>NET_WIRELESS_SUBSCR_ADDS_PREPD</t>
  </si>
  <si>
    <t>Churn (%)</t>
  </si>
  <si>
    <t>Blended</t>
  </si>
  <si>
    <t>TELECOM_CELLULAR_CHURN_RATE</t>
  </si>
  <si>
    <t>Postpaid</t>
  </si>
  <si>
    <t>WIRELESS_POSTPAID_CHURN</t>
  </si>
  <si>
    <t>Monthly Average Revenue per User</t>
  </si>
  <si>
    <t>Wireless Average Revenue Per Unit (ARPU)</t>
  </si>
  <si>
    <t>AVG_REVENUE_PER_CELL_SUBSCRIBER</t>
  </si>
  <si>
    <t>Postpaid ARPU</t>
  </si>
  <si>
    <t>POSTPAID_ARPU</t>
  </si>
  <si>
    <t>Other Data</t>
  </si>
  <si>
    <t>Connected Device Subscribers</t>
  </si>
  <si>
    <t>CONNECTED_DEVICE_SUBSCRIBERS</t>
  </si>
  <si>
    <t>Financial Data</t>
  </si>
  <si>
    <t>Wireless Cost Of Equipment</t>
  </si>
  <si>
    <t>COST_OF_EQUIPMENT_CELLULAR_TELEC</t>
  </si>
  <si>
    <t>EBITDA</t>
  </si>
  <si>
    <t>Operating Income</t>
  </si>
  <si>
    <t>ARD_OPERATING_INCOME</t>
  </si>
  <si>
    <t>Capital Expenditures/Prop Add</t>
  </si>
  <si>
    <t>CF_CAP_EXPEND_PRPTY_ADD</t>
  </si>
  <si>
    <t>Wireline</t>
  </si>
  <si>
    <t>Wireline Revenue</t>
  </si>
  <si>
    <t>WIRELINE_REVENUE</t>
  </si>
  <si>
    <t>Wireline Voice Revenue</t>
  </si>
  <si>
    <t>WIRELINE_VOICE_REVENUE</t>
  </si>
  <si>
    <t>Internet/Data Revenue</t>
  </si>
  <si>
    <t>INTERNET_DATA_REVENUE</t>
  </si>
  <si>
    <t>Wireline Residential Revenue</t>
  </si>
  <si>
    <t>WIRELINE_RESIDENTIAL_REVENUE</t>
  </si>
  <si>
    <t>Wireline Business Revenue</t>
  </si>
  <si>
    <t>WIRELINE_BUSINESS_REVENUE</t>
  </si>
  <si>
    <t>Strategic Services Revenue</t>
  </si>
  <si>
    <t>STRATEGIC_SERVICES_REVENUE</t>
  </si>
  <si>
    <t>Total Wireline Subscribers (RGU)</t>
  </si>
  <si>
    <t>NUMBER_OF_WIRELINE_SUBSCRIBERS</t>
  </si>
  <si>
    <t>Residential Access Lines</t>
  </si>
  <si>
    <t>RESIDENTIAL_ACCESS_LINES</t>
  </si>
  <si>
    <t>Business Access Lines</t>
  </si>
  <si>
    <t>BUSINESS_ACCESS_LINES</t>
  </si>
  <si>
    <t>Total Cable Subscribers</t>
  </si>
  <si>
    <t>TOTAL_CABLE_SUBSCRIBERS</t>
  </si>
  <si>
    <t>Broadband Internet Subscribers</t>
  </si>
  <si>
    <t>BROADBAND_HSI_SUBSCRIBERS</t>
  </si>
  <si>
    <t>Total Cable Subscriber Additions</t>
  </si>
  <si>
    <t>TOTAL_CABLE_SUBSCRIBER_ADDS</t>
  </si>
  <si>
    <t>Broadband Net Subscriber Adds</t>
  </si>
  <si>
    <t>BROADBAND_HSI_NET_SUBSCRIB_ADDS</t>
  </si>
  <si>
    <t>IPTV &amp; Broadband</t>
  </si>
  <si>
    <t>Digital Cable Revenue</t>
  </si>
  <si>
    <t>DIGITAL_CABLE_REVENUE</t>
  </si>
  <si>
    <t>Broadband/High Speed Internet Subscribers</t>
  </si>
  <si>
    <t>Broadband/High Speed Internet Net Subscriber Adds</t>
  </si>
  <si>
    <t>Video ARPU</t>
  </si>
  <si>
    <t>VIDEO_ARPU</t>
  </si>
  <si>
    <t>Total Cable Penetration</t>
  </si>
  <si>
    <t>TOTAL_CABLE_PENETRATION</t>
  </si>
  <si>
    <t>Cost of Revenue</t>
  </si>
  <si>
    <t>IS_COGS_TO_FE_AND_PP_AND_G</t>
  </si>
  <si>
    <t>Gross Profit</t>
  </si>
  <si>
    <t>GROSS_PROFIT</t>
  </si>
  <si>
    <t>Operating Income or Losses</t>
  </si>
  <si>
    <t>IS_OPER_INC</t>
  </si>
  <si>
    <t>Financial Margins</t>
  </si>
  <si>
    <t>Gross Margin</t>
  </si>
  <si>
    <t>GROSS_MARGIN</t>
  </si>
  <si>
    <t>EBITDA Margin</t>
  </si>
  <si>
    <t>EBITDA_TO_REVENUE</t>
  </si>
  <si>
    <t>Operating Margin</t>
  </si>
  <si>
    <t>OPER_MARGIN</t>
  </si>
  <si>
    <t>Aggregate</t>
  </si>
  <si>
    <t>Revenue</t>
  </si>
  <si>
    <t>SALES_REV_TURN</t>
  </si>
  <si>
    <t>Normalized Income</t>
  </si>
  <si>
    <t>NORMALIZED_INCOME</t>
  </si>
  <si>
    <t>Dividends</t>
  </si>
  <si>
    <t>Dividends per Share</t>
  </si>
  <si>
    <t>EQY_DPS</t>
  </si>
  <si>
    <t>Dividend Indicated Yld - Gross</t>
  </si>
  <si>
    <t>EQY_DVD_YLD_IND</t>
  </si>
  <si>
    <t>Dividend Coverage Ratio</t>
  </si>
  <si>
    <t>CASH_DVD_COVERAGE</t>
  </si>
  <si>
    <t>Cash Flows</t>
  </si>
  <si>
    <t>Working Capital</t>
  </si>
  <si>
    <t>WORKING_CAPITAL</t>
  </si>
  <si>
    <t>Cash From Operations</t>
  </si>
  <si>
    <t>CF_CASH_FROM_OPER</t>
  </si>
  <si>
    <t>Free Cash Flow</t>
  </si>
  <si>
    <t>CF_FREE_CASH_FLOW</t>
  </si>
  <si>
    <t>Free Cash Flow/Diluted Share</t>
  </si>
  <si>
    <t>FCF_PER_DIL_SHR</t>
  </si>
  <si>
    <t>Other</t>
  </si>
  <si>
    <t>Total Monthly Churn Rate</t>
  </si>
  <si>
    <t>TOTAL_MONTHLY_CHURN_RATE</t>
  </si>
  <si>
    <t>Wireless Population</t>
  </si>
  <si>
    <t>LICENSED_POPULATION_CELLULAR_TEL</t>
  </si>
  <si>
    <t>Wireline Service Revenue</t>
  </si>
  <si>
    <t>WIRELINE_SERVICE_REVENUE</t>
  </si>
  <si>
    <t>Wireline Equipment  Revenue</t>
  </si>
  <si>
    <t>WIRELINE_EQUIPMENT_REVENUE</t>
  </si>
  <si>
    <t>Total Cable Homes Passed</t>
  </si>
  <si>
    <t>TOTAL_CABLE_HOMES_PASSED</t>
  </si>
  <si>
    <t>Digital Cable Subscriber</t>
  </si>
  <si>
    <t>DIGITAL_CUSTOMERS</t>
  </si>
  <si>
    <t>Digital Cable Penetration</t>
  </si>
  <si>
    <t>DIGITAL_PENETRATION</t>
  </si>
  <si>
    <t>Digital Cable Subscriber Additions</t>
  </si>
  <si>
    <t>DIGITAL_CABLE_SUBSCRIBER_ADDS</t>
  </si>
  <si>
    <t>Internet/Data Subscriber Additions</t>
  </si>
  <si>
    <t>INTERNET_DATA_SUBSCRIBER_ADDS</t>
  </si>
  <si>
    <t>Internet/Data ARPU</t>
  </si>
  <si>
    <t>INTERNET_DATA_ARPU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</si>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</sst>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5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164" fontId="1" fillId="34" borderId="2" xfId="53">
      <alignment horizontal="right"/>
    </xf>
    <xf numFmtId="4" fontId="1" fillId="34" borderId="2" xfId="54">
      <alignment horizontal="right"/>
    </xf>
    <xf numFmtId="3" fontId="7" fillId="34" borderId="2" xfId="55">
      <alignment horizontal="right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standard_0_grouped" xfId="52" xr:uid="{00000000-0005-0000-0000-000024000000}"/>
    <cellStyle name="fa_data_standard_1_grouped" xfId="53" xr:uid="{00000000-0005-0000-0000-000025000000}"/>
    <cellStyle name="fa_data_standard_2_grouped" xfId="54" xr:uid="{00000000-0005-0000-0000-000026000000}"/>
    <cellStyle name="fa_footer_italic" xfId="34" xr:uid="{00000000-0005-0000-0000-000027000000}"/>
    <cellStyle name="fa_row_header_bold" xfId="35" xr:uid="{00000000-0005-0000-0000-000028000000}"/>
    <cellStyle name="fa_row_header_standard" xfId="36" xr:uid="{00000000-0005-0000-0000-000029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6" t="s">
        <v>23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6" t="s">
        <v>24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0" t="s">
        <v>25</v>
      </c>
      <c r="B8" s="10" t="s">
        <v>26</v>
      </c>
      <c r="C8" s="12">
        <f>_xll.BDH("T US Equity","WIRELESS_REVENUE","FY 2013","FY 2013","Currency=USD","Period=FY","BEST_FPERIOD_OVERRIDE=FY","FILING_STATUS=MR","SCALING_FORMAT=MLN","Sort=A","Dates=H","DateFormat=P","Fill=—","Direction=H","UseDPDF=Y")</f>
        <v>69899</v>
      </c>
      <c r="D8" s="12">
        <f>_xll.BDH("T US Equity","WIRELESS_REVENUE","FY 2014","FY 2014","Currency=USD","Period=FY","BEST_FPERIOD_OVERRIDE=FY","FILING_STATUS=MR","SCALING_FORMAT=MLN","Sort=A","Dates=H","DateFormat=P","Fill=—","Direction=H","UseDPDF=Y")</f>
        <v>73992</v>
      </c>
      <c r="E8" s="12">
        <f>_xll.BDH("T US Equity","WIRELESS_REVENUE","FY 2015","FY 2015","Currency=USD","Period=FY","BEST_FPERIOD_OVERRIDE=FY","FILING_STATUS=MR","SCALING_FORMAT=MLN","Sort=A","Dates=H","DateFormat=P","Fill=—","Direction=H","UseDPDF=Y")</f>
        <v>73705</v>
      </c>
      <c r="F8" s="12">
        <f>_xll.BDH("T US Equity","WIRELESS_REVENUE","FY 2016","FY 2016","Currency=USD","Period=FY","BEST_FPERIOD_OVERRIDE=FY","FILING_STATUS=MR","SCALING_FORMAT=MLN","Sort=A","Dates=H","DateFormat=P","Fill=—","Direction=H","UseDPDF=Y")</f>
        <v>72821</v>
      </c>
      <c r="G8" s="12">
        <f>_xll.BDH("T US Equity","WIRELESS_REVENUE","FY 2017","FY 2017","Currency=USD","Period=FY","BEST_FPERIOD_OVERRIDE=FY","FILING_STATUS=MR","SCALING_FORMAT=MLN","Sort=A","Dates=H","DateFormat=P","Fill=—","Direction=H","UseDPDF=Y")</f>
        <v>70259</v>
      </c>
      <c r="H8" s="12">
        <f>_xll.BDH("T US Equity","WIRELESS_REVENUE","FY 2018","FY 2018","Currency=USD","Period=FY","BEST_FPERIOD_OVERRIDE=FY","FILING_STATUS=MR","SCALING_FORMAT=MLN","Sort=A","Dates=H","DateFormat=P","Fill=—","Direction=H","UseDPDF=Y")</f>
        <v>70521</v>
      </c>
      <c r="I8" s="12">
        <f>_xll.BDH("T US Equity","WIRELESS_REVENUE","FY 2019","FY 2019","Currency=USD","Period=FY","BEST_FPERIOD_OVERRIDE=FY","FILING_STATUS=MR","SCALING_FORMAT=MLN","Sort=A","Dates=H","DateFormat=P","Fill=—","Direction=H","UseDPDF=Y")</f>
        <v>71056</v>
      </c>
      <c r="J8" s="12">
        <f>_xll.BDH("T US Equity","WIRELESS_REVENUE","FY 2020","FY 2020","Currency=USD","Period=FY","BEST_FPERIOD_OVERRIDE=FY","FILING_STATUS=MR","SCALING_FORMAT=MLN","Sort=A","Dates=H","DateFormat=P","Fill=—","Direction=H","UseDPDF=Y")</f>
        <v>72564</v>
      </c>
      <c r="K8" s="12">
        <f>_xll.BDH("T US Equity","WIRELESS_REVENUE","FY 2021","FY 2021","Currency=USD","Period=FY","BEST_FPERIOD_OVERRIDE=FY","FILING_STATUS=MR","SCALING_FORMAT=MLN","Sort=A","Dates=H","DateFormat=P","Fill=—","Direction=H","UseDPDF=Y")</f>
        <v>78254</v>
      </c>
      <c r="L8" s="12">
        <f>_xll.BDH("T US Equity","WIRELESS_REVENUE","FY 2022","FY 2022","Currency=USD","Period=FY","BEST_FPERIOD_OVERRIDE=FY","FILING_STATUS=MR","SCALING_FORMAT=MLN","Sort=A","Dates=H","DateFormat=P","Fill=—","Direction=H","UseDPDF=Y")</f>
        <v>81780</v>
      </c>
    </row>
    <row r="9" spans="1:12">
      <c r="A9" s="10" t="s">
        <v>27</v>
      </c>
      <c r="B9" s="10" t="s">
        <v>28</v>
      </c>
      <c r="C9" s="12">
        <f>_xll.BDH("T US Equity","CELLULAR_SERVICE_REVENUE","FY 2013","FY 2013","Currency=USD","Period=FY","BEST_FPERIOD_OVERRIDE=FY","FILING_STATUS=MR","SCALING_FORMAT=MLN","Sort=A","Dates=H","DateFormat=P","Fill=—","Direction=H","UseDPDF=Y")</f>
        <v>61552</v>
      </c>
      <c r="D9" s="12">
        <f>_xll.BDH("T US Equity","CELLULAR_SERVICE_REVENUE","FY 2014","FY 2014","Currency=USD","Period=FY","BEST_FPERIOD_OVERRIDE=FY","FILING_STATUS=MR","SCALING_FORMAT=MLN","Sort=A","Dates=H","DateFormat=P","Fill=—","Direction=H","UseDPDF=Y")</f>
        <v>61032</v>
      </c>
      <c r="E9" s="12">
        <f>_xll.BDH("T US Equity","CELLULAR_SERVICE_REVENUE","FY 2015","FY 2015","Currency=USD","Period=FY","BEST_FPERIOD_OVERRIDE=FY","FILING_STATUS=MR","SCALING_FORMAT=MLN","Sort=A","Dates=H","DateFormat=P","Fill=—","Direction=H","UseDPDF=Y")</f>
        <v>59837</v>
      </c>
      <c r="F9" s="12">
        <f>_xll.BDH("T US Equity","CELLULAR_SERVICE_REVENUE","FY 2016","FY 2016","Currency=USD","Period=FY","BEST_FPERIOD_OVERRIDE=FY","FILING_STATUS=MR","SCALING_FORMAT=MLN","Sort=A","Dates=H","DateFormat=P","Fill=—","Direction=H","UseDPDF=Y")</f>
        <v>59386</v>
      </c>
      <c r="G9" s="12">
        <f>_xll.BDH("T US Equity","CELLULAR_SERVICE_REVENUE","FY 2017","FY 2017","Currency=USD","Period=FY","BEST_FPERIOD_OVERRIDE=FY","FILING_STATUS=MR","SCALING_FORMAT=MLN","Sort=A","Dates=H","DateFormat=P","Fill=—","Direction=H","UseDPDF=Y")</f>
        <v>57023</v>
      </c>
      <c r="H9" s="12">
        <f>_xll.BDH("T US Equity","CELLULAR_SERVICE_REVENUE","FY 2018","FY 2018","Currency=USD","Period=FY","BEST_FPERIOD_OVERRIDE=FY","FILING_STATUS=MR","SCALING_FORMAT=MLN","Sort=A","Dates=H","DateFormat=P","Fill=—","Direction=H","UseDPDF=Y")</f>
        <v>54295</v>
      </c>
      <c r="I9" s="12">
        <f>_xll.BDH("T US Equity","CELLULAR_SERVICE_REVENUE","FY 2019","FY 2019","Currency=USD","Period=FY","BEST_FPERIOD_OVERRIDE=FY","FILING_STATUS=MR","SCALING_FORMAT=MLN","Sort=A","Dates=H","DateFormat=P","Fill=—","Direction=H","UseDPDF=Y")</f>
        <v>55331</v>
      </c>
      <c r="J9" s="12">
        <f>_xll.BDH("T US Equity","CELLULAR_SERVICE_REVENUE","FY 2020","FY 2020","Currency=USD","Period=FY","BEST_FPERIOD_OVERRIDE=FY","FILING_STATUS=MR","SCALING_FORMAT=MLN","Sort=A","Dates=H","DateFormat=P","Fill=—","Direction=H","UseDPDF=Y")</f>
        <v>55542</v>
      </c>
      <c r="K9" s="12">
        <f>_xll.BDH("T US Equity","CELLULAR_SERVICE_REVENUE","FY 2021","FY 2021","Currency=USD","Period=FY","BEST_FPERIOD_OVERRIDE=FY","FILING_STATUS=MR","SCALING_FORMAT=MLN","Sort=A","Dates=H","DateFormat=P","Fill=—","Direction=H","UseDPDF=Y")</f>
        <v>57590</v>
      </c>
      <c r="L9" s="12">
        <f>_xll.BDH("T US Equity","CELLULAR_SERVICE_REVENUE","FY 2022","FY 2022","Currency=USD","Period=FY","BEST_FPERIOD_OVERRIDE=FY","FILING_STATUS=MR","SCALING_FORMAT=MLN","Sort=A","Dates=H","DateFormat=P","Fill=—","Direction=H","UseDPDF=Y")</f>
        <v>60499</v>
      </c>
    </row>
    <row r="10" spans="1:12">
      <c r="A10" s="10" t="s">
        <v>29</v>
      </c>
      <c r="B10" s="10" t="s">
        <v>30</v>
      </c>
      <c r="C10" s="12">
        <f>_xll.BDH("T US Equity","EQUIP_REVENUES_CELLULAR_TELECOM","FY 2013","FY 2013","Currency=USD","Period=FY","BEST_FPERIOD_OVERRIDE=FY","FILING_STATUS=MR","SCALING_FORMAT=MLN","Sort=A","Dates=H","DateFormat=P","Fill=—","Direction=H","UseDPDF=Y")</f>
        <v>8347</v>
      </c>
      <c r="D10" s="12">
        <f>_xll.BDH("T US Equity","EQUIP_REVENUES_CELLULAR_TELECOM","FY 2014","FY 2014","Currency=USD","Period=FY","BEST_FPERIOD_OVERRIDE=FY","FILING_STATUS=MR","SCALING_FORMAT=MLN","Sort=A","Dates=H","DateFormat=P","Fill=—","Direction=H","UseDPDF=Y")</f>
        <v>12960</v>
      </c>
      <c r="E10" s="12">
        <f>_xll.BDH("T US Equity","EQUIP_REVENUES_CELLULAR_TELECOM","FY 2015","FY 2015","Currency=USD","Period=FY","BEST_FPERIOD_OVERRIDE=FY","FILING_STATUS=MR","SCALING_FORMAT=MLN","Sort=A","Dates=H","DateFormat=P","Fill=—","Direction=H","UseDPDF=Y")</f>
        <v>13868</v>
      </c>
      <c r="F10" s="12">
        <f>_xll.BDH("T US Equity","EQUIP_REVENUES_CELLULAR_TELECOM","FY 2016","FY 2016","Currency=USD","Period=FY","BEST_FPERIOD_OVERRIDE=FY","FILING_STATUS=MR","SCALING_FORMAT=MLN","Sort=A","Dates=H","DateFormat=P","Fill=—","Direction=H","UseDPDF=Y")</f>
        <v>13435</v>
      </c>
      <c r="G10" s="12">
        <f>_xll.BDH("T US Equity","EQUIP_REVENUES_CELLULAR_TELECOM","FY 2017","FY 2017","Currency=USD","Period=FY","BEST_FPERIOD_OVERRIDE=FY","FILING_STATUS=MR","SCALING_FORMAT=MLN","Sort=A","Dates=H","DateFormat=P","Fill=—","Direction=H","UseDPDF=Y")</f>
        <v>13271</v>
      </c>
      <c r="H10" s="12">
        <f>_xll.BDH("T US Equity","EQUIP_REVENUES_CELLULAR_TELECOM","FY 2018","FY 2018","Currency=USD","Period=FY","BEST_FPERIOD_OVERRIDE=FY","FILING_STATUS=MR","SCALING_FORMAT=MLN","Sort=A","Dates=H","DateFormat=P","Fill=—","Direction=H","UseDPDF=Y")</f>
        <v>16226</v>
      </c>
      <c r="I10" s="12">
        <f>_xll.BDH("T US Equity","EQUIP_REVENUES_CELLULAR_TELECOM","FY 2019","FY 2019","Currency=USD","Period=FY","BEST_FPERIOD_OVERRIDE=FY","FILING_STATUS=MR","SCALING_FORMAT=MLN","Sort=A","Dates=H","DateFormat=P","Fill=—","Direction=H","UseDPDF=Y")</f>
        <v>15725</v>
      </c>
      <c r="J10" s="12">
        <f>_xll.BDH("T US Equity","EQUIP_REVENUES_CELLULAR_TELECOM","FY 2020","FY 2020","Currency=USD","Period=FY","BEST_FPERIOD_OVERRIDE=FY","FILING_STATUS=MR","SCALING_FORMAT=MLN","Sort=A","Dates=H","DateFormat=P","Fill=—","Direction=H","UseDPDF=Y")</f>
        <v>17022</v>
      </c>
      <c r="K10" s="12">
        <f>_xll.BDH("T US Equity","EQUIP_REVENUES_CELLULAR_TELECOM","FY 2021","FY 2021","Currency=USD","Period=FY","BEST_FPERIOD_OVERRIDE=FY","FILING_STATUS=MR","SCALING_FORMAT=MLN","Sort=A","Dates=H","DateFormat=P","Fill=—","Direction=H","UseDPDF=Y")</f>
        <v>20664</v>
      </c>
      <c r="L10" s="12">
        <f>_xll.BDH("T US Equity","EQUIP_REVENUES_CELLULAR_TELECOM","FY 2022","FY 2022","Currency=USD","Period=FY","BEST_FPERIOD_OVERRIDE=FY","FILING_STATUS=MR","SCALING_FORMAT=MLN","Sort=A","Dates=H","DateFormat=P","Fill=—","Direction=H","UseDPDF=Y")</f>
        <v>21281</v>
      </c>
    </row>
    <row r="11" spans="1:12">
      <c r="A11" s="10" t="s">
        <v>31</v>
      </c>
      <c r="B11" s="10" t="s">
        <v>32</v>
      </c>
      <c r="C11" s="12">
        <f>_xll.BDH("T US Equity","WIRELESS_DATA_SMS_REVENUE","FY 2013","FY 2013","Currency=USD","Period=FY","BEST_FPERIOD_OVERRIDE=FY","FILING_STATUS=MR","SCALING_FORMAT=MLN","Sort=A","Dates=H","DateFormat=P","Fill=—","Direction=H","UseDPDF=Y")</f>
        <v>21719</v>
      </c>
      <c r="D11" s="12" t="str">
        <f>_xll.BDH("T US Equity","WIRELESS_DATA_SMS_REVENUE","FY 2014","FY 2014","Currency=USD","Period=FY","BEST_FPERIOD_OVERRIDE=FY","FILING_STATUS=MR","SCALING_FORMAT=MLN","Sort=A","Dates=H","DateFormat=P","Fill=—","Direction=H","UseDPDF=Y")</f>
        <v>—</v>
      </c>
      <c r="E11" s="12" t="str">
        <f>_xll.BDH("T US Equity","WIRELESS_DATA_SMS_REVENUE","FY 2015","FY 2015","Currency=USD","Period=FY","BEST_FPERIOD_OVERRIDE=FY","FILING_STATUS=MR","SCALING_FORMAT=MLN","Sort=A","Dates=H","DateFormat=P","Fill=—","Direction=H","UseDPDF=Y")</f>
        <v>—</v>
      </c>
      <c r="F11" s="12" t="str">
        <f>_xll.BDH("T US Equity","WIRELESS_DATA_SMS_REVENUE","FY 2016","FY 2016","Currency=USD","Period=FY","BEST_FPERIOD_OVERRIDE=FY","FILING_STATUS=MR","SCALING_FORMAT=MLN","Sort=A","Dates=H","DateFormat=P","Fill=—","Direction=H","UseDPDF=Y")</f>
        <v>—</v>
      </c>
      <c r="G11" s="12" t="str">
        <f>_xll.BDH("T US Equity","WIRELESS_DATA_SMS_REVENUE","FY 2017","FY 2017","Currency=USD","Period=FY","BEST_FPERIOD_OVERRIDE=FY","FILING_STATUS=MR","SCALING_FORMAT=MLN","Sort=A","Dates=H","DateFormat=P","Fill=—","Direction=H","UseDPDF=Y")</f>
        <v>—</v>
      </c>
      <c r="H11" s="12" t="str">
        <f>_xll.BDH("T US Equity","WIRELESS_DATA_SMS_REVENUE","FY 2018","FY 2018","Currency=USD","Period=FY","BEST_FPERIOD_OVERRIDE=FY","FILING_STATUS=MR","SCALING_FORMAT=MLN","Sort=A","Dates=H","DateFormat=P","Fill=—","Direction=H","UseDPDF=Y")</f>
        <v>—</v>
      </c>
      <c r="I11" s="12" t="str">
        <f>_xll.BDH("T US Equity","WIRELESS_DATA_SMS_REVENUE","FY 2019","FY 2019","Currency=USD","Period=FY","BEST_FPERIOD_OVERRIDE=FY","FILING_STATUS=MR","SCALING_FORMAT=MLN","Sort=A","Dates=H","DateFormat=P","Fill=—","Direction=H","UseDPDF=Y")</f>
        <v>—</v>
      </c>
      <c r="J11" s="12" t="str">
        <f>_xll.BDH("T US Equity","WIRELESS_DATA_SMS_REVENUE","FY 2020","FY 2020","Currency=USD","Period=FY","BEST_FPERIOD_OVERRIDE=FY","FILING_STATUS=MR","SCALING_FORMAT=MLN","Sort=A","Dates=H","DateFormat=P","Fill=—","Direction=H","UseDPDF=Y")</f>
        <v>—</v>
      </c>
      <c r="K11" s="12" t="str">
        <f>_xll.BDH("T US Equity","WIRELESS_DATA_SMS_REVENUE","FY 2021","FY 2021","Currency=USD","Period=FY","BEST_FPERIOD_OVERRIDE=FY","FILING_STATUS=MR","SCALING_FORMAT=MLN","Sort=A","Dates=H","DateFormat=P","Fill=—","Direction=H","UseDPDF=Y")</f>
        <v>—</v>
      </c>
      <c r="L11" s="12" t="str">
        <f>_xll.BDH("T US Equity","WIRELESS_DATA_SMS_REVENUE","FY 2022","FY 2022","Currency=USD","Period=FY","BEST_FPERIOD_OVERRIDE=FY","FILING_STATUS=MR","SCALING_FORMAT=MLN","Sort=A","Dates=H","DateFormat=P","Fill=—","Direction=H","UseDPDF=Y")</f>
        <v>—</v>
      </c>
    </row>
    <row r="12" spans="1:1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6" t="s">
        <v>33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0" t="s">
        <v>34</v>
      </c>
      <c r="B14" s="10" t="s">
        <v>35</v>
      </c>
      <c r="C14" s="12">
        <f>_xll.BDH("T US Equity","NUMBER_OF_CELLULAR_SUBSCRIBERS","FY 2013","FY 2013","Currency=USD","Period=FY","BEST_FPERIOD_OVERRIDE=FY","FILING_STATUS=MR","Sort=A","Dates=H","DateFormat=P","Fill=—","Direction=H","UseDPDF=Y")</f>
        <v>110376</v>
      </c>
      <c r="D14" s="12">
        <f>_xll.BDH("T US Equity","NUMBER_OF_CELLULAR_SUBSCRIBERS","FY 2014","FY 2014","Currency=USD","Period=FY","BEST_FPERIOD_OVERRIDE=FY","FILING_STATUS=MR","Sort=A","Dates=H","DateFormat=P","Fill=—","Direction=H","UseDPDF=Y")</f>
        <v>120554</v>
      </c>
      <c r="E14" s="12">
        <f>_xll.BDH("T US Equity","NUMBER_OF_CELLULAR_SUBSCRIBERS","FY 2015","FY 2015","Currency=USD","Period=FY","BEST_FPERIOD_OVERRIDE=FY","FILING_STATUS=MR","Sort=A","Dates=H","DateFormat=P","Fill=—","Direction=H","UseDPDF=Y")</f>
        <v>137324</v>
      </c>
      <c r="F14" s="12">
        <f>_xll.BDH("T US Equity","NUMBER_OF_CELLULAR_SUBSCRIBERS","FY 2016","FY 2016","Currency=USD","Period=FY","BEST_FPERIOD_OVERRIDE=FY","FILING_STATUS=MR","Sort=A","Dates=H","DateFormat=P","Fill=—","Direction=H","UseDPDF=Y")</f>
        <v>146832</v>
      </c>
      <c r="G14" s="12">
        <f>_xll.BDH("T US Equity","NUMBER_OF_CELLULAR_SUBSCRIBERS","FY 2017","FY 2017","Currency=USD","Period=FY","BEST_FPERIOD_OVERRIDE=FY","FILING_STATUS=MR","Sort=A","Dates=H","DateFormat=P","Fill=—","Direction=H","UseDPDF=Y")</f>
        <v>156666</v>
      </c>
      <c r="H14" s="12">
        <f>_xll.BDH("T US Equity","NUMBER_OF_CELLULAR_SUBSCRIBERS","FY 2018","FY 2018","Currency=USD","Period=FY","BEST_FPERIOD_OVERRIDE=FY","FILING_STATUS=MR","Sort=A","Dates=H","DateFormat=P","Fill=—","Direction=H","UseDPDF=Y")</f>
        <v>151921</v>
      </c>
      <c r="I14" s="12">
        <f>_xll.BDH("T US Equity","NUMBER_OF_CELLULAR_SUBSCRIBERS","FY 2019","FY 2019","Currency=USD","Period=FY","BEST_FPERIOD_OVERRIDE=FY","FILING_STATUS=MR","Sort=A","Dates=H","DateFormat=P","Fill=—","Direction=H","UseDPDF=Y")</f>
        <v>165889</v>
      </c>
      <c r="J14" s="12">
        <f>_xll.BDH("T US Equity","NUMBER_OF_CELLULAR_SUBSCRIBERS","FY 2020","FY 2020","Currency=USD","Period=FY","BEST_FPERIOD_OVERRIDE=FY","FILING_STATUS=MR","Sort=A","Dates=H","DateFormat=P","Fill=—","Direction=H","UseDPDF=Y")</f>
        <v>182558</v>
      </c>
      <c r="K14" s="12">
        <f>_xll.BDH("T US Equity","NUMBER_OF_CELLULAR_SUBSCRIBERS","FY 2021","FY 2021","Currency=USD","Period=FY","BEST_FPERIOD_OVERRIDE=FY","FILING_STATUS=MR","Sort=A","Dates=H","DateFormat=P","Fill=—","Direction=H","UseDPDF=Y")</f>
        <v>201791</v>
      </c>
      <c r="L14" s="12">
        <f>_xll.BDH("T US Equity","NUMBER_OF_CELLULAR_SUBSCRIBERS","FY 2022","FY 2022","Currency=USD","Period=FY","BEST_FPERIOD_OVERRIDE=FY","FILING_STATUS=MR","Sort=A","Dates=H","DateFormat=P","Fill=—","Direction=H","UseDPDF=Y")</f>
        <v>217397</v>
      </c>
    </row>
    <row r="15" spans="1:12">
      <c r="A15" s="10" t="s">
        <v>36</v>
      </c>
      <c r="B15" s="10" t="s">
        <v>37</v>
      </c>
      <c r="C15" s="12">
        <f>_xll.BDH("T US Equity","TOTAL_WIRELESS_SUBSCRIBERS_PPD","FY 2013","FY 2013","Currency=USD","Period=FY","BEST_FPERIOD_OVERRIDE=FY","FILING_STATUS=MR","Sort=A","Dates=H","DateFormat=P","Fill=—","Direction=H","UseDPDF=Y")</f>
        <v>72638</v>
      </c>
      <c r="D15" s="12">
        <f>_xll.BDH("T US Equity","TOTAL_WIRELESS_SUBSCRIBERS_PPD","FY 2014","FY 2014","Currency=USD","Period=FY","BEST_FPERIOD_OVERRIDE=FY","FILING_STATUS=MR","Sort=A","Dates=H","DateFormat=P","Fill=—","Direction=H","UseDPDF=Y")</f>
        <v>75770</v>
      </c>
      <c r="E15" s="12">
        <f>_xll.BDH("T US Equity","TOTAL_WIRELESS_SUBSCRIBERS_PPD","FY 2015","FY 2015","Currency=USD","Period=FY","BEST_FPERIOD_OVERRIDE=FY","FILING_STATUS=MR","Sort=A","Dates=H","DateFormat=P","Fill=—","Direction=H","UseDPDF=Y")</f>
        <v>77105</v>
      </c>
      <c r="F15" s="12">
        <f>_xll.BDH("T US Equity","TOTAL_WIRELESS_SUBSCRIBERS_PPD","FY 2016","FY 2016","Currency=USD","Period=FY","BEST_FPERIOD_OVERRIDE=FY","FILING_STATUS=MR","Sort=A","Dates=H","DateFormat=P","Fill=—","Direction=H","UseDPDF=Y")</f>
        <v>77372</v>
      </c>
      <c r="G15" s="12">
        <f>_xll.BDH("T US Equity","TOTAL_WIRELESS_SUBSCRIBERS_PPD","FY 2017","FY 2017","Currency=USD","Period=FY","BEST_FPERIOD_OVERRIDE=FY","FILING_STATUS=MR","Sort=A","Dates=H","DateFormat=P","Fill=—","Direction=H","UseDPDF=Y")</f>
        <v>77875</v>
      </c>
      <c r="H15" s="12">
        <f>_xll.BDH("T US Equity","TOTAL_WIRELESS_SUBSCRIBERS_PPD","FY 2018","FY 2018","Currency=USD","Period=FY","BEST_FPERIOD_OVERRIDE=FY","FILING_STATUS=MR","Sort=A","Dates=H","DateFormat=P","Fill=—","Direction=H","UseDPDF=Y")</f>
        <v>76068</v>
      </c>
      <c r="I15" s="12">
        <f>_xll.BDH("T US Equity","TOTAL_WIRELESS_SUBSCRIBERS_PPD","FY 2019","FY 2019","Currency=USD","Period=FY","BEST_FPERIOD_OVERRIDE=FY","FILING_STATUS=MR","Sort=A","Dates=H","DateFormat=P","Fill=—","Direction=H","UseDPDF=Y")</f>
        <v>75207</v>
      </c>
      <c r="J15" s="12">
        <f>_xll.BDH("T US Equity","TOTAL_WIRELESS_SUBSCRIBERS_PPD","FY 2020","FY 2020","Currency=USD","Period=FY","BEST_FPERIOD_OVERRIDE=FY","FILING_STATUS=MR","Sort=A","Dates=H","DateFormat=P","Fill=—","Direction=H","UseDPDF=Y")</f>
        <v>77154</v>
      </c>
      <c r="K15" s="12">
        <f>_xll.BDH("T US Equity","TOTAL_WIRELESS_SUBSCRIBERS_PPD","FY 2021","FY 2021","Currency=USD","Period=FY","BEST_FPERIOD_OVERRIDE=FY","FILING_STATUS=MR","Sort=A","Dates=H","DateFormat=P","Fill=—","Direction=H","UseDPDF=Y")</f>
        <v>81534</v>
      </c>
      <c r="L15" s="12">
        <f>_xll.BDH("T US Equity","TOTAL_WIRELESS_SUBSCRIBERS_PPD","FY 2022","FY 2022","Currency=USD","Period=FY","BEST_FPERIOD_OVERRIDE=FY","FILING_STATUS=MR","Sort=A","Dates=H","DateFormat=P","Fill=—","Direction=H","UseDPDF=Y")</f>
        <v>84700</v>
      </c>
    </row>
    <row r="16" spans="1:12">
      <c r="A16" s="10" t="s">
        <v>38</v>
      </c>
      <c r="B16" s="10" t="s">
        <v>39</v>
      </c>
      <c r="C16" s="12">
        <f>_xll.BDH("T US Equity","TOTAL_WIRELESS_SUBSCRIBERS_PREPD","FY 2013","FY 2013","Currency=USD","Period=FY","BEST_FPERIOD_OVERRIDE=FY","FILING_STATUS=MR","Sort=A","Dates=H","DateFormat=P","Fill=—","Direction=H","UseDPDF=Y")</f>
        <v>7384</v>
      </c>
      <c r="D16" s="12">
        <f>_xll.BDH("T US Equity","TOTAL_WIRELESS_SUBSCRIBERS_PREPD","FY 2014","FY 2014","Currency=USD","Period=FY","BEST_FPERIOD_OVERRIDE=FY","FILING_STATUS=MR","Sort=A","Dates=H","DateFormat=P","Fill=—","Direction=H","UseDPDF=Y")</f>
        <v>9965</v>
      </c>
      <c r="E16" s="12">
        <f>_xll.BDH("T US Equity","TOTAL_WIRELESS_SUBSCRIBERS_PREPD","FY 2015","FY 2015","Currency=USD","Period=FY","BEST_FPERIOD_OVERRIDE=FY","FILING_STATUS=MR","Sort=A","Dates=H","DateFormat=P","Fill=—","Direction=H","UseDPDF=Y")</f>
        <v>11548</v>
      </c>
      <c r="F16" s="12">
        <f>_xll.BDH("T US Equity","TOTAL_WIRELESS_SUBSCRIBERS_PREPD","FY 2016","FY 2016","Currency=USD","Period=FY","BEST_FPERIOD_OVERRIDE=FY","FILING_STATUS=MR","Sort=A","Dates=H","DateFormat=P","Fill=—","Direction=H","UseDPDF=Y")</f>
        <v>13536</v>
      </c>
      <c r="G16" s="12">
        <f>_xll.BDH("T US Equity","TOTAL_WIRELESS_SUBSCRIBERS_PREPD","FY 2017","FY 2017","Currency=USD","Period=FY","BEST_FPERIOD_OVERRIDE=FY","FILING_STATUS=MR","Sort=A","Dates=H","DateFormat=P","Fill=—","Direction=H","UseDPDF=Y")</f>
        <v>15335</v>
      </c>
      <c r="H16" s="12">
        <f>_xll.BDH("T US Equity","TOTAL_WIRELESS_SUBSCRIBERS_PREPD","FY 2018","FY 2018","Currency=USD","Period=FY","BEST_FPERIOD_OVERRIDE=FY","FILING_STATUS=MR","Sort=A","Dates=H","DateFormat=P","Fill=—","Direction=H","UseDPDF=Y")</f>
        <v>16828</v>
      </c>
      <c r="I16" s="12">
        <f>_xll.BDH("T US Equity","TOTAL_WIRELESS_SUBSCRIBERS_PREPD","FY 2019","FY 2019","Currency=USD","Period=FY","BEST_FPERIOD_OVERRIDE=FY","FILING_STATUS=MR","Sort=A","Dates=H","DateFormat=P","Fill=—","Direction=H","UseDPDF=Y")</f>
        <v>17803</v>
      </c>
      <c r="J16" s="12">
        <f>_xll.BDH("T US Equity","TOTAL_WIRELESS_SUBSCRIBERS_PREPD","FY 2020","FY 2020","Currency=USD","Period=FY","BEST_FPERIOD_OVERRIDE=FY","FILING_STATUS=MR","Sort=A","Dates=H","DateFormat=P","Fill=—","Direction=H","UseDPDF=Y")</f>
        <v>18102</v>
      </c>
      <c r="K16" s="12">
        <f>_xll.BDH("T US Equity","TOTAL_WIRELESS_SUBSCRIBERS_PREPD","FY 2021","FY 2021","Currency=USD","Period=FY","BEST_FPERIOD_OVERRIDE=FY","FILING_STATUS=MR","Sort=A","Dates=H","DateFormat=P","Fill=—","Direction=H","UseDPDF=Y")</f>
        <v>19028</v>
      </c>
      <c r="L16" s="12">
        <f>_xll.BDH("T US Equity","TOTAL_WIRELESS_SUBSCRIBERS_PREPD","FY 2022","FY 2022","Currency=USD","Period=FY","BEST_FPERIOD_OVERRIDE=FY","FILING_STATUS=MR","Sort=A","Dates=H","DateFormat=P","Fill=—","Direction=H","UseDPDF=Y")</f>
        <v>19176</v>
      </c>
    </row>
    <row r="17" spans="1:12">
      <c r="A17" s="10" t="s">
        <v>40</v>
      </c>
      <c r="B17" s="10" t="s">
        <v>41</v>
      </c>
      <c r="C17" s="12">
        <f>_xll.BDH("T US Equity","AVERAGE_WIRELESS_SUBSCRIBERS","FY 2013","FY 2013","Currency=USD","Period=FY","BEST_FPERIOD_OVERRIDE=FY","FILING_STATUS=MR","Sort=A","Dates=H","DateFormat=P","Fill=—","Direction=H","UseDPDF=Y")</f>
        <v>108666.5</v>
      </c>
      <c r="D17" s="12">
        <f>_xll.BDH("T US Equity","AVERAGE_WIRELESS_SUBSCRIBERS","FY 2014","FY 2014","Currency=USD","Period=FY","BEST_FPERIOD_OVERRIDE=FY","FILING_STATUS=MR","Sort=A","Dates=H","DateFormat=P","Fill=—","Direction=H","UseDPDF=Y")</f>
        <v>115465</v>
      </c>
      <c r="E17" s="12">
        <f>_xll.BDH("T US Equity","AVERAGE_WIRELESS_SUBSCRIBERS","FY 2015","FY 2015","Currency=USD","Period=FY","BEST_FPERIOD_OVERRIDE=FY","FILING_STATUS=MR","Sort=A","Dates=H","DateFormat=P","Fill=—","Direction=H","UseDPDF=Y")</f>
        <v>128939</v>
      </c>
      <c r="F17" s="12">
        <f>_xll.BDH("T US Equity","AVERAGE_WIRELESS_SUBSCRIBERS","FY 2016","FY 2016","Currency=USD","Period=FY","BEST_FPERIOD_OVERRIDE=FY","FILING_STATUS=MR","Sort=A","Dates=H","DateFormat=P","Fill=—","Direction=H","UseDPDF=Y")</f>
        <v>142078</v>
      </c>
      <c r="G17" s="12">
        <f>_xll.BDH("T US Equity","AVERAGE_WIRELESS_SUBSCRIBERS","FY 2017","FY 2017","Currency=USD","Period=FY","BEST_FPERIOD_OVERRIDE=FY","FILING_STATUS=MR","Sort=A","Dates=H","DateFormat=P","Fill=—","Direction=H","UseDPDF=Y")</f>
        <v>151749</v>
      </c>
      <c r="H17" s="12">
        <f>_xll.BDH("T US Equity","AVERAGE_WIRELESS_SUBSCRIBERS","FY 2018","FY 2018","Currency=USD","Period=FY","BEST_FPERIOD_OVERRIDE=FY","FILING_STATUS=MR","Sort=A","Dates=H","DateFormat=P","Fill=—","Direction=H","UseDPDF=Y")</f>
        <v>154293.5</v>
      </c>
      <c r="I17" s="12">
        <f>_xll.BDH("T US Equity","AVERAGE_WIRELESS_SUBSCRIBERS","FY 2019","FY 2019","Currency=USD","Period=FY","BEST_FPERIOD_OVERRIDE=FY","FILING_STATUS=MR","Sort=A","Dates=H","DateFormat=P","Fill=—","Direction=H","UseDPDF=Y")</f>
        <v>158905</v>
      </c>
      <c r="J17" s="12">
        <f>_xll.BDH("T US Equity","AVERAGE_WIRELESS_SUBSCRIBERS","FY 2020","FY 2020","Currency=USD","Period=FY","BEST_FPERIOD_OVERRIDE=FY","FILING_STATUS=MR","Sort=A","Dates=H","DateFormat=P","Fill=—","Direction=H","UseDPDF=Y")</f>
        <v>174223.5</v>
      </c>
      <c r="K17" s="12">
        <f>_xll.BDH("T US Equity","AVERAGE_WIRELESS_SUBSCRIBERS","FY 2021","FY 2021","Currency=USD","Period=FY","BEST_FPERIOD_OVERRIDE=FY","FILING_STATUS=MR","Sort=A","Dates=H","DateFormat=P","Fill=—","Direction=H","UseDPDF=Y")</f>
        <v>192174.5</v>
      </c>
      <c r="L17" s="12">
        <f>_xll.BDH("T US Equity","AVERAGE_WIRELESS_SUBSCRIBERS","FY 2022","FY 2022","Currency=USD","Period=FY","BEST_FPERIOD_OVERRIDE=FY","FILING_STATUS=MR","Sort=A","Dates=H","DateFormat=P","Fill=—","Direction=H","UseDPDF=Y")</f>
        <v>209594</v>
      </c>
    </row>
    <row r="18" spans="1:1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6" t="s">
        <v>42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0" t="s">
        <v>43</v>
      </c>
      <c r="B20" s="10" t="s">
        <v>44</v>
      </c>
      <c r="C20" s="12">
        <f>_xll.BDH("T US Equity","CELLULAR_NET_SUBSCRIBER_ADDITION","FY 2013","FY 2013","Currency=USD","Period=FY","BEST_FPERIOD_OVERRIDE=FY","FILING_STATUS=MR","Sort=A","Dates=H","DateFormat=P","Fill=—","Direction=H","UseDPDF=Y")</f>
        <v>3419</v>
      </c>
      <c r="D20" s="12">
        <f>_xll.BDH("T US Equity","CELLULAR_NET_SUBSCRIBER_ADDITION","FY 2014","FY 2014","Currency=USD","Period=FY","BEST_FPERIOD_OVERRIDE=FY","FILING_STATUS=MR","Sort=A","Dates=H","DateFormat=P","Fill=—","Direction=H","UseDPDF=Y")</f>
        <v>5608</v>
      </c>
      <c r="E20" s="12">
        <f>_xll.BDH("T US Equity","CELLULAR_NET_SUBSCRIBER_ADDITION","FY 2015","FY 2015","Currency=USD","Period=FY","BEST_FPERIOD_OVERRIDE=FY","FILING_STATUS=MR","Sort=A","Dates=H","DateFormat=P","Fill=—","Direction=H","UseDPDF=Y")</f>
        <v>8059</v>
      </c>
      <c r="F20" s="12">
        <f>_xll.BDH("T US Equity","CELLULAR_NET_SUBSCRIBER_ADDITION","FY 2016","FY 2016","Currency=USD","Period=FY","BEST_FPERIOD_OVERRIDE=FY","FILING_STATUS=MR","Sort=A","Dates=H","DateFormat=P","Fill=—","Direction=H","UseDPDF=Y")</f>
        <v>6196</v>
      </c>
      <c r="G20" s="12">
        <f>_xll.BDH("T US Equity","CELLULAR_NET_SUBSCRIBER_ADDITION","FY 2017","FY 2017","Currency=USD","Period=FY","BEST_FPERIOD_OVERRIDE=FY","FILING_STATUS=MR","Sort=A","Dates=H","DateFormat=P","Fill=—","Direction=H","UseDPDF=Y")</f>
        <v>9427</v>
      </c>
      <c r="H20" s="12">
        <f>_xll.BDH("T US Equity","CELLULAR_NET_SUBSCRIBER_ADDITION","FY 2018","FY 2018","Currency=USD","Period=FY","BEST_FPERIOD_OVERRIDE=FY","FILING_STATUS=MR","Sort=A","Dates=H","DateFormat=P","Fill=—","Direction=H","UseDPDF=Y")</f>
        <v>11936</v>
      </c>
      <c r="I20" s="12">
        <f>_xll.BDH("T US Equity","CELLULAR_NET_SUBSCRIBER_ADDITION","FY 2019","FY 2019","Currency=USD","Period=FY","BEST_FPERIOD_OVERRIDE=FY","FILING_STATUS=MR","Sort=A","Dates=H","DateFormat=P","Fill=—","Direction=H","UseDPDF=Y")</f>
        <v>13959</v>
      </c>
      <c r="J20" s="12">
        <f>_xll.BDH("T US Equity","CELLULAR_NET_SUBSCRIBER_ADDITION","FY 2020","FY 2020","Currency=USD","Period=FY","BEST_FPERIOD_OVERRIDE=FY","FILING_STATUS=MR","Sort=A","Dates=H","DateFormat=P","Fill=—","Direction=H","UseDPDF=Y")</f>
        <v>16898</v>
      </c>
      <c r="K20" s="12">
        <f>_xll.BDH("T US Equity","CELLULAR_NET_SUBSCRIBER_ADDITION","FY 2021","FY 2021","Currency=USD","Period=FY","BEST_FPERIOD_OVERRIDE=FY","FILING_STATUS=MR","Sort=A","Dates=H","DateFormat=P","Fill=—","Direction=H","UseDPDF=Y")</f>
        <v>19232</v>
      </c>
      <c r="L20" s="12">
        <f>_xll.BDH("T US Equity","CELLULAR_NET_SUBSCRIBER_ADDITION","FY 2022","FY 2022","Currency=USD","Period=FY","BEST_FPERIOD_OVERRIDE=FY","FILING_STATUS=MR","Sort=A","Dates=H","DateFormat=P","Fill=—","Direction=H","UseDPDF=Y")</f>
        <v>25626</v>
      </c>
    </row>
    <row r="21" spans="1:12">
      <c r="A21" s="10" t="s">
        <v>45</v>
      </c>
      <c r="B21" s="10" t="s">
        <v>46</v>
      </c>
      <c r="C21" s="12">
        <f>_xll.BDH("T US Equity","ORGANIC_NET_ADDS","FY 2013","FY 2013","Currency=USD","Period=FY","BEST_FPERIOD_OVERRIDE=FY","FILING_STATUS=MR","Sort=A","Dates=H","DateFormat=P","Fill=—","Direction=H","UseDPDF=Y")</f>
        <v>3419</v>
      </c>
      <c r="D21" s="12">
        <f>_xll.BDH("T US Equity","ORGANIC_NET_ADDS","FY 2014","FY 2014","Currency=USD","Period=FY","BEST_FPERIOD_OVERRIDE=FY","FILING_STATUS=MR","Sort=A","Dates=H","DateFormat=P","Fill=—","Direction=H","UseDPDF=Y")</f>
        <v>5608</v>
      </c>
      <c r="E21" s="12">
        <f>_xll.BDH("T US Equity","ORGANIC_NET_ADDS","FY 2015","FY 2015","Currency=USD","Period=FY","BEST_FPERIOD_OVERRIDE=FY","FILING_STATUS=MR","Sort=A","Dates=H","DateFormat=P","Fill=—","Direction=H","UseDPDF=Y")</f>
        <v>8059</v>
      </c>
      <c r="F21" s="12">
        <f>_xll.BDH("T US Equity","ORGANIC_NET_ADDS","FY 2016","FY 2016","Currency=USD","Period=FY","BEST_FPERIOD_OVERRIDE=FY","FILING_STATUS=MR","Sort=A","Dates=H","DateFormat=P","Fill=—","Direction=H","UseDPDF=Y")</f>
        <v>6196</v>
      </c>
      <c r="G21" s="12">
        <f>_xll.BDH("T US Equity","ORGANIC_NET_ADDS","FY 2017","FY 2017","Currency=USD","Period=FY","BEST_FPERIOD_OVERRIDE=FY","FILING_STATUS=MR","Sort=A","Dates=H","DateFormat=P","Fill=—","Direction=H","UseDPDF=Y")</f>
        <v>9427</v>
      </c>
      <c r="H21" s="12">
        <f>_xll.BDH("T US Equity","ORGANIC_NET_ADDS","FY 2018","FY 2018","Currency=USD","Period=FY","BEST_FPERIOD_OVERRIDE=FY","FILING_STATUS=MR","Sort=A","Dates=H","DateFormat=P","Fill=—","Direction=H","UseDPDF=Y")</f>
        <v>11936</v>
      </c>
      <c r="I21" s="12">
        <f>_xll.BDH("T US Equity","ORGANIC_NET_ADDS","FY 2019","FY 2019","Currency=USD","Period=FY","BEST_FPERIOD_OVERRIDE=FY","FILING_STATUS=MR","Sort=A","Dates=H","DateFormat=P","Fill=—","Direction=H","UseDPDF=Y")</f>
        <v>13959</v>
      </c>
      <c r="J21" s="12">
        <f>_xll.BDH("T US Equity","ORGANIC_NET_ADDS","FY 2020","FY 2020","Currency=USD","Period=FY","BEST_FPERIOD_OVERRIDE=FY","FILING_STATUS=MR","Sort=A","Dates=H","DateFormat=P","Fill=—","Direction=H","UseDPDF=Y")</f>
        <v>16898</v>
      </c>
      <c r="K21" s="12">
        <f>_xll.BDH("T US Equity","ORGANIC_NET_ADDS","FY 2021","FY 2021","Currency=USD","Period=FY","BEST_FPERIOD_OVERRIDE=FY","FILING_STATUS=MR","Sort=A","Dates=H","DateFormat=P","Fill=—","Direction=H","UseDPDF=Y")</f>
        <v>19232</v>
      </c>
      <c r="L21" s="12">
        <f>_xll.BDH("T US Equity","ORGANIC_NET_ADDS","FY 2022","FY 2022","Currency=USD","Period=FY","BEST_FPERIOD_OVERRIDE=FY","FILING_STATUS=MR","Sort=A","Dates=H","DateFormat=P","Fill=—","Direction=H","UseDPDF=Y")</f>
        <v>25626</v>
      </c>
    </row>
    <row r="22" spans="1:12">
      <c r="A22" s="10" t="s">
        <v>47</v>
      </c>
      <c r="B22" s="10" t="s">
        <v>48</v>
      </c>
      <c r="C22" s="12">
        <f>_xll.BDH("T US Equity","NET_WIRELESS_SUBSCRIBER_ADDS_PPD","FY 2013","FY 2013","Currency=USD","Period=FY","BEST_FPERIOD_OVERRIDE=FY","FILING_STATUS=MR","Sort=A","Dates=H","DateFormat=P","Fill=—","Direction=H","UseDPDF=Y")</f>
        <v>1776</v>
      </c>
      <c r="D22" s="12">
        <f>_xll.BDH("T US Equity","NET_WIRELESS_SUBSCRIBER_ADDS_PPD","FY 2014","FY 2014","Currency=USD","Period=FY","BEST_FPERIOD_OVERRIDE=FY","FILING_STATUS=MR","Sort=A","Dates=H","DateFormat=P","Fill=—","Direction=H","UseDPDF=Y")</f>
        <v>3290</v>
      </c>
      <c r="E22" s="12">
        <f>_xll.BDH("T US Equity","NET_WIRELESS_SUBSCRIBER_ADDS_PPD","FY 2015","FY 2015","Currency=USD","Period=FY","BEST_FPERIOD_OVERRIDE=FY","FILING_STATUS=MR","Sort=A","Dates=H","DateFormat=P","Fill=—","Direction=H","UseDPDF=Y")</f>
        <v>1666</v>
      </c>
      <c r="F22" s="12">
        <f>_xll.BDH("T US Equity","NET_WIRELESS_SUBSCRIBER_ADDS_PPD","FY 2016","FY 2016","Currency=USD","Period=FY","BEST_FPERIOD_OVERRIDE=FY","FILING_STATUS=MR","Sort=A","Dates=H","DateFormat=P","Fill=—","Direction=H","UseDPDF=Y")</f>
        <v>986</v>
      </c>
      <c r="G22" s="12">
        <f>_xll.BDH("T US Equity","NET_WIRELESS_SUBSCRIBER_ADDS_PPD","FY 2017","FY 2017","Currency=USD","Period=FY","BEST_FPERIOD_OVERRIDE=FY","FILING_STATUS=MR","Sort=A","Dates=H","DateFormat=P","Fill=—","Direction=H","UseDPDF=Y")</f>
        <v>594</v>
      </c>
      <c r="H22" s="12">
        <f>_xll.BDH("T US Equity","NET_WIRELESS_SUBSCRIBER_ADDS_PPD","FY 2018","FY 2018","Currency=USD","Period=FY","BEST_FPERIOD_OVERRIDE=FY","FILING_STATUS=MR","Sort=A","Dates=H","DateFormat=P","Fill=—","Direction=H","UseDPDF=Y")</f>
        <v>-90</v>
      </c>
      <c r="I22" s="12">
        <f>_xll.BDH("T US Equity","NET_WIRELESS_SUBSCRIBER_ADDS_PPD","FY 2019","FY 2019","Currency=USD","Period=FY","BEST_FPERIOD_OVERRIDE=FY","FILING_STATUS=MR","Sort=A","Dates=H","DateFormat=P","Fill=—","Direction=H","UseDPDF=Y")</f>
        <v>-435</v>
      </c>
      <c r="J22" s="12">
        <f>_xll.BDH("T US Equity","NET_WIRELESS_SUBSCRIBER_ADDS_PPD","FY 2020","FY 2020","Currency=USD","Period=FY","BEST_FPERIOD_OVERRIDE=FY","FILING_STATUS=MR","Sort=A","Dates=H","DateFormat=P","Fill=—","Direction=H","UseDPDF=Y")</f>
        <v>2183</v>
      </c>
      <c r="K22" s="12">
        <f>_xll.BDH("T US Equity","NET_WIRELESS_SUBSCRIBER_ADDS_PPD","FY 2021","FY 2021","Currency=USD","Period=FY","BEST_FPERIOD_OVERRIDE=FY","FILING_STATUS=MR","Sort=A","Dates=H","DateFormat=P","Fill=—","Direction=H","UseDPDF=Y")</f>
        <v>4482</v>
      </c>
      <c r="L22" s="12">
        <f>_xll.BDH("T US Equity","NET_WIRELESS_SUBSCRIBER_ADDS_PPD","FY 2022","FY 2022","Currency=USD","Period=FY","BEST_FPERIOD_OVERRIDE=FY","FILING_STATUS=MR","Sort=A","Dates=H","DateFormat=P","Fill=—","Direction=H","UseDPDF=Y")</f>
        <v>4091</v>
      </c>
    </row>
    <row r="23" spans="1:12">
      <c r="A23" s="10" t="s">
        <v>49</v>
      </c>
      <c r="B23" s="10" t="s">
        <v>50</v>
      </c>
      <c r="C23" s="12">
        <f>_xll.BDH("T US Equity","NET_WIRELESS_SUBSCR_ADDS_PREPD","FY 2013","FY 2013","Currency=USD","Period=FY","BEST_FPERIOD_OVERRIDE=FY","FILING_STATUS=MR","Sort=A","Dates=H","DateFormat=P","Fill=—","Direction=H","UseDPDF=Y")</f>
        <v>-13</v>
      </c>
      <c r="D23" s="12">
        <f>_xll.BDH("T US Equity","NET_WIRELESS_SUBSCR_ADDS_PREPD","FY 2014","FY 2014","Currency=USD","Period=FY","BEST_FPERIOD_OVERRIDE=FY","FILING_STATUS=MR","Sort=A","Dates=H","DateFormat=P","Fill=—","Direction=H","UseDPDF=Y")</f>
        <v>-311</v>
      </c>
      <c r="E23" s="12">
        <f>_xll.BDH("T US Equity","NET_WIRELESS_SUBSCR_ADDS_PREPD","FY 2015","FY 2015","Currency=USD","Period=FY","BEST_FPERIOD_OVERRIDE=FY","FILING_STATUS=MR","Sort=A","Dates=H","DateFormat=P","Fill=—","Direction=H","UseDPDF=Y")</f>
        <v>1364</v>
      </c>
      <c r="F23" s="12">
        <f>_xll.BDH("T US Equity","NET_WIRELESS_SUBSCR_ADDS_PREPD","FY 2016","FY 2016","Currency=USD","Period=FY","BEST_FPERIOD_OVERRIDE=FY","FILING_STATUS=MR","Sort=A","Dates=H","DateFormat=P","Fill=—","Direction=H","UseDPDF=Y")</f>
        <v>1575</v>
      </c>
      <c r="G23" s="12">
        <f>_xll.BDH("T US Equity","NET_WIRELESS_SUBSCR_ADDS_PREPD","FY 2017","FY 2017","Currency=USD","Period=FY","BEST_FPERIOD_OVERRIDE=FY","FILING_STATUS=MR","Sort=A","Dates=H","DateFormat=P","Fill=—","Direction=H","UseDPDF=Y")</f>
        <v>1013</v>
      </c>
      <c r="H23" s="12">
        <f>_xll.BDH("T US Equity","NET_WIRELESS_SUBSCR_ADDS_PREPD","FY 2018","FY 2018","Currency=USD","Period=FY","BEST_FPERIOD_OVERRIDE=FY","FILING_STATUS=MR","Sort=A","Dates=H","DateFormat=P","Fill=—","Direction=H","UseDPDF=Y")</f>
        <v>1301</v>
      </c>
      <c r="I23" s="12">
        <f>_xll.BDH("T US Equity","NET_WIRELESS_SUBSCR_ADDS_PREPD","FY 2019","FY 2019","Currency=USD","Period=FY","BEST_FPERIOD_OVERRIDE=FY","FILING_STATUS=MR","Sort=A","Dates=H","DateFormat=P","Fill=—","Direction=H","UseDPDF=Y")</f>
        <v>677</v>
      </c>
      <c r="J23" s="12">
        <f>_xll.BDH("T US Equity","NET_WIRELESS_SUBSCR_ADDS_PREPD","FY 2020","FY 2020","Currency=USD","Period=FY","BEST_FPERIOD_OVERRIDE=FY","FILING_STATUS=MR","Sort=A","Dates=H","DateFormat=P","Fill=—","Direction=H","UseDPDF=Y")</f>
        <v>379</v>
      </c>
      <c r="K23" s="12">
        <f>_xll.BDH("T US Equity","NET_WIRELESS_SUBSCR_ADDS_PREPD","FY 2021","FY 2021","Currency=USD","Period=FY","BEST_FPERIOD_OVERRIDE=FY","FILING_STATUS=MR","Sort=A","Dates=H","DateFormat=P","Fill=—","Direction=H","UseDPDF=Y")</f>
        <v>956</v>
      </c>
      <c r="L23" s="12">
        <f>_xll.BDH("T US Equity","NET_WIRELESS_SUBSCR_ADDS_PREPD","FY 2022","FY 2022","Currency=USD","Period=FY","BEST_FPERIOD_OVERRIDE=FY","FILING_STATUS=MR","Sort=A","Dates=H","DateFormat=P","Fill=—","Direction=H","UseDPDF=Y")</f>
        <v>479</v>
      </c>
    </row>
    <row r="24" spans="1:1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>
      <c r="A25" s="6" t="s">
        <v>51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10" t="s">
        <v>52</v>
      </c>
      <c r="B26" s="10" t="s">
        <v>53</v>
      </c>
      <c r="C26" s="13">
        <f>_xll.BDH("T US Equity","TELECOM_CELLULAR_CHURN_RATE","FY 2013","FY 2013","Currency=USD","Period=FY","BEST_FPERIOD_OVERRIDE=FY","FILING_STATUS=MR","Sort=A","Dates=H","DateFormat=P","Fill=—","Direction=H","UseDPDF=Y")</f>
        <v>1.37</v>
      </c>
      <c r="D26" s="13">
        <f>_xll.BDH("T US Equity","TELECOM_CELLULAR_CHURN_RATE","FY 2014","FY 2014","Currency=USD","Period=FY","BEST_FPERIOD_OVERRIDE=FY","FILING_STATUS=MR","Sort=A","Dates=H","DateFormat=P","Fill=—","Direction=H","UseDPDF=Y")</f>
        <v>1.45</v>
      </c>
      <c r="E26" s="13">
        <f>_xll.BDH("T US Equity","TELECOM_CELLULAR_CHURN_RATE","FY 2015","FY 2015","Currency=USD","Period=FY","BEST_FPERIOD_OVERRIDE=FY","FILING_STATUS=MR","Sort=A","Dates=H","DateFormat=P","Fill=—","Direction=H","UseDPDF=Y")</f>
        <v>1.39</v>
      </c>
      <c r="F26" s="13">
        <f>_xll.BDH("T US Equity","TELECOM_CELLULAR_CHURN_RATE","FY 2016","FY 2016","Currency=USD","Period=FY","BEST_FPERIOD_OVERRIDE=FY","FILING_STATUS=MR","Sort=A","Dates=H","DateFormat=P","Fill=—","Direction=H","UseDPDF=Y")</f>
        <v>1.48</v>
      </c>
      <c r="G26" s="13">
        <f>_xll.BDH("T US Equity","TELECOM_CELLULAR_CHURN_RATE","FY 2017","FY 2017","Currency=USD","Period=FY","BEST_FPERIOD_OVERRIDE=FY","FILING_STATUS=MR","Sort=A","Dates=H","DateFormat=P","Fill=—","Direction=H","UseDPDF=Y")</f>
        <v>1.36</v>
      </c>
      <c r="H26" s="13" t="str">
        <f>_xll.BDH("T US Equity","TELECOM_CELLULAR_CHURN_RATE","FY 2018","FY 2018","Currency=USD","Period=FY","BEST_FPERIOD_OVERRIDE=FY","FILING_STATUS=MR","Sort=A","Dates=H","DateFormat=P","Fill=—","Direction=H","UseDPDF=Y")</f>
        <v>—</v>
      </c>
      <c r="I26" s="13" t="str">
        <f>_xll.BDH("T US Equity","TELECOM_CELLULAR_CHURN_RATE","FY 2019","FY 2019","Currency=USD","Period=FY","BEST_FPERIOD_OVERRIDE=FY","FILING_STATUS=MR","Sort=A","Dates=H","DateFormat=P","Fill=—","Direction=H","UseDPDF=Y")</f>
        <v>—</v>
      </c>
      <c r="J26" s="13" t="str">
        <f>_xll.BDH("T US Equity","TELECOM_CELLULAR_CHURN_RATE","FY 2020","FY 2020","Currency=USD","Period=FY","BEST_FPERIOD_OVERRIDE=FY","FILING_STATUS=MR","Sort=A","Dates=H","DateFormat=P","Fill=—","Direction=H","UseDPDF=Y")</f>
        <v>—</v>
      </c>
      <c r="K26" s="13" t="str">
        <f>_xll.BDH("T US Equity","TELECOM_CELLULAR_CHURN_RATE","FY 2021","FY 2021","Currency=USD","Period=FY","BEST_FPERIOD_OVERRIDE=FY","FILING_STATUS=MR","Sort=A","Dates=H","DateFormat=P","Fill=—","Direction=H","UseDPDF=Y")</f>
        <v>—</v>
      </c>
      <c r="L26" s="13" t="str">
        <f>_xll.BDH("T US Equity","TELECOM_CELLULAR_CHURN_RATE","FY 2022","FY 2022","Currency=USD","Period=FY","BEST_FPERIOD_OVERRIDE=FY","FILING_STATUS=MR","Sort=A","Dates=H","DateFormat=P","Fill=—","Direction=H","UseDPDF=Y")</f>
        <v>—</v>
      </c>
    </row>
    <row r="27" spans="1:12">
      <c r="A27" s="10" t="s">
        <v>54</v>
      </c>
      <c r="B27" s="10" t="s">
        <v>55</v>
      </c>
      <c r="C27" s="13">
        <f>_xll.BDH("T US Equity","WIRELESS_POSTPAID_CHURN","FY 2013","FY 2013","Currency=USD","Period=FY","BEST_FPERIOD_OVERRIDE=FY","FILING_STATUS=MR","Sort=A","Dates=H","DateFormat=P","Fill=—","Direction=H","UseDPDF=Y")</f>
        <v>1.06</v>
      </c>
      <c r="D27" s="13">
        <f>_xll.BDH("T US Equity","WIRELESS_POSTPAID_CHURN","FY 2014","FY 2014","Currency=USD","Period=FY","BEST_FPERIOD_OVERRIDE=FY","FILING_STATUS=MR","Sort=A","Dates=H","DateFormat=P","Fill=—","Direction=H","UseDPDF=Y")</f>
        <v>1.04</v>
      </c>
      <c r="E27" s="13">
        <f>_xll.BDH("T US Equity","WIRELESS_POSTPAID_CHURN","FY 2015","FY 2015","Currency=USD","Period=FY","BEST_FPERIOD_OVERRIDE=FY","FILING_STATUS=MR","Sort=A","Dates=H","DateFormat=P","Fill=—","Direction=H","UseDPDF=Y")</f>
        <v>1.0900000000000001</v>
      </c>
      <c r="F27" s="13">
        <f>_xll.BDH("T US Equity","WIRELESS_POSTPAID_CHURN","FY 2016","FY 2016","Currency=USD","Period=FY","BEST_FPERIOD_OVERRIDE=FY","FILING_STATUS=MR","Sort=A","Dates=H","DateFormat=P","Fill=—","Direction=H","UseDPDF=Y")</f>
        <v>1.07</v>
      </c>
      <c r="G27" s="13">
        <f>_xll.BDH("T US Equity","WIRELESS_POSTPAID_CHURN","FY 2017","FY 2017","Currency=USD","Period=FY","BEST_FPERIOD_OVERRIDE=FY","FILING_STATUS=MR","Sort=A","Dates=H","DateFormat=P","Fill=—","Direction=H","UseDPDF=Y")</f>
        <v>1.08</v>
      </c>
      <c r="H27" s="13">
        <f>_xll.BDH("T US Equity","WIRELESS_POSTPAID_CHURN","FY 2018","FY 2018","Currency=USD","Period=FY","BEST_FPERIOD_OVERRIDE=FY","FILING_STATUS=MR","Sort=A","Dates=H","DateFormat=P","Fill=—","Direction=H","UseDPDF=Y")</f>
        <v>1.1200000000000001</v>
      </c>
      <c r="I27" s="13">
        <f>_xll.BDH("T US Equity","WIRELESS_POSTPAID_CHURN","FY 2019","FY 2019","Currency=USD","Period=FY","BEST_FPERIOD_OVERRIDE=FY","FILING_STATUS=MR","Sort=A","Dates=H","DateFormat=P","Fill=—","Direction=H","UseDPDF=Y")</f>
        <v>1.18</v>
      </c>
      <c r="J27" s="13">
        <f>_xll.BDH("T US Equity","WIRELESS_POSTPAID_CHURN","FY 2020","FY 2020","Currency=USD","Period=FY","BEST_FPERIOD_OVERRIDE=FY","FILING_STATUS=MR","Sort=A","Dates=H","DateFormat=P","Fill=—","Direction=H","UseDPDF=Y")</f>
        <v>0.98</v>
      </c>
      <c r="K27" s="13">
        <f>_xll.BDH("T US Equity","WIRELESS_POSTPAID_CHURN","FY 2021","FY 2021","Currency=USD","Period=FY","BEST_FPERIOD_OVERRIDE=FY","FILING_STATUS=MR","Sort=A","Dates=H","DateFormat=P","Fill=—","Direction=H","UseDPDF=Y")</f>
        <v>0.94</v>
      </c>
      <c r="L27" s="13">
        <f>_xll.BDH("T US Equity","WIRELESS_POSTPAID_CHURN","FY 2022","FY 2022","Currency=USD","Period=FY","BEST_FPERIOD_OVERRIDE=FY","FILING_STATUS=MR","Sort=A","Dates=H","DateFormat=P","Fill=—","Direction=H","UseDPDF=Y")</f>
        <v>0.97</v>
      </c>
    </row>
    <row r="28" spans="1:1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>
      <c r="A29" s="6" t="s">
        <v>56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>
      <c r="A30" s="10" t="s">
        <v>57</v>
      </c>
      <c r="B30" s="10" t="s">
        <v>58</v>
      </c>
      <c r="C30" s="13" t="str">
        <f>_xll.BDH("T US Equity","AVG_REVENUE_PER_CELL_SUBSCRIBER","FY 2013","FY 2013","Currency=USD","Period=FY","BEST_FPERIOD_OVERRIDE=FY","FILING_STATUS=MR","Sort=A","Dates=H","DateFormat=P","Fill=—","Direction=H","UseDPDF=Y")</f>
        <v>—</v>
      </c>
      <c r="D30" s="13">
        <f>_xll.BDH("T US Equity","AVG_REVENUE_PER_CELL_SUBSCRIBER","FY 2014","FY 2014","Currency=USD","Period=FY","BEST_FPERIOD_OVERRIDE=FY","FILING_STATUS=MR","Sort=A","Dates=H","DateFormat=P","Fill=—","Direction=H","UseDPDF=Y")</f>
        <v>51.15</v>
      </c>
      <c r="E30" s="13">
        <f>_xll.BDH("T US Equity","AVG_REVENUE_PER_CELL_SUBSCRIBER","FY 2015","FY 2015","Currency=USD","Period=FY","BEST_FPERIOD_OVERRIDE=FY","FILING_STATUS=MR","Sort=A","Dates=H","DateFormat=P","Fill=—","Direction=H","UseDPDF=Y")</f>
        <v>38.78</v>
      </c>
      <c r="F30" s="13">
        <f>_xll.BDH("T US Equity","AVG_REVENUE_PER_CELL_SUBSCRIBER","FY 2016","FY 2016","Currency=USD","Period=FY","BEST_FPERIOD_OVERRIDE=FY","FILING_STATUS=MR","Sort=A","Dates=H","DateFormat=P","Fill=—","Direction=H","UseDPDF=Y")</f>
        <v>37.56</v>
      </c>
      <c r="G30" s="13">
        <f>_xll.BDH("T US Equity","AVG_REVENUE_PER_CELL_SUBSCRIBER","FY 2017","FY 2017","Currency=USD","Period=FY","BEST_FPERIOD_OVERRIDE=FY","FILING_STATUS=MR","Sort=A","Dates=H","DateFormat=P","Fill=—","Direction=H","UseDPDF=Y")</f>
        <v>35.36</v>
      </c>
      <c r="H30" s="13">
        <f>_xll.BDH("T US Equity","AVG_REVENUE_PER_CELL_SUBSCRIBER","FY 2018","FY 2018","Currency=USD","Period=FY","BEST_FPERIOD_OVERRIDE=FY","FILING_STATUS=MR","Sort=A","Dates=H","DateFormat=P","Fill=—","Direction=H","UseDPDF=Y")</f>
        <v>38.68</v>
      </c>
      <c r="I30" s="13">
        <f>_xll.BDH("T US Equity","AVG_REVENUE_PER_CELL_SUBSCRIBER","FY 2019","FY 2019","Currency=USD","Period=FY","BEST_FPERIOD_OVERRIDE=FY","FILING_STATUS=MR","Sort=A","Dates=H","DateFormat=P","Fill=—","Direction=H","UseDPDF=Y")</f>
        <v>35.69</v>
      </c>
      <c r="J30" s="13">
        <f>_xll.BDH("T US Equity","AVG_REVENUE_PER_CELL_SUBSCRIBER","FY 2020","FY 2020","Currency=USD","Period=FY","BEST_FPERIOD_OVERRIDE=FY","FILING_STATUS=MR","Sort=A","Dates=H","DateFormat=P","Fill=—","Direction=H","UseDPDF=Y")</f>
        <v>33.119999999999997</v>
      </c>
      <c r="K30" s="13">
        <f>_xll.BDH("T US Equity","AVG_REVENUE_PER_CELL_SUBSCRIBER","FY 2021","FY 2021","Currency=USD","Period=FY","BEST_FPERIOD_OVERRIDE=FY","FILING_STATUS=MR","Sort=A","Dates=H","DateFormat=P","Fill=—","Direction=H","UseDPDF=Y")</f>
        <v>48.97</v>
      </c>
      <c r="L30" s="13">
        <f>_xll.BDH("T US Equity","AVG_REVENUE_PER_CELL_SUBSCRIBER","FY 2022","FY 2022","Currency=USD","Period=FY","BEST_FPERIOD_OVERRIDE=FY","FILING_STATUS=MR","Sort=A","Dates=H","DateFormat=P","Fill=—","Direction=H","UseDPDF=Y")</f>
        <v>33.39</v>
      </c>
    </row>
    <row r="31" spans="1:12">
      <c r="A31" s="10" t="s">
        <v>59</v>
      </c>
      <c r="B31" s="10" t="s">
        <v>60</v>
      </c>
      <c r="C31" s="13" t="str">
        <f>_xll.BDH("T US Equity","POSTPAID_ARPU","FY 2013","FY 2013","Currency=USD","Period=FY","BEST_FPERIOD_OVERRIDE=FY","FILING_STATUS=MR","Sort=A","Dates=H","DateFormat=P","Fill=—","Direction=H","UseDPDF=Y")</f>
        <v>—</v>
      </c>
      <c r="D31" s="13">
        <f>_xll.BDH("T US Equity","POSTPAID_ARPU","FY 2014","FY 2014","Currency=USD","Period=FY","BEST_FPERIOD_OVERRIDE=FY","FILING_STATUS=MR","Sort=A","Dates=H","DateFormat=P","Fill=—","Direction=H","UseDPDF=Y")</f>
        <v>60.62</v>
      </c>
      <c r="E31" s="13">
        <f>_xll.BDH("T US Equity","POSTPAID_ARPU","FY 2015","FY 2015","Currency=USD","Period=FY","BEST_FPERIOD_OVERRIDE=FY","FILING_STATUS=MR","Sort=A","Dates=H","DateFormat=P","Fill=—","Direction=H","UseDPDF=Y")</f>
        <v>55.58</v>
      </c>
      <c r="F31" s="13">
        <f>_xll.BDH("T US Equity","POSTPAID_ARPU","FY 2016","FY 2016","Currency=USD","Period=FY","BEST_FPERIOD_OVERRIDE=FY","FILING_STATUS=MR","Sort=A","Dates=H","DateFormat=P","Fill=—","Direction=H","UseDPDF=Y")</f>
        <v>53.59</v>
      </c>
      <c r="G31" s="13">
        <f>_xll.BDH("T US Equity","POSTPAID_ARPU","FY 2017","FY 2017","Currency=USD","Period=FY","BEST_FPERIOD_OVERRIDE=FY","FILING_STATUS=MR","Sort=A","Dates=H","DateFormat=P","Fill=—","Direction=H","UseDPDF=Y")</f>
        <v>52.51</v>
      </c>
      <c r="H31" s="13">
        <f>_xll.BDH("T US Equity","POSTPAID_ARPU","FY 2018","FY 2018","Currency=USD","Period=FY","BEST_FPERIOD_OVERRIDE=FY","FILING_STATUS=MR","Sort=A","Dates=H","DateFormat=P","Fill=—","Direction=H","UseDPDF=Y")</f>
        <v>49.06</v>
      </c>
      <c r="I31" s="13">
        <f>_xll.BDH("T US Equity","POSTPAID_ARPU","FY 2019","FY 2019","Currency=USD","Period=FY","BEST_FPERIOD_OVERRIDE=FY","FILING_STATUS=MR","Sort=A","Dates=H","DateFormat=P","Fill=—","Direction=H","UseDPDF=Y")</f>
        <v>50.18</v>
      </c>
      <c r="J31" s="13">
        <f>_xll.BDH("T US Equity","POSTPAID_ARPU","FY 2020","FY 2020","Currency=USD","Period=FY","BEST_FPERIOD_OVERRIDE=FY","FILING_STATUS=MR","Sort=A","Dates=H","DateFormat=P","Fill=—","Direction=H","UseDPDF=Y")</f>
        <v>49.95</v>
      </c>
      <c r="K31" s="13">
        <f>_xll.BDH("T US Equity","POSTPAID_ARPU","FY 2021","FY 2021","Currency=USD","Period=FY","BEST_FPERIOD_OVERRIDE=FY","FILING_STATUS=MR","Sort=A","Dates=H","DateFormat=P","Fill=—","Direction=H","UseDPDF=Y")</f>
        <v>48.97</v>
      </c>
      <c r="L31" s="13">
        <f>_xll.BDH("T US Equity","POSTPAID_ARPU","FY 2022","FY 2022","Currency=USD","Period=FY","BEST_FPERIOD_OVERRIDE=FY","FILING_STATUS=MR","Sort=A","Dates=H","DateFormat=P","Fill=—","Direction=H","UseDPDF=Y")</f>
        <v>49.95</v>
      </c>
    </row>
    <row r="32" spans="1:1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>
      <c r="A33" s="6" t="s">
        <v>61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>
      <c r="A34" s="10" t="s">
        <v>62</v>
      </c>
      <c r="B34" s="10" t="s">
        <v>63</v>
      </c>
      <c r="C34" s="12">
        <f>_xll.BDH("T US Equity","CONNECTED_DEVICE_SUBSCRIBERS","FY 2013","FY 2013","Currency=USD","Period=FY","BEST_FPERIOD_OVERRIDE=FY","FILING_STATUS=MR","Sort=A","Dates=H","DateFormat=P","Fill=—","Direction=H","UseDPDF=Y")</f>
        <v>16326</v>
      </c>
      <c r="D34" s="12">
        <f>_xll.BDH("T US Equity","CONNECTED_DEVICE_SUBSCRIBERS","FY 2014","FY 2014","Currency=USD","Period=FY","BEST_FPERIOD_OVERRIDE=FY","FILING_STATUS=MR","Sort=A","Dates=H","DateFormat=P","Fill=—","Direction=H","UseDPDF=Y")</f>
        <v>20964</v>
      </c>
      <c r="E34" s="12">
        <f>_xll.BDH("T US Equity","CONNECTED_DEVICE_SUBSCRIBERS","FY 2015","FY 2015","Currency=USD","Period=FY","BEST_FPERIOD_OVERRIDE=FY","FILING_STATUS=MR","Sort=A","Dates=H","DateFormat=P","Fill=—","Direction=H","UseDPDF=Y")</f>
        <v>26213</v>
      </c>
      <c r="F34" s="12">
        <f>_xll.BDH("T US Equity","CONNECTED_DEVICE_SUBSCRIBERS","FY 2016","FY 2016","Currency=USD","Period=FY","BEST_FPERIOD_OVERRIDE=FY","FILING_STATUS=MR","Sort=A","Dates=H","DateFormat=P","Fill=—","Direction=H","UseDPDF=Y")</f>
        <v>31591</v>
      </c>
      <c r="G34" s="12">
        <f>_xll.BDH("T US Equity","CONNECTED_DEVICE_SUBSCRIBERS","FY 2017","FY 2017","Currency=USD","Period=FY","BEST_FPERIOD_OVERRIDE=FY","FILING_STATUS=MR","Sort=A","Dates=H","DateFormat=P","Fill=—","Direction=H","UseDPDF=Y")</f>
        <v>38991</v>
      </c>
      <c r="H34" s="12">
        <f>_xll.BDH("T US Equity","CONNECTED_DEVICE_SUBSCRIBERS","FY 2018","FY 2018","Currency=USD","Period=FY","BEST_FPERIOD_OVERRIDE=FY","FILING_STATUS=MR","Sort=A","Dates=H","DateFormat=P","Fill=—","Direction=H","UseDPDF=Y")</f>
        <v>51332</v>
      </c>
      <c r="I34" s="12">
        <f>_xll.BDH("T US Equity","CONNECTED_DEVICE_SUBSCRIBERS","FY 2019","FY 2019","Currency=USD","Period=FY","BEST_FPERIOD_OVERRIDE=FY","FILING_STATUS=MR","Sort=A","Dates=H","DateFormat=P","Fill=—","Direction=H","UseDPDF=Y")</f>
        <v>65986</v>
      </c>
      <c r="J34" s="12">
        <f>_xll.BDH("T US Equity","CONNECTED_DEVICE_SUBSCRIBERS","FY 2020","FY 2020","Currency=USD","Period=FY","BEST_FPERIOD_OVERRIDE=FY","FILING_STATUS=MR","Sort=A","Dates=H","DateFormat=P","Fill=—","Direction=H","UseDPDF=Y")</f>
        <v>80767</v>
      </c>
      <c r="K34" s="12">
        <f>_xll.BDH("T US Equity","CONNECTED_DEVICE_SUBSCRIBERS","FY 2021","FY 2021","Currency=USD","Period=FY","BEST_FPERIOD_OVERRIDE=FY","FILING_STATUS=MR","Sort=A","Dates=H","DateFormat=P","Fill=—","Direction=H","UseDPDF=Y")</f>
        <v>95116</v>
      </c>
      <c r="L34" s="12">
        <f>_xll.BDH("T US Equity","CONNECTED_DEVICE_SUBSCRIBERS","FY 2022","FY 2022","Currency=USD","Period=FY","BEST_FPERIOD_OVERRIDE=FY","FILING_STATUS=MR","Sort=A","Dates=H","DateFormat=P","Fill=—","Direction=H","UseDPDF=Y")</f>
        <v>107478</v>
      </c>
    </row>
    <row r="35" spans="1:1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>
      <c r="A36" s="6" t="s">
        <v>64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>
      <c r="A37" s="10" t="s">
        <v>65</v>
      </c>
      <c r="B37" s="10" t="s">
        <v>66</v>
      </c>
      <c r="C37" s="12" t="str">
        <f>_xll.BDH("T US Equity","COST_OF_EQUIPMENT_CELLULAR_TELEC","FY 2013","FY 2013","Currency=USD","Period=FY","BEST_FPERIOD_OVERRIDE=FY","FILING_STATUS=MR","SCALING_FORMAT=MLN","Sort=A","Dates=H","DateFormat=P","Fill=—","Direction=H","UseDPDF=Y")</f>
        <v>—</v>
      </c>
      <c r="D37" s="12">
        <f>_xll.BDH("T US Equity","COST_OF_EQUIPMENT_CELLULAR_TELEC","FY 2014","FY 2014","Currency=USD","Period=FY","BEST_FPERIOD_OVERRIDE=FY","FILING_STATUS=MR","SCALING_FORMAT=MLN","Sort=A","Dates=H","DateFormat=P","Fill=—","Direction=H","UseDPDF=Y")</f>
        <v>16720</v>
      </c>
      <c r="E37" s="12" t="str">
        <f>_xll.BDH("T US Equity","COST_OF_EQUIPMENT_CELLULAR_TELEC","FY 2015","FY 2015","Currency=USD","Period=FY","BEST_FPERIOD_OVERRIDE=FY","FILING_STATUS=MR","SCALING_FORMAT=MLN","Sort=A","Dates=H","DateFormat=P","Fill=—","Direction=H","UseDPDF=Y")</f>
        <v>—</v>
      </c>
      <c r="F37" s="12" t="str">
        <f>_xll.BDH("T US Equity","COST_OF_EQUIPMENT_CELLULAR_TELEC","FY 2016","FY 2016","Currency=USD","Period=FY","BEST_FPERIOD_OVERRIDE=FY","FILING_STATUS=MR","SCALING_FORMAT=MLN","Sort=A","Dates=H","DateFormat=P","Fill=—","Direction=H","UseDPDF=Y")</f>
        <v>—</v>
      </c>
      <c r="G37" s="12" t="str">
        <f>_xll.BDH("T US Equity","COST_OF_EQUIPMENT_CELLULAR_TELEC","FY 2017","FY 2017","Currency=USD","Period=FY","BEST_FPERIOD_OVERRIDE=FY","FILING_STATUS=MR","SCALING_FORMAT=MLN","Sort=A","Dates=H","DateFormat=P","Fill=—","Direction=H","UseDPDF=Y")</f>
        <v>—</v>
      </c>
      <c r="H37" s="12" t="str">
        <f>_xll.BDH("T US Equity","COST_OF_EQUIPMENT_CELLULAR_TELEC","FY 2018","FY 2018","Currency=USD","Period=FY","BEST_FPERIOD_OVERRIDE=FY","FILING_STATUS=MR","SCALING_FORMAT=MLN","Sort=A","Dates=H","DateFormat=P","Fill=—","Direction=H","UseDPDF=Y")</f>
        <v>—</v>
      </c>
      <c r="I37" s="12" t="str">
        <f>_xll.BDH("T US Equity","COST_OF_EQUIPMENT_CELLULAR_TELEC","FY 2019","FY 2019","Currency=USD","Period=FY","BEST_FPERIOD_OVERRIDE=FY","FILING_STATUS=MR","SCALING_FORMAT=MLN","Sort=A","Dates=H","DateFormat=P","Fill=—","Direction=H","UseDPDF=Y")</f>
        <v>—</v>
      </c>
      <c r="J37" s="12" t="str">
        <f>_xll.BDH("T US Equity","COST_OF_EQUIPMENT_CELLULAR_TELEC","FY 2020","FY 2020","Currency=USD","Period=FY","BEST_FPERIOD_OVERRIDE=FY","FILING_STATUS=MR","SCALING_FORMAT=MLN","Sort=A","Dates=H","DateFormat=P","Fill=—","Direction=H","UseDPDF=Y")</f>
        <v>—</v>
      </c>
      <c r="K37" s="12" t="str">
        <f>_xll.BDH("T US Equity","COST_OF_EQUIPMENT_CELLULAR_TELEC","FY 2021","FY 2021","Currency=USD","Period=FY","BEST_FPERIOD_OVERRIDE=FY","FILING_STATUS=MR","SCALING_FORMAT=MLN","Sort=A","Dates=H","DateFormat=P","Fill=—","Direction=H","UseDPDF=Y")</f>
        <v>—</v>
      </c>
      <c r="L37" s="12" t="str">
        <f>_xll.BDH("T US Equity","COST_OF_EQUIPMENT_CELLULAR_TELEC","FY 2022","FY 2022","Currency=USD","Period=FY","BEST_FPERIOD_OVERRIDE=FY","FILING_STATUS=MR","SCALING_FORMAT=MLN","Sort=A","Dates=H","DateFormat=P","Fill=—","Direction=H","UseDPDF=Y")</f>
        <v>—</v>
      </c>
    </row>
    <row r="38" spans="1:12">
      <c r="A38" s="10" t="s">
        <v>67</v>
      </c>
      <c r="B38" s="10" t="s">
        <v>67</v>
      </c>
      <c r="C38" s="12">
        <f>_xll.BDH("T US Equity","EBITDA","FY 2013","FY 2013","Currency=USD","Period=FY","BEST_FPERIOD_OVERRIDE=FY","FILING_STATUS=MR","SCALING_FORMAT=MLN","FA_ADJUSTED=GAAP","Sort=A","Dates=H","DateFormat=P","Fill=—","Direction=H","UseDPDF=Y")</f>
        <v>48874</v>
      </c>
      <c r="D38" s="12">
        <f>_xll.BDH("T US Equity","EBITDA","FY 2014","FY 2014","Currency=USD","Period=FY","BEST_FPERIOD_OVERRIDE=FY","FILING_STATUS=MR","SCALING_FORMAT=MLN","FA_ADJUSTED=GAAP","Sort=A","Dates=H","DateFormat=P","Fill=—","Direction=H","UseDPDF=Y")</f>
        <v>30485</v>
      </c>
      <c r="E38" s="12">
        <f>_xll.BDH("T US Equity","EBITDA","FY 2015","FY 2015","Currency=USD","Period=FY","BEST_FPERIOD_OVERRIDE=FY","FILING_STATUS=MR","SCALING_FORMAT=MLN","FA_ADJUSTED=GAAP","Sort=A","Dates=H","DateFormat=P","Fill=—","Direction=H","UseDPDF=Y")</f>
        <v>46801</v>
      </c>
      <c r="F38" s="12">
        <f>_xll.BDH("T US Equity","EBITDA","FY 2016","FY 2016","Currency=USD","Period=FY","BEST_FPERIOD_OVERRIDE=FY","FILING_STATUS=MR","SCALING_FORMAT=MLN","FA_ADJUSTED=GAAP","Sort=A","Dates=H","DateFormat=P","Fill=—","Direction=H","UseDPDF=Y")</f>
        <v>50194</v>
      </c>
      <c r="G38" s="12">
        <f>_xll.BDH("T US Equity","EBITDA","FY 2017","FY 2017","Currency=USD","Period=FY","BEST_FPERIOD_OVERRIDE=FY","FILING_STATUS=MR","SCALING_FORMAT=MLN","FA_ADJUSTED=GAAP","Sort=A","Dates=H","DateFormat=P","Fill=—","Direction=H","UseDPDF=Y")</f>
        <v>44357</v>
      </c>
      <c r="H38" s="12">
        <f>_xll.BDH("T US Equity","EBITDA","FY 2018","FY 2018","Currency=USD","Period=FY","BEST_FPERIOD_OVERRIDE=FY","FILING_STATUS=MR","SCALING_FORMAT=MLN","FA_ADJUSTED=GAAP","Sort=A","Dates=H","DateFormat=P","Fill=—","Direction=H","UseDPDF=Y")</f>
        <v>54526</v>
      </c>
      <c r="I38" s="12">
        <f>_xll.BDH("T US Equity","EBITDA","FY 2019","FY 2019","Currency=USD","Period=FY","BEST_FPERIOD_OVERRIDE=FY","FILING_STATUS=MR","SCALING_FORMAT=MLN","FA_ADJUSTED=GAAP","Sort=A","Dates=H","DateFormat=P","Fill=—","Direction=H","UseDPDF=Y")</f>
        <v>61856</v>
      </c>
      <c r="J38" s="12">
        <f>_xll.BDH("T US Equity","EBITDA","FY 2020","FY 2020","Currency=USD","Period=FY","BEST_FPERIOD_OVERRIDE=FY","FILING_STATUS=MR","SCALING_FORMAT=MLN","FA_ADJUSTED=GAAP","Sort=A","Dates=H","DateFormat=P","Fill=—","Direction=H","UseDPDF=Y")</f>
        <v>40817</v>
      </c>
      <c r="K38" s="12">
        <f>_xll.BDH("T US Equity","EBITDA","FY 2021","FY 2021","Currency=USD","Period=FY","BEST_FPERIOD_OVERRIDE=FY","FILING_STATUS=MR","SCALING_FORMAT=MLN","FA_ADJUSTED=GAAP","Sort=A","Dates=H","DateFormat=P","Fill=—","Direction=H","UseDPDF=Y")</f>
        <v>49112</v>
      </c>
      <c r="L38" s="12">
        <f>_xll.BDH("T US Equity","EBITDA","FY 2022","FY 2022","Currency=USD","Period=FY","BEST_FPERIOD_OVERRIDE=FY","FILING_STATUS=MR","SCALING_FORMAT=MLN","FA_ADJUSTED=GAAP","Sort=A","Dates=H","DateFormat=P","Fill=—","Direction=H","UseDPDF=Y")</f>
        <v>18871</v>
      </c>
    </row>
    <row r="39" spans="1:12">
      <c r="A39" s="10" t="s">
        <v>68</v>
      </c>
      <c r="B39" s="10" t="s">
        <v>69</v>
      </c>
      <c r="C39" s="12">
        <f>_xll.BDH("T US Equity","ARD_OPERATING_INCOME","FY 2013","FY 2013","Currency=USD","Period=FY","BEST_FPERIOD_OVERRIDE=FY","FILING_STATUS=MR","SCALING_FORMAT=MLN","Sort=A","Dates=H","DateFormat=P","Fill=—","Direction=H","UseDPDF=Y")</f>
        <v>30479</v>
      </c>
      <c r="D39" s="12">
        <f>_xll.BDH("T US Equity","ARD_OPERATING_INCOME","FY 2014","FY 2014","Currency=USD","Period=FY","BEST_FPERIOD_OVERRIDE=FY","FILING_STATUS=MR","SCALING_FORMAT=MLN","Sort=A","Dates=H","DateFormat=P","Fill=—","Direction=H","UseDPDF=Y")</f>
        <v>12212</v>
      </c>
      <c r="E39" s="12">
        <f>_xll.BDH("T US Equity","ARD_OPERATING_INCOME","FY 2015","FY 2015","Currency=USD","Period=FY","BEST_FPERIOD_OVERRIDE=FY","FILING_STATUS=MR","SCALING_FORMAT=MLN","Sort=A","Dates=H","DateFormat=P","Fill=—","Direction=H","UseDPDF=Y")</f>
        <v>24785</v>
      </c>
      <c r="F39" s="12">
        <f>_xll.BDH("T US Equity","ARD_OPERATING_INCOME","FY 2016","FY 2016","Currency=USD","Period=FY","BEST_FPERIOD_OVERRIDE=FY","FILING_STATUS=MR","SCALING_FORMAT=MLN","Sort=A","Dates=H","DateFormat=P","Fill=—","Direction=H","UseDPDF=Y")</f>
        <v>24347</v>
      </c>
      <c r="G39" s="12">
        <f>_xll.BDH("T US Equity","ARD_OPERATING_INCOME","FY 2017","FY 2017","Currency=USD","Period=FY","BEST_FPERIOD_OVERRIDE=FY","FILING_STATUS=MR","SCALING_FORMAT=MLN","Sort=A","Dates=H","DateFormat=P","Fill=—","Direction=H","UseDPDF=Y")</f>
        <v>19970</v>
      </c>
      <c r="H39" s="12">
        <f>_xll.BDH("T US Equity","ARD_OPERATING_INCOME","FY 2018","FY 2018","Currency=USD","Period=FY","BEST_FPERIOD_OVERRIDE=FY","FILING_STATUS=MR","SCALING_FORMAT=MLN","Sort=A","Dates=H","DateFormat=P","Fill=—","Direction=H","UseDPDF=Y")</f>
        <v>26096</v>
      </c>
      <c r="I39" s="12">
        <f>_xll.BDH("T US Equity","ARD_OPERATING_INCOME","FY 2019","FY 2019","Currency=USD","Period=FY","BEST_FPERIOD_OVERRIDE=FY","FILING_STATUS=MR","SCALING_FORMAT=MLN","Sort=A","Dates=H","DateFormat=P","Fill=—","Direction=H","UseDPDF=Y")</f>
        <v>27955</v>
      </c>
      <c r="J39" s="12">
        <f>_xll.BDH("T US Equity","ARD_OPERATING_INCOME","FY 2020","FY 2020","Currency=USD","Period=FY","BEST_FPERIOD_OVERRIDE=FY","FILING_STATUS=MR","SCALING_FORMAT=MLN","Sort=A","Dates=H","DateFormat=P","Fill=—","Direction=H","UseDPDF=Y")</f>
        <v>6405</v>
      </c>
      <c r="K39" s="12">
        <f>_xll.BDH("T US Equity","ARD_OPERATING_INCOME","FY 2021","FY 2021","Currency=USD","Period=FY","BEST_FPERIOD_OVERRIDE=FY","FILING_STATUS=MR","SCALING_FORMAT=MLN","Sort=A","Dates=H","DateFormat=P","Fill=—","Direction=H","UseDPDF=Y")</f>
        <v>25897</v>
      </c>
      <c r="L39" s="12">
        <f>_xll.BDH("T US Equity","ARD_OPERATING_INCOME","FY 2022","FY 2022","Currency=USD","Period=FY","BEST_FPERIOD_OVERRIDE=FY","FILING_STATUS=MR","SCALING_FORMAT=MLN","Sort=A","Dates=H","DateFormat=P","Fill=—","Direction=H","UseDPDF=Y")</f>
        <v>-4587</v>
      </c>
    </row>
    <row r="40" spans="1:12">
      <c r="A40" s="10" t="s">
        <v>70</v>
      </c>
      <c r="B40" s="10" t="s">
        <v>71</v>
      </c>
      <c r="C40" s="12">
        <f>_xll.BDH("T US Equity","CF_CAP_EXPEND_PRPTY_ADD","FY 2013","FY 2013","Currency=USD","Period=FY","BEST_FPERIOD_OVERRIDE=FY","FILING_STATUS=MR","SCALING_FORMAT=MLN","Sort=A","Dates=H","DateFormat=P","Fill=—","Direction=H","UseDPDF=Y")</f>
        <v>-20944</v>
      </c>
      <c r="D40" s="12">
        <f>_xll.BDH("T US Equity","CF_CAP_EXPEND_PRPTY_ADD","FY 2014","FY 2014","Currency=USD","Period=FY","BEST_FPERIOD_OVERRIDE=FY","FILING_STATUS=MR","SCALING_FORMAT=MLN","Sort=A","Dates=H","DateFormat=P","Fill=—","Direction=H","UseDPDF=Y")</f>
        <v>-21433</v>
      </c>
      <c r="E40" s="12">
        <f>_xll.BDH("T US Equity","CF_CAP_EXPEND_PRPTY_ADD","FY 2015","FY 2015","Currency=USD","Period=FY","BEST_FPERIOD_OVERRIDE=FY","FILING_STATUS=MR","SCALING_FORMAT=MLN","Sort=A","Dates=H","DateFormat=P","Fill=—","Direction=H","UseDPDF=Y")</f>
        <v>-20015</v>
      </c>
      <c r="F40" s="12">
        <f>_xll.BDH("T US Equity","CF_CAP_EXPEND_PRPTY_ADD","FY 2016","FY 2016","Currency=USD","Period=FY","BEST_FPERIOD_OVERRIDE=FY","FILING_STATUS=MR","SCALING_FORMAT=MLN","Sort=A","Dates=H","DateFormat=P","Fill=—","Direction=H","UseDPDF=Y")</f>
        <v>-22408</v>
      </c>
      <c r="G40" s="12">
        <f>_xll.BDH("T US Equity","CF_CAP_EXPEND_PRPTY_ADD","FY 2017","FY 2017","Currency=USD","Period=FY","BEST_FPERIOD_OVERRIDE=FY","FILING_STATUS=MR","SCALING_FORMAT=MLN","Sort=A","Dates=H","DateFormat=P","Fill=—","Direction=H","UseDPDF=Y")</f>
        <v>-21550</v>
      </c>
      <c r="H40" s="12">
        <f>_xll.BDH("T US Equity","CF_CAP_EXPEND_PRPTY_ADD","FY 2018","FY 2018","Currency=USD","Period=FY","BEST_FPERIOD_OVERRIDE=FY","FILING_STATUS=MR","SCALING_FORMAT=MLN","Sort=A","Dates=H","DateFormat=P","Fill=—","Direction=H","UseDPDF=Y")</f>
        <v>-21251</v>
      </c>
      <c r="I40" s="12">
        <f>_xll.BDH("T US Equity","CF_CAP_EXPEND_PRPTY_ADD","FY 2019","FY 2019","Currency=USD","Period=FY","BEST_FPERIOD_OVERRIDE=FY","FILING_STATUS=MR","SCALING_FORMAT=MLN","Sort=A","Dates=H","DateFormat=P","Fill=—","Direction=H","UseDPDF=Y")</f>
        <v>-19635</v>
      </c>
      <c r="J40" s="12">
        <f>_xll.BDH("T US Equity","CF_CAP_EXPEND_PRPTY_ADD","FY 2020","FY 2020","Currency=USD","Period=FY","BEST_FPERIOD_OVERRIDE=FY","FILING_STATUS=MR","SCALING_FORMAT=MLN","Sort=A","Dates=H","DateFormat=P","Fill=—","Direction=H","UseDPDF=Y")</f>
        <v>-15675</v>
      </c>
      <c r="K40" s="12">
        <f>_xll.BDH("T US Equity","CF_CAP_EXPEND_PRPTY_ADD","FY 2021","FY 2021","Currency=USD","Period=FY","BEST_FPERIOD_OVERRIDE=FY","FILING_STATUS=MR","SCALING_FORMAT=MLN","Sort=A","Dates=H","DateFormat=P","Fill=—","Direction=H","UseDPDF=Y")</f>
        <v>-15545</v>
      </c>
      <c r="L40" s="12">
        <f>_xll.BDH("T US Equity","CF_CAP_EXPEND_PRPTY_ADD","FY 2022","FY 2022","Currency=USD","Period=FY","BEST_FPERIOD_OVERRIDE=FY","FILING_STATUS=MR","SCALING_FORMAT=MLN","Sort=A","Dates=H","DateFormat=P","Fill=—","Direction=H","UseDPDF=Y")</f>
        <v>-19626</v>
      </c>
    </row>
    <row r="41" spans="1:1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>
      <c r="A42" s="6" t="s">
        <v>72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6" t="s">
        <v>24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>
      <c r="A44" s="10" t="s">
        <v>73</v>
      </c>
      <c r="B44" s="10" t="s">
        <v>74</v>
      </c>
      <c r="C44" s="12">
        <f>_xll.BDH("T US Equity","WIRELINE_REVENUE","FY 2013","FY 2013","Currency=USD","Period=FY","BEST_FPERIOD_OVERRIDE=FY","FILING_STATUS=MR","SCALING_FORMAT=MLN","Sort=A","Dates=H","DateFormat=P","Fill=—","Direction=H","UseDPDF=Y")</f>
        <v>58814</v>
      </c>
      <c r="D44" s="12">
        <f>_xll.BDH("T US Equity","WIRELINE_REVENUE","FY 2014","FY 2014","Currency=USD","Period=FY","BEST_FPERIOD_OVERRIDE=FY","FILING_STATUS=MR","SCALING_FORMAT=MLN","Sort=A","Dates=H","DateFormat=P","Fill=—","Direction=H","UseDPDF=Y")</f>
        <v>73992</v>
      </c>
      <c r="E44" s="12">
        <f>_xll.BDH("T US Equity","WIRELINE_REVENUE","FY 2015","FY 2015","Currency=USD","Period=FY","BEST_FPERIOD_OVERRIDE=FY","FILING_STATUS=MR","SCALING_FORMAT=MLN","Sort=A","Dates=H","DateFormat=P","Fill=—","Direction=H","UseDPDF=Y")</f>
        <v>67781</v>
      </c>
      <c r="F44" s="12">
        <f>_xll.BDH("T US Equity","WIRELINE_REVENUE","FY 2016","FY 2016","Currency=USD","Period=FY","BEST_FPERIOD_OVERRIDE=FY","FILING_STATUS=MR","SCALING_FORMAT=MLN","Sort=A","Dates=H","DateFormat=P","Fill=—","Direction=H","UseDPDF=Y")</f>
        <v>82662</v>
      </c>
      <c r="G44" s="12">
        <f>_xll.BDH("T US Equity","WIRELINE_REVENUE","FY 2017","FY 2017","Currency=USD","Period=FY","BEST_FPERIOD_OVERRIDE=FY","FILING_STATUS=MR","SCALING_FORMAT=MLN","Sort=A","Dates=H","DateFormat=P","Fill=—","Direction=H","UseDPDF=Y")</f>
        <v>79198</v>
      </c>
      <c r="H44" s="12">
        <f>_xll.BDH("T US Equity","WIRELINE_REVENUE","FY 2018","FY 2018","Currency=USD","Period=FY","BEST_FPERIOD_OVERRIDE=FY","FILING_STATUS=MR","SCALING_FORMAT=MLN","Sort=A","Dates=H","DateFormat=P","Fill=—","Direction=H","UseDPDF=Y")</f>
        <v>99929</v>
      </c>
      <c r="I44" s="12">
        <f>_xll.BDH("T US Equity","WIRELINE_REVENUE","FY 2019","FY 2019","Currency=USD","Period=FY","BEST_FPERIOD_OVERRIDE=FY","FILING_STATUS=MR","SCALING_FORMAT=MLN","Sort=A","Dates=H","DateFormat=P","Fill=—","Direction=H","UseDPDF=Y")</f>
        <v>71293</v>
      </c>
      <c r="J44" s="12">
        <f>_xll.BDH("T US Equity","WIRELINE_REVENUE","FY 2020","FY 2020","Currency=USD","Period=FY","BEST_FPERIOD_OVERRIDE=FY","FILING_STATUS=MR","SCALING_FORMAT=MLN","Sort=A","Dates=H","DateFormat=P","Fill=—","Direction=H","UseDPDF=Y")</f>
        <v>66277</v>
      </c>
      <c r="K44" s="12">
        <f>_xll.BDH("T US Equity","WIRELINE_REVENUE","FY 2021","FY 2021","Currency=USD","Period=FY","BEST_FPERIOD_OVERRIDE=FY","FILING_STATUS=MR","SCALING_FORMAT=MLN","Sort=A","Dates=H","DateFormat=P","Fill=—","Direction=H","UseDPDF=Y")</f>
        <v>36476</v>
      </c>
      <c r="L44" s="12">
        <f>_xll.BDH("T US Equity","WIRELINE_REVENUE","FY 2022","FY 2022","Currency=USD","Period=FY","BEST_FPERIOD_OVERRIDE=FY","FILING_STATUS=MR","SCALING_FORMAT=MLN","Sort=A","Dates=H","DateFormat=P","Fill=—","Direction=H","UseDPDF=Y")</f>
        <v>35287</v>
      </c>
    </row>
    <row r="45" spans="1:12">
      <c r="A45" s="10" t="s">
        <v>75</v>
      </c>
      <c r="B45" s="10" t="s">
        <v>76</v>
      </c>
      <c r="C45" s="12">
        <f>_xll.BDH("T US Equity","WIRELINE_VOICE_REVENUE","FY 2013","FY 2013","Currency=USD","Period=FY","BEST_FPERIOD_OVERRIDE=FY","FILING_STATUS=MR","SCALING_FORMAT=MLN","Sort=A","Dates=H","DateFormat=P","Fill=—","Direction=H","UseDPDF=Y")</f>
        <v>20333</v>
      </c>
      <c r="D45" s="12">
        <f>_xll.BDH("T US Equity","WIRELINE_VOICE_REVENUE","FY 2014","FY 2014","Currency=USD","Period=FY","BEST_FPERIOD_OVERRIDE=FY","FILING_STATUS=MR","SCALING_FORMAT=MLN","Sort=A","Dates=H","DateFormat=P","Fill=—","Direction=H","UseDPDF=Y")</f>
        <v>22171</v>
      </c>
      <c r="E45" s="12">
        <f>_xll.BDH("T US Equity","WIRELINE_VOICE_REVENUE","FY 2015","FY 2015","Currency=USD","Period=FY","BEST_FPERIOD_OVERRIDE=FY","FILING_STATUS=MR","SCALING_FORMAT=MLN","Sort=A","Dates=H","DateFormat=P","Fill=—","Direction=H","UseDPDF=Y")</f>
        <v>22105</v>
      </c>
      <c r="F45" s="12">
        <f>_xll.BDH("T US Equity","WIRELINE_VOICE_REVENUE","FY 2016","FY 2016","Currency=USD","Period=FY","BEST_FPERIOD_OVERRIDE=FY","FILING_STATUS=MR","SCALING_FORMAT=MLN","Sort=A","Dates=H","DateFormat=P","Fill=—","Direction=H","UseDPDF=Y")</f>
        <v>19936</v>
      </c>
      <c r="G45" s="12">
        <f>_xll.BDH("T US Equity","WIRELINE_VOICE_REVENUE","FY 2017","FY 2017","Currency=USD","Period=FY","BEST_FPERIOD_OVERRIDE=FY","FILING_STATUS=MR","SCALING_FORMAT=MLN","Sort=A","Dates=H","DateFormat=P","Fill=—","Direction=H","UseDPDF=Y")</f>
        <v>17382</v>
      </c>
      <c r="H45" s="12">
        <f>_xll.BDH("T US Equity","WIRELINE_VOICE_REVENUE","FY 2018","FY 2018","Currency=USD","Period=FY","BEST_FPERIOD_OVERRIDE=FY","FILING_STATUS=MR","SCALING_FORMAT=MLN","Sort=A","Dates=H","DateFormat=P","Fill=—","Direction=H","UseDPDF=Y")</f>
        <v>12080</v>
      </c>
      <c r="I45" s="12">
        <f>_xll.BDH("T US Equity","WIRELINE_VOICE_REVENUE","FY 2019","FY 2019","Currency=USD","Period=FY","BEST_FPERIOD_OVERRIDE=FY","FILING_STATUS=MR","SCALING_FORMAT=MLN","Sort=A","Dates=H","DateFormat=P","Fill=—","Direction=H","UseDPDF=Y")</f>
        <v>10737</v>
      </c>
      <c r="J45" s="12">
        <f>_xll.BDH("T US Equity","WIRELINE_VOICE_REVENUE","FY 2020","FY 2020","Currency=USD","Period=FY","BEST_FPERIOD_OVERRIDE=FY","FILING_STATUS=MR","SCALING_FORMAT=MLN","Sort=A","Dates=H","DateFormat=P","Fill=—","Direction=H","UseDPDF=Y")</f>
        <v>9570</v>
      </c>
      <c r="K45" s="12">
        <f>_xll.BDH("T US Equity","WIRELINE_VOICE_REVENUE","FY 2021","FY 2021","Currency=USD","Period=FY","BEST_FPERIOD_OVERRIDE=FY","FILING_STATUS=MR","SCALING_FORMAT=MLN","Sort=A","Dates=H","DateFormat=P","Fill=—","Direction=H","UseDPDF=Y")</f>
        <v>3454</v>
      </c>
      <c r="L45" s="12">
        <f>_xll.BDH("T US Equity","WIRELINE_VOICE_REVENUE","FY 2022","FY 2022","Currency=USD","Period=FY","BEST_FPERIOD_OVERRIDE=FY","FILING_STATUS=MR","SCALING_FORMAT=MLN","Sort=A","Dates=H","DateFormat=P","Fill=—","Direction=H","UseDPDF=Y")</f>
        <v>3080</v>
      </c>
    </row>
    <row r="46" spans="1:12">
      <c r="A46" s="10" t="s">
        <v>77</v>
      </c>
      <c r="B46" s="10" t="s">
        <v>78</v>
      </c>
      <c r="C46" s="12">
        <f>_xll.BDH("T US Equity","INTERNET_DATA_REVENUE","FY 2013","FY 2013","Currency=USD","Period=FY","BEST_FPERIOD_OVERRIDE=FY","FILING_STATUS=MR","SCALING_FORMAT=MLN","Sort=A","Dates=H","DateFormat=P","Fill=—","Direction=H","UseDPDF=Y")</f>
        <v>21719</v>
      </c>
      <c r="D46" s="12">
        <f>_xll.BDH("T US Equity","INTERNET_DATA_REVENUE","FY 2014","FY 2014","Currency=USD","Period=FY","BEST_FPERIOD_OVERRIDE=FY","FILING_STATUS=MR","SCALING_FORMAT=MLN","Sort=A","Dates=H","DateFormat=P","Fill=—","Direction=H","UseDPDF=Y")</f>
        <v>13114</v>
      </c>
      <c r="E46" s="12">
        <f>_xll.BDH("T US Equity","INTERNET_DATA_REVENUE","FY 2015","FY 2015","Currency=USD","Period=FY","BEST_FPERIOD_OVERRIDE=FY","FILING_STATUS=MR","SCALING_FORMAT=MLN","Sort=A","Dates=H","DateFormat=P","Fill=—","Direction=H","UseDPDF=Y")</f>
        <v>12515</v>
      </c>
      <c r="F46" s="12">
        <f>_xll.BDH("T US Equity","INTERNET_DATA_REVENUE","FY 2016","FY 2016","Currency=USD","Period=FY","BEST_FPERIOD_OVERRIDE=FY","FILING_STATUS=MR","SCALING_FORMAT=MLN","Sort=A","Dates=H","DateFormat=P","Fill=—","Direction=H","UseDPDF=Y")</f>
        <v>12301</v>
      </c>
      <c r="G46" s="12">
        <f>_xll.BDH("T US Equity","INTERNET_DATA_REVENUE","FY 2017","FY 2017","Currency=USD","Period=FY","BEST_FPERIOD_OVERRIDE=FY","FILING_STATUS=MR","SCALING_FORMAT=MLN","Sort=A","Dates=H","DateFormat=P","Fill=—","Direction=H","UseDPDF=Y")</f>
        <v>11594</v>
      </c>
      <c r="H46" s="12">
        <f>_xll.BDH("T US Equity","INTERNET_DATA_REVENUE","FY 2018","FY 2018","Currency=USD","Period=FY","BEST_FPERIOD_OVERRIDE=FY","FILING_STATUS=MR","SCALING_FORMAT=MLN","Sort=A","Dates=H","DateFormat=P","Fill=—","Direction=H","UseDPDF=Y")</f>
        <v>10998</v>
      </c>
      <c r="I46" s="12">
        <f>_xll.BDH("T US Equity","INTERNET_DATA_REVENUE","FY 2019","FY 2019","Currency=USD","Period=FY","BEST_FPERIOD_OVERRIDE=FY","FILING_STATUS=MR","SCALING_FORMAT=MLN","Sort=A","Dates=H","DateFormat=P","Fill=—","Direction=H","UseDPDF=Y")</f>
        <v>10976</v>
      </c>
      <c r="J46" s="12">
        <f>_xll.BDH("T US Equity","INTERNET_DATA_REVENUE","FY 2020","FY 2020","Currency=USD","Period=FY","BEST_FPERIOD_OVERRIDE=FY","FILING_STATUS=MR","SCALING_FORMAT=MLN","Sort=A","Dates=H","DateFormat=P","Fill=—","Direction=H","UseDPDF=Y")</f>
        <v>10747</v>
      </c>
      <c r="K46" s="12">
        <f>_xll.BDH("T US Equity","INTERNET_DATA_REVENUE","FY 2021","FY 2021","Currency=USD","Period=FY","BEST_FPERIOD_OVERRIDE=FY","FILING_STATUS=MR","SCALING_FORMAT=MLN","Sort=A","Dates=H","DateFormat=P","Fill=—","Direction=H","UseDPDF=Y")</f>
        <v>11062</v>
      </c>
      <c r="L46" s="12">
        <f>_xll.BDH("T US Equity","INTERNET_DATA_REVENUE","FY 2022","FY 2022","Currency=USD","Period=FY","BEST_FPERIOD_OVERRIDE=FY","FILING_STATUS=MR","SCALING_FORMAT=MLN","Sort=A","Dates=H","DateFormat=P","Fill=—","Direction=H","UseDPDF=Y")</f>
        <v>11415</v>
      </c>
    </row>
    <row r="47" spans="1:12">
      <c r="A47" s="10" t="s">
        <v>79</v>
      </c>
      <c r="B47" s="10" t="s">
        <v>80</v>
      </c>
      <c r="C47" s="12">
        <f>_xll.BDH("T US Equity","WIRELINE_RESIDENTIAL_REVENUE","FY 2013","FY 2013","Currency=USD","Period=FY","BEST_FPERIOD_OVERRIDE=FY","FILING_STATUS=MR","SCALING_FORMAT=MLN","Sort=A","Dates=H","DateFormat=P","Fill=—","Direction=H","UseDPDF=Y")</f>
        <v>22264</v>
      </c>
      <c r="D47" s="12">
        <f>_xll.BDH("T US Equity","WIRELINE_RESIDENTIAL_REVENUE","FY 2014","FY 2014","Currency=USD","Period=FY","BEST_FPERIOD_OVERRIDE=FY","FILING_STATUS=MR","SCALING_FORMAT=MLN","Sort=A","Dates=H","DateFormat=P","Fill=—","Direction=H","UseDPDF=Y")</f>
        <v>10851</v>
      </c>
      <c r="E47" s="12">
        <f>_xll.BDH("T US Equity","WIRELINE_RESIDENTIAL_REVENUE","FY 2015","FY 2015","Currency=USD","Period=FY","BEST_FPERIOD_OVERRIDE=FY","FILING_STATUS=MR","SCALING_FORMAT=MLN","Sort=A","Dates=H","DateFormat=P","Fill=—","Direction=H","UseDPDF=Y")</f>
        <v>10514</v>
      </c>
      <c r="F47" s="12">
        <f>_xll.BDH("T US Equity","WIRELINE_RESIDENTIAL_REVENUE","FY 2016","FY 2016","Currency=USD","Period=FY","BEST_FPERIOD_OVERRIDE=FY","FILING_STATUS=MR","SCALING_FORMAT=MLN","Sort=A","Dates=H","DateFormat=P","Fill=—","Direction=H","UseDPDF=Y")</f>
        <v>10125</v>
      </c>
      <c r="G47" s="12">
        <f>_xll.BDH("T US Equity","WIRELINE_RESIDENTIAL_REVENUE","FY 2017","FY 2017","Currency=USD","Period=FY","BEST_FPERIOD_OVERRIDE=FY","FILING_STATUS=MR","SCALING_FORMAT=MLN","Sort=A","Dates=H","DateFormat=P","Fill=—","Direction=H","UseDPDF=Y")</f>
        <v>9334</v>
      </c>
      <c r="H47" s="12" t="str">
        <f>_xll.BDH("T US Equity","WIRELINE_RESIDENTIAL_REVENUE","FY 2018","FY 2018","Currency=USD","Period=FY","BEST_FPERIOD_OVERRIDE=FY","FILING_STATUS=MR","SCALING_FORMAT=MLN","Sort=A","Dates=H","DateFormat=P","Fill=—","Direction=H","UseDPDF=Y")</f>
        <v>—</v>
      </c>
      <c r="I47" s="12" t="str">
        <f>_xll.BDH("T US Equity","WIRELINE_RESIDENTIAL_REVENUE","FY 2019","FY 2019","Currency=USD","Period=FY","BEST_FPERIOD_OVERRIDE=FY","FILING_STATUS=MR","SCALING_FORMAT=MLN","Sort=A","Dates=H","DateFormat=P","Fill=—","Direction=H","UseDPDF=Y")</f>
        <v>—</v>
      </c>
      <c r="J47" s="12" t="str">
        <f>_xll.BDH("T US Equity","WIRELINE_RESIDENTIAL_REVENUE","FY 2020","FY 2020","Currency=USD","Period=FY","BEST_FPERIOD_OVERRIDE=FY","FILING_STATUS=MR","SCALING_FORMAT=MLN","Sort=A","Dates=H","DateFormat=P","Fill=—","Direction=H","UseDPDF=Y")</f>
        <v>—</v>
      </c>
      <c r="K47" s="12" t="str">
        <f>_xll.BDH("T US Equity","WIRELINE_RESIDENTIAL_REVENUE","FY 2021","FY 2021","Currency=USD","Period=FY","BEST_FPERIOD_OVERRIDE=FY","FILING_STATUS=MR","SCALING_FORMAT=MLN","Sort=A","Dates=H","DateFormat=P","Fill=—","Direction=H","UseDPDF=Y")</f>
        <v>—</v>
      </c>
      <c r="L47" s="12" t="str">
        <f>_xll.BDH("T US Equity","WIRELINE_RESIDENTIAL_REVENUE","FY 2022","FY 2022","Currency=USD","Period=FY","BEST_FPERIOD_OVERRIDE=FY","FILING_STATUS=MR","SCALING_FORMAT=MLN","Sort=A","Dates=H","DateFormat=P","Fill=—","Direction=H","UseDPDF=Y")</f>
        <v>—</v>
      </c>
    </row>
    <row r="48" spans="1:12">
      <c r="A48" s="10" t="s">
        <v>81</v>
      </c>
      <c r="B48" s="10" t="s">
        <v>82</v>
      </c>
      <c r="C48" s="12">
        <f>_xll.BDH("T US Equity","WIRELINE_BUSINESS_REVENUE","FY 2013","FY 2013","Currency=USD","Period=FY","BEST_FPERIOD_OVERRIDE=FY","FILING_STATUS=MR","SCALING_FORMAT=MLN","Sort=A","Dates=H","DateFormat=P","Fill=—","Direction=H","UseDPDF=Y")</f>
        <v>35504</v>
      </c>
      <c r="D48" s="12">
        <f>_xll.BDH("T US Equity","WIRELINE_BUSINESS_REVENUE","FY 2014","FY 2014","Currency=USD","Period=FY","BEST_FPERIOD_OVERRIDE=FY","FILING_STATUS=MR","SCALING_FORMAT=MLN","Sort=A","Dates=H","DateFormat=P","Fill=—","Direction=H","UseDPDF=Y")</f>
        <v>22532</v>
      </c>
      <c r="E48" s="12">
        <f>_xll.BDH("T US Equity","WIRELINE_BUSINESS_REVENUE","FY 2015","FY 2015","Currency=USD","Period=FY","BEST_FPERIOD_OVERRIDE=FY","FILING_STATUS=MR","SCALING_FORMAT=MLN","Sort=A","Dates=H","DateFormat=P","Fill=—","Direction=H","UseDPDF=Y")</f>
        <v>21973</v>
      </c>
      <c r="F48" s="12">
        <f>_xll.BDH("T US Equity","WIRELINE_BUSINESS_REVENUE","FY 2016","FY 2016","Currency=USD","Period=FY","BEST_FPERIOD_OVERRIDE=FY","FILING_STATUS=MR","SCALING_FORMAT=MLN","Sort=A","Dates=H","DateFormat=P","Fill=—","Direction=H","UseDPDF=Y")</f>
        <v>21243</v>
      </c>
      <c r="G48" s="12">
        <f>_xll.BDH("T US Equity","WIRELINE_BUSINESS_REVENUE","FY 2017","FY 2017","Currency=USD","Period=FY","BEST_FPERIOD_OVERRIDE=FY","FILING_STATUS=MR","SCALING_FORMAT=MLN","Sort=A","Dates=H","DateFormat=P","Fill=—","Direction=H","UseDPDF=Y")</f>
        <v>20275</v>
      </c>
      <c r="H48" s="12" t="str">
        <f>_xll.BDH("T US Equity","WIRELINE_BUSINESS_REVENUE","FY 2018","FY 2018","Currency=USD","Period=FY","BEST_FPERIOD_OVERRIDE=FY","FILING_STATUS=MR","SCALING_FORMAT=MLN","Sort=A","Dates=H","DateFormat=P","Fill=—","Direction=H","UseDPDF=Y")</f>
        <v>—</v>
      </c>
      <c r="I48" s="12" t="str">
        <f>_xll.BDH("T US Equity","WIRELINE_BUSINESS_REVENUE","FY 2019","FY 2019","Currency=USD","Period=FY","BEST_FPERIOD_OVERRIDE=FY","FILING_STATUS=MR","SCALING_FORMAT=MLN","Sort=A","Dates=H","DateFormat=P","Fill=—","Direction=H","UseDPDF=Y")</f>
        <v>—</v>
      </c>
      <c r="J48" s="12" t="str">
        <f>_xll.BDH("T US Equity","WIRELINE_BUSINESS_REVENUE","FY 2020","FY 2020","Currency=USD","Period=FY","BEST_FPERIOD_OVERRIDE=FY","FILING_STATUS=MR","SCALING_FORMAT=MLN","Sort=A","Dates=H","DateFormat=P","Fill=—","Direction=H","UseDPDF=Y")</f>
        <v>—</v>
      </c>
      <c r="K48" s="12" t="str">
        <f>_xll.BDH("T US Equity","WIRELINE_BUSINESS_REVENUE","FY 2021","FY 2021","Currency=USD","Period=FY","BEST_FPERIOD_OVERRIDE=FY","FILING_STATUS=MR","SCALING_FORMAT=MLN","Sort=A","Dates=H","DateFormat=P","Fill=—","Direction=H","UseDPDF=Y")</f>
        <v>—</v>
      </c>
      <c r="L48" s="12" t="str">
        <f>_xll.BDH("T US Equity","WIRELINE_BUSINESS_REVENUE","FY 2022","FY 2022","Currency=USD","Period=FY","BEST_FPERIOD_OVERRIDE=FY","FILING_STATUS=MR","SCALING_FORMAT=MLN","Sort=A","Dates=H","DateFormat=P","Fill=—","Direction=H","UseDPDF=Y")</f>
        <v>—</v>
      </c>
    </row>
    <row r="49" spans="1:12">
      <c r="A49" s="10" t="s">
        <v>83</v>
      </c>
      <c r="B49" s="10" t="s">
        <v>84</v>
      </c>
      <c r="C49" s="12">
        <f>_xll.BDH("T US Equity","STRATEGIC_SERVICES_REVENUE","FY 2013","FY 2013","Currency=USD","Period=FY","BEST_FPERIOD_OVERRIDE=FY","FILING_STATUS=MR","SCALING_FORMAT=MLN","Sort=A","Dates=H","DateFormat=P","Fill=—","Direction=H","UseDPDF=Y")</f>
        <v>8482</v>
      </c>
      <c r="D49" s="12">
        <f>_xll.BDH("T US Equity","STRATEGIC_SERVICES_REVENUE","FY 2014","FY 2014","Currency=USD","Period=FY","BEST_FPERIOD_OVERRIDE=FY","FILING_STATUS=MR","SCALING_FORMAT=MLN","Sort=A","Dates=H","DateFormat=P","Fill=—","Direction=H","UseDPDF=Y")</f>
        <v>9666</v>
      </c>
      <c r="E49" s="12">
        <f>_xll.BDH("T US Equity","STRATEGIC_SERVICES_REVENUE","FY 2015","FY 2015","Currency=USD","Period=FY","BEST_FPERIOD_OVERRIDE=FY","FILING_STATUS=MR","SCALING_FORMAT=MLN","Sort=A","Dates=H","DateFormat=P","Fill=—","Direction=H","UseDPDF=Y")</f>
        <v>10383</v>
      </c>
      <c r="F49" s="12">
        <f>_xll.BDH("T US Equity","STRATEGIC_SERVICES_REVENUE","FY 2016","FY 2016","Currency=USD","Period=FY","BEST_FPERIOD_OVERRIDE=FY","FILING_STATUS=MR","SCALING_FORMAT=MLN","Sort=A","Dates=H","DateFormat=P","Fill=—","Direction=H","UseDPDF=Y")</f>
        <v>11431</v>
      </c>
      <c r="G49" s="12">
        <f>_xll.BDH("T US Equity","STRATEGIC_SERVICES_REVENUE","FY 2017","FY 2017","Currency=USD","Period=FY","BEST_FPERIOD_OVERRIDE=FY","FILING_STATUS=MR","SCALING_FORMAT=MLN","Sort=A","Dates=H","DateFormat=P","Fill=—","Direction=H","UseDPDF=Y")</f>
        <v>12227</v>
      </c>
      <c r="H49" s="12">
        <f>_xll.BDH("T US Equity","STRATEGIC_SERVICES_REVENUE","FY 2018","FY 2018","Currency=USD","Period=FY","BEST_FPERIOD_OVERRIDE=FY","FILING_STATUS=MR","SCALING_FORMAT=MLN","Sort=A","Dates=H","DateFormat=P","Fill=—","Direction=H","UseDPDF=Y")</f>
        <v>14649</v>
      </c>
      <c r="I49" s="12">
        <f>_xll.BDH("T US Equity","STRATEGIC_SERVICES_REVENUE","FY 2019","FY 2019","Currency=USD","Period=FY","BEST_FPERIOD_OVERRIDE=FY","FILING_STATUS=MR","SCALING_FORMAT=MLN","Sort=A","Dates=H","DateFormat=P","Fill=—","Direction=H","UseDPDF=Y")</f>
        <v>15430</v>
      </c>
      <c r="J49" s="12">
        <f>_xll.BDH("T US Equity","STRATEGIC_SERVICES_REVENUE","FY 2020","FY 2020","Currency=USD","Period=FY","BEST_FPERIOD_OVERRIDE=FY","FILING_STATUS=MR","SCALING_FORMAT=MLN","Sort=A","Dates=H","DateFormat=P","Fill=—","Direction=H","UseDPDF=Y")</f>
        <v>15788</v>
      </c>
      <c r="K49" s="12" t="str">
        <f>_xll.BDH("T US Equity","STRATEGIC_SERVICES_REVENUE","FY 2021","FY 2021","Currency=USD","Period=FY","BEST_FPERIOD_OVERRIDE=FY","FILING_STATUS=MR","SCALING_FORMAT=MLN","Sort=A","Dates=H","DateFormat=P","Fill=—","Direction=H","UseDPDF=Y")</f>
        <v>—</v>
      </c>
      <c r="L49" s="12" t="str">
        <f>_xll.BDH("T US Equity","STRATEGIC_SERVICES_REVENUE","FY 2022","FY 2022","Currency=USD","Period=FY","BEST_FPERIOD_OVERRIDE=FY","FILING_STATUS=MR","SCALING_FORMAT=MLN","Sort=A","Dates=H","DateFormat=P","Fill=—","Direction=H","UseDPDF=Y")</f>
        <v>—</v>
      </c>
    </row>
    <row r="50" spans="1:1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>
      <c r="A51" s="6" t="s">
        <v>33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>
      <c r="A52" s="10" t="s">
        <v>85</v>
      </c>
      <c r="B52" s="10" t="s">
        <v>86</v>
      </c>
      <c r="C52" s="12">
        <f>_xll.BDH("T US Equity","NUMBER_OF_WIRELINE_SUBSCRIBERS","FY 2013","FY 2013","Currency=USD","Period=FY","BEST_FPERIOD_OVERRIDE=FY","FILING_STATUS=MR","Sort=A","Dates=H","DateFormat=P","Fill=—","Direction=H","UseDPDF=Y")</f>
        <v>28489</v>
      </c>
      <c r="D52" s="12">
        <f>_xll.BDH("T US Equity","NUMBER_OF_WIRELINE_SUBSCRIBERS","FY 2014","FY 2014","Currency=USD","Period=FY","BEST_FPERIOD_OVERRIDE=FY","FILING_STATUS=MR","Sort=A","Dates=H","DateFormat=P","Fill=—","Direction=H","UseDPDF=Y")</f>
        <v>24778</v>
      </c>
      <c r="E52" s="12">
        <f>_xll.BDH("T US Equity","NUMBER_OF_WIRELINE_SUBSCRIBERS","FY 2015","FY 2015","Currency=USD","Period=FY","BEST_FPERIOD_OVERRIDE=FY","FILING_STATUS=MR","Sort=A","Dates=H","DateFormat=P","Fill=—","Direction=H","UseDPDF=Y")</f>
        <v>22123</v>
      </c>
      <c r="F52" s="12">
        <f>_xll.BDH("T US Equity","NUMBER_OF_WIRELINE_SUBSCRIBERS","FY 2016","FY 2016","Currency=USD","Period=FY","BEST_FPERIOD_OVERRIDE=FY","FILING_STATUS=MR","Sort=A","Dates=H","DateFormat=P","Fill=—","Direction=H","UseDPDF=Y")</f>
        <v>19773</v>
      </c>
      <c r="G52" s="12">
        <f>_xll.BDH("T US Equity","NUMBER_OF_WIRELINE_SUBSCRIBERS","FY 2017","FY 2017","Currency=USD","Period=FY","BEST_FPERIOD_OVERRIDE=FY","FILING_STATUS=MR","Sort=A","Dates=H","DateFormat=P","Fill=—","Direction=H","UseDPDF=Y")</f>
        <v>17435</v>
      </c>
      <c r="H52" s="12">
        <f>_xll.BDH("T US Equity","NUMBER_OF_WIRELINE_SUBSCRIBERS","FY 2018","FY 2018","Currency=USD","Period=FY","BEST_FPERIOD_OVERRIDE=FY","FILING_STATUS=MR","Sort=A","Dates=H","DateFormat=P","Fill=—","Direction=H","UseDPDF=Y")</f>
        <v>15116</v>
      </c>
      <c r="I52" s="12">
        <f>_xll.BDH("T US Equity","NUMBER_OF_WIRELINE_SUBSCRIBERS","FY 2019","FY 2019","Currency=USD","Period=FY","BEST_FPERIOD_OVERRIDE=FY","FILING_STATUS=MR","Sort=A","Dates=H","DateFormat=P","Fill=—","Direction=H","UseDPDF=Y")</f>
        <v>12857</v>
      </c>
      <c r="J52" s="12">
        <f>_xll.BDH("T US Equity","NUMBER_OF_WIRELINE_SUBSCRIBERS","FY 2020","FY 2020","Currency=USD","Period=FY","BEST_FPERIOD_OVERRIDE=FY","FILING_STATUS=MR","Sort=A","Dates=H","DateFormat=P","Fill=—","Direction=H","UseDPDF=Y")</f>
        <v>11079</v>
      </c>
      <c r="K52" s="12">
        <f>_xll.BDH("T US Equity","NUMBER_OF_WIRELINE_SUBSCRIBERS","FY 2021","FY 2021","Currency=USD","Period=FY","BEST_FPERIOD_OVERRIDE=FY","FILING_STATUS=MR","Sort=A","Dates=H","DateFormat=P","Fill=—","Direction=H","UseDPDF=Y")</f>
        <v>9510</v>
      </c>
      <c r="L52" s="12">
        <f>_xll.BDH("T US Equity","NUMBER_OF_WIRELINE_SUBSCRIBERS","FY 2022","FY 2022","Currency=USD","Period=FY","BEST_FPERIOD_OVERRIDE=FY","FILING_STATUS=MR","Sort=A","Dates=H","DateFormat=P","Fill=—","Direction=H","UseDPDF=Y")</f>
        <v>8143</v>
      </c>
    </row>
    <row r="53" spans="1:12">
      <c r="A53" s="10" t="s">
        <v>87</v>
      </c>
      <c r="B53" s="10" t="s">
        <v>88</v>
      </c>
      <c r="C53" s="12">
        <f>_xll.BDH("T US Equity","RESIDENTIAL_ACCESS_LINES","FY 2013","FY 2013","Currency=USD","Period=FY","BEST_FPERIOD_OVERRIDE=FY","FILING_STATUS=MR","Sort=A","Dates=H","DateFormat=P","Fill=—","Direction=H","UseDPDF=Y")</f>
        <v>16251</v>
      </c>
      <c r="D53" s="12">
        <f>_xll.BDH("T US Equity","RESIDENTIAL_ACCESS_LINES","FY 2014","FY 2014","Currency=USD","Period=FY","BEST_FPERIOD_OVERRIDE=FY","FILING_STATUS=MR","Sort=A","Dates=H","DateFormat=P","Fill=—","Direction=H","UseDPDF=Y")</f>
        <v>14002</v>
      </c>
      <c r="E53" s="12">
        <f>_xll.BDH("T US Equity","RESIDENTIAL_ACCESS_LINES","FY 2015","FY 2015","Currency=USD","Period=FY","BEST_FPERIOD_OVERRIDE=FY","FILING_STATUS=MR","Sort=A","Dates=H","DateFormat=P","Fill=—","Direction=H","UseDPDF=Y")</f>
        <v>12498</v>
      </c>
      <c r="F53" s="12">
        <f>_xll.BDH("T US Equity","RESIDENTIAL_ACCESS_LINES","FY 2016","FY 2016","Currency=USD","Period=FY","BEST_FPERIOD_OVERRIDE=FY","FILING_STATUS=MR","Sort=A","Dates=H","DateFormat=P","Fill=—","Direction=H","UseDPDF=Y")</f>
        <v>11278</v>
      </c>
      <c r="G53" s="12">
        <f>_xll.BDH("T US Equity","RESIDENTIAL_ACCESS_LINES","FY 2017","FY 2017","Currency=USD","Period=FY","BEST_FPERIOD_OVERRIDE=FY","FILING_STATUS=MR","Sort=A","Dates=H","DateFormat=P","Fill=—","Direction=H","UseDPDF=Y")</f>
        <v>9996</v>
      </c>
      <c r="H53" s="12">
        <f>_xll.BDH("T US Equity","RESIDENTIAL_ACCESS_LINES","FY 2018","FY 2018","Currency=USD","Period=FY","BEST_FPERIOD_OVERRIDE=FY","FILING_STATUS=MR","Sort=A","Dates=H","DateFormat=P","Fill=—","Direction=H","UseDPDF=Y")</f>
        <v>8549</v>
      </c>
      <c r="I53" s="12">
        <f>_xll.BDH("T US Equity","RESIDENTIAL_ACCESS_LINES","FY 2019","FY 2019","Currency=USD","Period=FY","BEST_FPERIOD_OVERRIDE=FY","FILING_STATUS=MR","Sort=A","Dates=H","DateFormat=P","Fill=—","Direction=H","UseDPDF=Y")</f>
        <v>7123</v>
      </c>
      <c r="J53" s="12">
        <f>_xll.BDH("T US Equity","RESIDENTIAL_ACCESS_LINES","FY 2020","FY 2020","Currency=USD","Period=FY","BEST_FPERIOD_OVERRIDE=FY","FILING_STATUS=MR","Sort=A","Dates=H","DateFormat=P","Fill=—","Direction=H","UseDPDF=Y")</f>
        <v>6093</v>
      </c>
      <c r="K53" s="12">
        <f>_xll.BDH("T US Equity","RESIDENTIAL_ACCESS_LINES","FY 2021","FY 2021","Currency=USD","Period=FY","BEST_FPERIOD_OVERRIDE=FY","FILING_STATUS=MR","Sort=A","Dates=H","DateFormat=P","Fill=—","Direction=H","UseDPDF=Y")</f>
        <v>2423</v>
      </c>
      <c r="L53" s="12">
        <f>_xll.BDH("T US Equity","RESIDENTIAL_ACCESS_LINES","FY 2022","FY 2022","Currency=USD","Period=FY","BEST_FPERIOD_OVERRIDE=FY","FILING_STATUS=MR","Sort=A","Dates=H","DateFormat=P","Fill=—","Direction=H","UseDPDF=Y")</f>
        <v>2028</v>
      </c>
    </row>
    <row r="54" spans="1:12">
      <c r="A54" s="10" t="s">
        <v>89</v>
      </c>
      <c r="B54" s="10" t="s">
        <v>90</v>
      </c>
      <c r="C54" s="12">
        <f>_xll.BDH("T US Equity","BUSINESS_ACCESS_LINES","FY 2013","FY 2013","Currency=USD","Period=FY","BEST_FPERIOD_OVERRIDE=FY","FILING_STATUS=MR","Sort=A","Dates=H","DateFormat=P","Fill=—","Direction=H","UseDPDF=Y")</f>
        <v>10364</v>
      </c>
      <c r="D54" s="12">
        <f>_xll.BDH("T US Equity","BUSINESS_ACCESS_LINES","FY 2014","FY 2014","Currency=USD","Period=FY","BEST_FPERIOD_OVERRIDE=FY","FILING_STATUS=MR","Sort=A","Dates=H","DateFormat=P","Fill=—","Direction=H","UseDPDF=Y")</f>
        <v>5894</v>
      </c>
      <c r="E54" s="12">
        <f>_xll.BDH("T US Equity","BUSINESS_ACCESS_LINES","FY 2015","FY 2015","Currency=USD","Period=FY","BEST_FPERIOD_OVERRIDE=FY","FILING_STATUS=MR","Sort=A","Dates=H","DateFormat=P","Fill=—","Direction=H","UseDPDF=Y")</f>
        <v>1788</v>
      </c>
      <c r="F54" s="12">
        <f>_xll.BDH("T US Equity","BUSINESS_ACCESS_LINES","FY 2016","FY 2016","Currency=USD","Period=FY","BEST_FPERIOD_OVERRIDE=FY","FILING_STATUS=MR","Sort=A","Dates=H","DateFormat=P","Fill=—","Direction=H","UseDPDF=Y")</f>
        <v>3008</v>
      </c>
      <c r="G54" s="12">
        <f>_xll.BDH("T US Equity","BUSINESS_ACCESS_LINES","FY 2017","FY 2017","Currency=USD","Period=FY","BEST_FPERIOD_OVERRIDE=FY","FILING_STATUS=MR","Sort=A","Dates=H","DateFormat=P","Fill=—","Direction=H","UseDPDF=Y")</f>
        <v>1804</v>
      </c>
      <c r="H54" s="12">
        <f>_xll.BDH("T US Equity","BUSINESS_ACCESS_LINES","FY 2018","FY 2018","Currency=USD","Period=FY","BEST_FPERIOD_OVERRIDE=FY","FILING_STATUS=MR","Sort=A","Dates=H","DateFormat=P","Fill=—","Direction=H","UseDPDF=Y")</f>
        <v>1453</v>
      </c>
      <c r="I54" s="12">
        <f>_xll.BDH("T US Equity","BUSINESS_ACCESS_LINES","FY 2019","FY 2019","Currency=USD","Period=FY","BEST_FPERIOD_OVERRIDE=FY","FILING_STATUS=MR","Sort=A","Dates=H","DateFormat=P","Fill=—","Direction=H","UseDPDF=Y")</f>
        <v>1364</v>
      </c>
      <c r="J54" s="12">
        <f>_xll.BDH("T US Equity","BUSINESS_ACCESS_LINES","FY 2020","FY 2020","Currency=USD","Period=FY","BEST_FPERIOD_OVERRIDE=FY","FILING_STATUS=MR","Sort=A","Dates=H","DateFormat=P","Fill=—","Direction=H","UseDPDF=Y")</f>
        <v>1170</v>
      </c>
      <c r="K54" s="12">
        <f>_xll.BDH("T US Equity","BUSINESS_ACCESS_LINES","FY 2021","FY 2021","Currency=USD","Period=FY","BEST_FPERIOD_OVERRIDE=FY","FILING_STATUS=MR","Sort=A","Dates=H","DateFormat=P","Fill=—","Direction=H","UseDPDF=Y")</f>
        <v>1018</v>
      </c>
      <c r="L54" s="12">
        <f>_xll.BDH("T US Equity","BUSINESS_ACCESS_LINES","FY 2022","FY 2022","Currency=USD","Period=FY","BEST_FPERIOD_OVERRIDE=FY","FILING_STATUS=MR","Sort=A","Dates=H","DateFormat=P","Fill=—","Direction=H","UseDPDF=Y")</f>
        <v>874</v>
      </c>
    </row>
    <row r="55" spans="1:12">
      <c r="A55" s="10" t="s">
        <v>91</v>
      </c>
      <c r="B55" s="10" t="s">
        <v>92</v>
      </c>
      <c r="C55" s="12">
        <f>_xll.BDH("T US Equity","TOTAL_CABLE_SUBSCRIBERS","FY 2013","FY 2013","Currency=USD","Period=FY","BEST_FPERIOD_OVERRIDE=FY","FILING_STATUS=MR","Sort=A","Dates=H","DateFormat=P","Fill=—","Direction=H","UseDPDF=Y")</f>
        <v>5.4420000000000002</v>
      </c>
      <c r="D55" s="12">
        <f>_xll.BDH("T US Equity","TOTAL_CABLE_SUBSCRIBERS","FY 2014","FY 2014","Currency=USD","Period=FY","BEST_FPERIOD_OVERRIDE=FY","FILING_STATUS=MR","Sort=A","Dates=H","DateFormat=P","Fill=—","Direction=H","UseDPDF=Y")</f>
        <v>5.92</v>
      </c>
      <c r="E55" s="12">
        <f>_xll.BDH("T US Equity","TOTAL_CABLE_SUBSCRIBERS","FY 2015","FY 2015","Currency=USD","Period=FY","BEST_FPERIOD_OVERRIDE=FY","FILING_STATUS=MR","Sort=A","Dates=H","DateFormat=P","Fill=—","Direction=H","UseDPDF=Y")</f>
        <v>25.398</v>
      </c>
      <c r="F55" s="12">
        <f>_xll.BDH("T US Equity","TOTAL_CABLE_SUBSCRIBERS","FY 2016","FY 2016","Currency=USD","Period=FY","BEST_FPERIOD_OVERRIDE=FY","FILING_STATUS=MR","Sort=A","Dates=H","DateFormat=P","Fill=—","Direction=H","UseDPDF=Y")</f>
        <v>25.532</v>
      </c>
      <c r="G55" s="12">
        <f>_xll.BDH("T US Equity","TOTAL_CABLE_SUBSCRIBERS","FY 2017","FY 2017","Currency=USD","Period=FY","BEST_FPERIOD_OVERRIDE=FY","FILING_STATUS=MR","Sort=A","Dates=H","DateFormat=P","Fill=—","Direction=H","UseDPDF=Y")</f>
        <v>25.244</v>
      </c>
      <c r="H55" s="12">
        <f>_xll.BDH("T US Equity","TOTAL_CABLE_SUBSCRIBERS","FY 2018","FY 2018","Currency=USD","Period=FY","BEST_FPERIOD_OVERRIDE=FY","FILING_STATUS=MR","Sort=A","Dates=H","DateFormat=P","Fill=—","Direction=H","UseDPDF=Y")</f>
        <v>24.516999999999999</v>
      </c>
      <c r="I55" s="12">
        <f>_xll.BDH("T US Equity","TOTAL_CABLE_SUBSCRIBERS","FY 2019","FY 2019","Currency=USD","Period=FY","BEST_FPERIOD_OVERRIDE=FY","FILING_STATUS=MR","Sort=A","Dates=H","DateFormat=P","Fill=—","Direction=H","UseDPDF=Y")</f>
        <v>20.422000000000001</v>
      </c>
      <c r="J55" s="12">
        <f>_xll.BDH("T US Equity","TOTAL_CABLE_SUBSCRIBERS","FY 2020","FY 2020","Currency=USD","Period=FY","BEST_FPERIOD_OVERRIDE=FY","FILING_STATUS=MR","Sort=A","Dates=H","DateFormat=P","Fill=—","Direction=H","UseDPDF=Y")</f>
        <v>17.161000000000001</v>
      </c>
      <c r="K55" s="12" t="str">
        <f>_xll.BDH("T US Equity","TOTAL_CABLE_SUBSCRIBERS","FY 2021","FY 2021","Currency=USD","Period=FY","BEST_FPERIOD_OVERRIDE=FY","FILING_STATUS=MR","Sort=A","Dates=H","DateFormat=P","Fill=—","Direction=H","UseDPDF=Y")</f>
        <v>—</v>
      </c>
      <c r="L55" s="12" t="str">
        <f>_xll.BDH("T US Equity","TOTAL_CABLE_SUBSCRIBERS","FY 2022","FY 2022","Currency=USD","Period=FY","BEST_FPERIOD_OVERRIDE=FY","FILING_STATUS=MR","Sort=A","Dates=H","DateFormat=P","Fill=—","Direction=H","UseDPDF=Y")</f>
        <v>—</v>
      </c>
    </row>
    <row r="56" spans="1:12">
      <c r="A56" s="10" t="s">
        <v>93</v>
      </c>
      <c r="B56" s="10" t="s">
        <v>94</v>
      </c>
      <c r="C56" s="12">
        <f>_xll.BDH("T US Equity","BROADBAND_HSI_SUBSCRIBERS","FY 2013","FY 2013","Currency=USD","Period=FY","BEST_FPERIOD_OVERRIDE=FY","FILING_STATUS=MR","Sort=A","Dates=H","DateFormat=P","Fill=—","Direction=H","UseDPDF=Y")</f>
        <v>16425</v>
      </c>
      <c r="D56" s="12">
        <f>_xll.BDH("T US Equity","BROADBAND_HSI_SUBSCRIBERS","FY 2014","FY 2014","Currency=USD","Period=FY","BEST_FPERIOD_OVERRIDE=FY","FILING_STATUS=MR","Sort=A","Dates=H","DateFormat=P","Fill=—","Direction=H","UseDPDF=Y")</f>
        <v>16028</v>
      </c>
      <c r="E56" s="12">
        <f>_xll.BDH("T US Equity","BROADBAND_HSI_SUBSCRIBERS","FY 2015","FY 2015","Currency=USD","Period=FY","BEST_FPERIOD_OVERRIDE=FY","FILING_STATUS=MR","Sort=A","Dates=H","DateFormat=P","Fill=—","Direction=H","UseDPDF=Y")</f>
        <v>15778</v>
      </c>
      <c r="F56" s="12">
        <f>_xll.BDH("T US Equity","BROADBAND_HSI_SUBSCRIBERS","FY 2016","FY 2016","Currency=USD","Period=FY","BEST_FPERIOD_OVERRIDE=FY","FILING_STATUS=MR","Sort=A","Dates=H","DateFormat=P","Fill=—","Direction=H","UseDPDF=Y")</f>
        <v>15605</v>
      </c>
      <c r="G56" s="12">
        <f>_xll.BDH("T US Equity","BROADBAND_HSI_SUBSCRIBERS","FY 2017","FY 2017","Currency=USD","Period=FY","BEST_FPERIOD_OVERRIDE=FY","FILING_STATUS=MR","Sort=A","Dates=H","DateFormat=P","Fill=—","Direction=H","UseDPDF=Y")</f>
        <v>15719</v>
      </c>
      <c r="H56" s="12">
        <f>_xll.BDH("T US Equity","BROADBAND_HSI_SUBSCRIBERS","FY 2018","FY 2018","Currency=USD","Period=FY","BEST_FPERIOD_OVERRIDE=FY","FILING_STATUS=MR","Sort=A","Dates=H","DateFormat=P","Fill=—","Direction=H","UseDPDF=Y")</f>
        <v>15701</v>
      </c>
      <c r="I56" s="12">
        <f>_xll.BDH("T US Equity","BROADBAND_HSI_SUBSCRIBERS","FY 2019","FY 2019","Currency=USD","Period=FY","BEST_FPERIOD_OVERRIDE=FY","FILING_STATUS=MR","Sort=A","Dates=H","DateFormat=P","Fill=—","Direction=H","UseDPDF=Y")</f>
        <v>15389</v>
      </c>
      <c r="J56" s="12">
        <f>_xll.BDH("T US Equity","BROADBAND_HSI_SUBSCRIBERS","FY 2020","FY 2020","Currency=USD","Period=FY","BEST_FPERIOD_OVERRIDE=FY","FILING_STATUS=MR","Sort=A","Dates=H","DateFormat=P","Fill=—","Direction=H","UseDPDF=Y")</f>
        <v>15384</v>
      </c>
      <c r="K56" s="12">
        <f>_xll.BDH("T US Equity","BROADBAND_HSI_SUBSCRIBERS","FY 2021","FY 2021","Currency=USD","Period=FY","BEST_FPERIOD_OVERRIDE=FY","FILING_STATUS=MR","Sort=A","Dates=H","DateFormat=P","Fill=—","Direction=H","UseDPDF=Y")</f>
        <v>15504</v>
      </c>
      <c r="L56" s="12">
        <f>_xll.BDH("T US Equity","BROADBAND_HSI_SUBSCRIBERS","FY 2022","FY 2022","Currency=USD","Period=FY","BEST_FPERIOD_OVERRIDE=FY","FILING_STATUS=MR","Sort=A","Dates=H","DateFormat=P","Fill=—","Direction=H","UseDPDF=Y")</f>
        <v>15386</v>
      </c>
    </row>
    <row r="57" spans="1:1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1:12">
      <c r="A58" s="6" t="s">
        <v>42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spans="1:12">
      <c r="A59" s="10" t="s">
        <v>95</v>
      </c>
      <c r="B59" s="10" t="s">
        <v>96</v>
      </c>
      <c r="C59" s="12">
        <f>_xll.BDH("T US Equity","TOTAL_CABLE_SUBSCRIBER_ADDS","FY 2013","FY 2013","Currency=USD","Period=FY","BEST_FPERIOD_OVERRIDE=FY","FILING_STATUS=MR","Sort=A","Dates=H","DateFormat=P","Fill=—","Direction=H","UseDPDF=Y")</f>
        <v>0.92400000000000004</v>
      </c>
      <c r="D59" s="12">
        <f>_xll.BDH("T US Equity","TOTAL_CABLE_SUBSCRIBER_ADDS","FY 2014","FY 2014","Currency=USD","Period=FY","BEST_FPERIOD_OVERRIDE=FY","FILING_STATUS=MR","Sort=A","Dates=H","DateFormat=P","Fill=—","Direction=H","UseDPDF=Y")</f>
        <v>0.66300000000000003</v>
      </c>
      <c r="E59" s="12">
        <f>_xll.BDH("T US Equity","TOTAL_CABLE_SUBSCRIBER_ADDS","FY 2015","FY 2015","Currency=USD","Period=FY","BEST_FPERIOD_OVERRIDE=FY","FILING_STATUS=MR","Sort=A","Dates=H","DateFormat=P","Fill=—","Direction=H","UseDPDF=Y")</f>
        <v>-6.6000000000000003E-2</v>
      </c>
      <c r="F59" s="12">
        <f>_xll.BDH("T US Equity","TOTAL_CABLE_SUBSCRIBER_ADDS","FY 2016","FY 2016","Currency=USD","Period=FY","BEST_FPERIOD_OVERRIDE=FY","FILING_STATUS=MR","Sort=A","Dates=H","DateFormat=P","Fill=—","Direction=H","UseDPDF=Y")</f>
        <v>0.13400000000000001</v>
      </c>
      <c r="G59" s="12">
        <f>_xll.BDH("T US Equity","TOTAL_CABLE_SUBSCRIBER_ADDS","FY 2017","FY 2017","Currency=USD","Period=FY","BEST_FPERIOD_OVERRIDE=FY","FILING_STATUS=MR","Sort=A","Dates=H","DateFormat=P","Fill=—","Direction=H","UseDPDF=Y")</f>
        <v>-0.28799999999999998</v>
      </c>
      <c r="H59" s="12">
        <f>_xll.BDH("T US Equity","TOTAL_CABLE_SUBSCRIBER_ADDS","FY 2018","FY 2018","Currency=USD","Period=FY","BEST_FPERIOD_OVERRIDE=FY","FILING_STATUS=MR","Sort=A","Dates=H","DateFormat=P","Fill=—","Direction=H","UseDPDF=Y")</f>
        <v>-0.753</v>
      </c>
      <c r="I59" s="12">
        <f>_xll.BDH("T US Equity","TOTAL_CABLE_SUBSCRIBER_ADDS","FY 2019","FY 2019","Currency=USD","Period=FY","BEST_FPERIOD_OVERRIDE=FY","FILING_STATUS=MR","Sort=A","Dates=H","DateFormat=P","Fill=—","Direction=H","UseDPDF=Y")</f>
        <v>-4.0949999999999998</v>
      </c>
      <c r="J59" s="12">
        <f>_xll.BDH("T US Equity","TOTAL_CABLE_SUBSCRIBER_ADDS","FY 2020","FY 2020","Currency=USD","Period=FY","BEST_FPERIOD_OVERRIDE=FY","FILING_STATUS=MR","Sort=A","Dates=H","DateFormat=P","Fill=—","Direction=H","UseDPDF=Y")</f>
        <v>-3.2610000000000001</v>
      </c>
      <c r="K59" s="12">
        <f>_xll.BDH("T US Equity","TOTAL_CABLE_SUBSCRIBER_ADDS","FY 2021","FY 2021","Currency=USD","Period=FY","BEST_FPERIOD_OVERRIDE=FY","FILING_STATUS=MR","Sort=A","Dates=H","DateFormat=P","Fill=—","Direction=H","UseDPDF=Y")</f>
        <v>1.101</v>
      </c>
      <c r="L59" s="12">
        <f>_xll.BDH("T US Equity","TOTAL_CABLE_SUBSCRIBER_ADDS","FY 2022","FY 2022","Currency=USD","Period=FY","BEST_FPERIOD_OVERRIDE=FY","FILING_STATUS=MR","Sort=A","Dates=H","DateFormat=P","Fill=—","Direction=H","UseDPDF=Y")</f>
        <v>1.054</v>
      </c>
    </row>
    <row r="60" spans="1:12">
      <c r="A60" s="10" t="s">
        <v>97</v>
      </c>
      <c r="B60" s="10" t="s">
        <v>98</v>
      </c>
      <c r="C60" s="13">
        <f>_xll.BDH("T US Equity","BROADBAND_HSI_NET_SUBSCRIB_ADDS","FY 2013","FY 2013","Currency=USD","Period=FY","BEST_FPERIOD_OVERRIDE=FY","FILING_STATUS=MR","Sort=A","Dates=H","DateFormat=P","Fill=—","Direction=H","UseDPDF=Y")</f>
        <v>35000</v>
      </c>
      <c r="D60" s="13">
        <f>_xll.BDH("T US Equity","BROADBAND_HSI_NET_SUBSCRIB_ADDS","FY 2014","FY 2014","Currency=USD","Period=FY","BEST_FPERIOD_OVERRIDE=FY","FILING_STATUS=MR","Sort=A","Dates=H","DateFormat=P","Fill=—","Direction=H","UseDPDF=Y")</f>
        <v>11000</v>
      </c>
      <c r="E60" s="13">
        <f>_xll.BDH("T US Equity","BROADBAND_HSI_NET_SUBSCRIB_ADDS","FY 2015","FY 2015","Currency=USD","Period=FY","BEST_FPERIOD_OVERRIDE=FY","FILING_STATUS=MR","Sort=A","Dates=H","DateFormat=P","Fill=—","Direction=H","UseDPDF=Y")</f>
        <v>-157000</v>
      </c>
      <c r="F60" s="13">
        <f>_xll.BDH("T US Equity","BROADBAND_HSI_NET_SUBSCRIB_ADDS","FY 2016","FY 2016","Currency=USD","Period=FY","BEST_FPERIOD_OVERRIDE=FY","FILING_STATUS=MR","Sort=A","Dates=H","DateFormat=P","Fill=—","Direction=H","UseDPDF=Y")</f>
        <v>-107000</v>
      </c>
      <c r="G60" s="13">
        <f>_xll.BDH("T US Equity","BROADBAND_HSI_NET_SUBSCRIB_ADDS","FY 2017","FY 2017","Currency=USD","Period=FY","BEST_FPERIOD_OVERRIDE=FY","FILING_STATUS=MR","Sort=A","Dates=H","DateFormat=P","Fill=—","Direction=H","UseDPDF=Y")</f>
        <v>171000</v>
      </c>
      <c r="H60" s="13">
        <f>_xll.BDH("T US Equity","BROADBAND_HSI_NET_SUBSCRIB_ADDS","FY 2018","FY 2018","Currency=USD","Period=FY","BEST_FPERIOD_OVERRIDE=FY","FILING_STATUS=MR","Sort=A","Dates=H","DateFormat=P","Fill=—","Direction=H","UseDPDF=Y")</f>
        <v>59000</v>
      </c>
      <c r="I60" s="13">
        <f>_xll.BDH("T US Equity","BROADBAND_HSI_NET_SUBSCRIB_ADDS","FY 2019","FY 2019","Currency=USD","Period=FY","BEST_FPERIOD_OVERRIDE=FY","FILING_STATUS=MR","Sort=A","Dates=H","DateFormat=P","Fill=—","Direction=H","UseDPDF=Y")</f>
        <v>-313000</v>
      </c>
      <c r="J60" s="13">
        <f>_xll.BDH("T US Equity","BROADBAND_HSI_NET_SUBSCRIB_ADDS","FY 2020","FY 2020","Currency=USD","Period=FY","BEST_FPERIOD_OVERRIDE=FY","FILING_STATUS=MR","Sort=A","Dates=H","DateFormat=P","Fill=—","Direction=H","UseDPDF=Y")</f>
        <v>-5000</v>
      </c>
      <c r="K60" s="13">
        <f>_xll.BDH("T US Equity","BROADBAND_HSI_NET_SUBSCRIB_ADDS","FY 2021","FY 2021","Currency=USD","Period=FY","BEST_FPERIOD_OVERRIDE=FY","FILING_STATUS=MR","Sort=A","Dates=H","DateFormat=P","Fill=—","Direction=H","UseDPDF=Y")</f>
        <v>60000</v>
      </c>
      <c r="L60" s="13">
        <f>_xll.BDH("T US Equity","BROADBAND_HSI_NET_SUBSCRIB_ADDS","FY 2022","FY 2022","Currency=USD","Period=FY","BEST_FPERIOD_OVERRIDE=FY","FILING_STATUS=MR","Sort=A","Dates=H","DateFormat=P","Fill=—","Direction=H","UseDPDF=Y")</f>
        <v>-169000</v>
      </c>
    </row>
    <row r="61" spans="1:1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1:12">
      <c r="A62" s="6" t="s">
        <v>99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spans="1:12">
      <c r="A63" s="10" t="s">
        <v>100</v>
      </c>
      <c r="B63" s="10" t="s">
        <v>101</v>
      </c>
      <c r="C63" s="12">
        <f>_xll.BDH("T US Equity","DIGITAL_CABLE_REVENUE","FY 2013","FY 2013","Currency=USD","Period=FY","BEST_FPERIOD_OVERRIDE=FY","FILING_STATUS=MR","SCALING_FORMAT=MLN","Sort=A","Dates=H","DateFormat=P","Fill=—","Direction=H","UseDPDF=Y")</f>
        <v>12000</v>
      </c>
      <c r="D63" s="12">
        <f>_xll.BDH("T US Equity","DIGITAL_CABLE_REVENUE","FY 2014","FY 2014","Currency=USD","Period=FY","BEST_FPERIOD_OVERRIDE=FY","FILING_STATUS=MR","SCALING_FORMAT=MLN","Sort=A","Dates=H","DateFormat=P","Fill=—","Direction=H","UseDPDF=Y")</f>
        <v>21535.599999999999</v>
      </c>
      <c r="E63" s="12">
        <f>_xll.BDH("T US Equity","DIGITAL_CABLE_REVENUE","FY 2015","FY 2015","Currency=USD","Period=FY","BEST_FPERIOD_OVERRIDE=FY","FILING_STATUS=MR","SCALING_FORMAT=MLN","Sort=A","Dates=H","DateFormat=P","Fill=—","Direction=H","UseDPDF=Y")</f>
        <v>22422</v>
      </c>
      <c r="F63" s="12">
        <f>_xll.BDH("T US Equity","DIGITAL_CABLE_REVENUE","FY 2016","FY 2016","Currency=USD","Period=FY","BEST_FPERIOD_OVERRIDE=FY","FILING_STATUS=MR","SCALING_FORMAT=MLN","Sort=A","Dates=H","DateFormat=P","Fill=—","Direction=H","UseDPDF=Y")</f>
        <v>41370</v>
      </c>
      <c r="G63" s="12">
        <f>_xll.BDH("T US Equity","DIGITAL_CABLE_REVENUE","FY 2017","FY 2017","Currency=USD","Period=FY","BEST_FPERIOD_OVERRIDE=FY","FILING_STATUS=MR","SCALING_FORMAT=MLN","Sort=A","Dates=H","DateFormat=P","Fill=—","Direction=H","UseDPDF=Y")</f>
        <v>42184</v>
      </c>
      <c r="H63" s="12">
        <f>_xll.BDH("T US Equity","DIGITAL_CABLE_REVENUE","FY 2018","FY 2018","Currency=USD","Period=FY","BEST_FPERIOD_OVERRIDE=FY","FILING_STATUS=MR","SCALING_FORMAT=MLN","Sort=A","Dates=H","DateFormat=P","Fill=—","Direction=H","UseDPDF=Y")</f>
        <v>38141</v>
      </c>
      <c r="I63" s="12">
        <f>_xll.BDH("T US Equity","DIGITAL_CABLE_REVENUE","FY 2019","FY 2019","Currency=USD","Period=FY","BEST_FPERIOD_OVERRIDE=FY","FILING_STATUS=MR","SCALING_FORMAT=MLN","Sort=A","Dates=H","DateFormat=P","Fill=—","Direction=H","UseDPDF=Y")</f>
        <v>36204</v>
      </c>
      <c r="J63" s="12">
        <f>_xll.BDH("T US Equity","DIGITAL_CABLE_REVENUE","FY 2020","FY 2020","Currency=USD","Period=FY","BEST_FPERIOD_OVERRIDE=FY","FILING_STATUS=MR","SCALING_FORMAT=MLN","Sort=A","Dates=H","DateFormat=P","Fill=—","Direction=H","UseDPDF=Y")</f>
        <v>31611</v>
      </c>
      <c r="K63" s="12">
        <f>_xll.BDH("T US Equity","DIGITAL_CABLE_REVENUE","FY 2021","FY 2021","Currency=USD","Period=FY","BEST_FPERIOD_OVERRIDE=FY","FILING_STATUS=MR","SCALING_FORMAT=MLN","Sort=A","Dates=H","DateFormat=P","Fill=—","Direction=H","UseDPDF=Y")</f>
        <v>35512</v>
      </c>
      <c r="L63" s="12">
        <f>_xll.BDH("T US Equity","DIGITAL_CABLE_REVENUE","FY 2022","FY 2022","Currency=USD","Period=FY","BEST_FPERIOD_OVERRIDE=FY","FILING_STATUS=MR","SCALING_FORMAT=MLN","Sort=A","Dates=H","DateFormat=P","Fill=—","Direction=H","UseDPDF=Y")</f>
        <v>34896</v>
      </c>
    </row>
    <row r="64" spans="1:12">
      <c r="A64" s="10" t="s">
        <v>91</v>
      </c>
      <c r="B64" s="10" t="s">
        <v>92</v>
      </c>
      <c r="C64" s="12">
        <f>_xll.BDH("T US Equity","TOTAL_CABLE_SUBSCRIBERS","FY 2013","FY 2013","Currency=USD","Period=FY","BEST_FPERIOD_OVERRIDE=FY","FILING_STATUS=MR","Sort=A","Dates=H","DateFormat=P","Fill=—","Direction=H","UseDPDF=Y")</f>
        <v>5.4420000000000002</v>
      </c>
      <c r="D64" s="12">
        <f>_xll.BDH("T US Equity","TOTAL_CABLE_SUBSCRIBERS","FY 2014","FY 2014","Currency=USD","Period=FY","BEST_FPERIOD_OVERRIDE=FY","FILING_STATUS=MR","Sort=A","Dates=H","DateFormat=P","Fill=—","Direction=H","UseDPDF=Y")</f>
        <v>5.92</v>
      </c>
      <c r="E64" s="12">
        <f>_xll.BDH("T US Equity","TOTAL_CABLE_SUBSCRIBERS","FY 2015","FY 2015","Currency=USD","Period=FY","BEST_FPERIOD_OVERRIDE=FY","FILING_STATUS=MR","Sort=A","Dates=H","DateFormat=P","Fill=—","Direction=H","UseDPDF=Y")</f>
        <v>25.398</v>
      </c>
      <c r="F64" s="12">
        <f>_xll.BDH("T US Equity","TOTAL_CABLE_SUBSCRIBERS","FY 2016","FY 2016","Currency=USD","Period=FY","BEST_FPERIOD_OVERRIDE=FY","FILING_STATUS=MR","Sort=A","Dates=H","DateFormat=P","Fill=—","Direction=H","UseDPDF=Y")</f>
        <v>25.532</v>
      </c>
      <c r="G64" s="12">
        <f>_xll.BDH("T US Equity","TOTAL_CABLE_SUBSCRIBERS","FY 2017","FY 2017","Currency=USD","Period=FY","BEST_FPERIOD_OVERRIDE=FY","FILING_STATUS=MR","Sort=A","Dates=H","DateFormat=P","Fill=—","Direction=H","UseDPDF=Y")</f>
        <v>25.244</v>
      </c>
      <c r="H64" s="12">
        <f>_xll.BDH("T US Equity","TOTAL_CABLE_SUBSCRIBERS","FY 2018","FY 2018","Currency=USD","Period=FY","BEST_FPERIOD_OVERRIDE=FY","FILING_STATUS=MR","Sort=A","Dates=H","DateFormat=P","Fill=—","Direction=H","UseDPDF=Y")</f>
        <v>24.516999999999999</v>
      </c>
      <c r="I64" s="12">
        <f>_xll.BDH("T US Equity","TOTAL_CABLE_SUBSCRIBERS","FY 2019","FY 2019","Currency=USD","Period=FY","BEST_FPERIOD_OVERRIDE=FY","FILING_STATUS=MR","Sort=A","Dates=H","DateFormat=P","Fill=—","Direction=H","UseDPDF=Y")</f>
        <v>20.422000000000001</v>
      </c>
      <c r="J64" s="12">
        <f>_xll.BDH("T US Equity","TOTAL_CABLE_SUBSCRIBERS","FY 2020","FY 2020","Currency=USD","Period=FY","BEST_FPERIOD_OVERRIDE=FY","FILING_STATUS=MR","Sort=A","Dates=H","DateFormat=P","Fill=—","Direction=H","UseDPDF=Y")</f>
        <v>17.161000000000001</v>
      </c>
      <c r="K64" s="12" t="str">
        <f>_xll.BDH("T US Equity","TOTAL_CABLE_SUBSCRIBERS","FY 2021","FY 2021","Currency=USD","Period=FY","BEST_FPERIOD_OVERRIDE=FY","FILING_STATUS=MR","Sort=A","Dates=H","DateFormat=P","Fill=—","Direction=H","UseDPDF=Y")</f>
        <v>—</v>
      </c>
      <c r="L64" s="12" t="str">
        <f>_xll.BDH("T US Equity","TOTAL_CABLE_SUBSCRIBERS","FY 2022","FY 2022","Currency=USD","Period=FY","BEST_FPERIOD_OVERRIDE=FY","FILING_STATUS=MR","Sort=A","Dates=H","DateFormat=P","Fill=—","Direction=H","UseDPDF=Y")</f>
        <v>—</v>
      </c>
    </row>
    <row r="65" spans="1:12">
      <c r="A65" s="10" t="s">
        <v>95</v>
      </c>
      <c r="B65" s="10" t="s">
        <v>96</v>
      </c>
      <c r="C65" s="12">
        <f>_xll.BDH("T US Equity","TOTAL_CABLE_SUBSCRIBER_ADDS","FY 2013","FY 2013","Currency=USD","Period=FY","BEST_FPERIOD_OVERRIDE=FY","FILING_STATUS=MR","Sort=A","Dates=H","DateFormat=P","Fill=—","Direction=H","UseDPDF=Y")</f>
        <v>0.92400000000000004</v>
      </c>
      <c r="D65" s="12">
        <f>_xll.BDH("T US Equity","TOTAL_CABLE_SUBSCRIBER_ADDS","FY 2014","FY 2014","Currency=USD","Period=FY","BEST_FPERIOD_OVERRIDE=FY","FILING_STATUS=MR","Sort=A","Dates=H","DateFormat=P","Fill=—","Direction=H","UseDPDF=Y")</f>
        <v>0.66300000000000003</v>
      </c>
      <c r="E65" s="12">
        <f>_xll.BDH("T US Equity","TOTAL_CABLE_SUBSCRIBER_ADDS","FY 2015","FY 2015","Currency=USD","Period=FY","BEST_FPERIOD_OVERRIDE=FY","FILING_STATUS=MR","Sort=A","Dates=H","DateFormat=P","Fill=—","Direction=H","UseDPDF=Y")</f>
        <v>-6.6000000000000003E-2</v>
      </c>
      <c r="F65" s="12">
        <f>_xll.BDH("T US Equity","TOTAL_CABLE_SUBSCRIBER_ADDS","FY 2016","FY 2016","Currency=USD","Period=FY","BEST_FPERIOD_OVERRIDE=FY","FILING_STATUS=MR","Sort=A","Dates=H","DateFormat=P","Fill=—","Direction=H","UseDPDF=Y")</f>
        <v>0.13400000000000001</v>
      </c>
      <c r="G65" s="12">
        <f>_xll.BDH("T US Equity","TOTAL_CABLE_SUBSCRIBER_ADDS","FY 2017","FY 2017","Currency=USD","Period=FY","BEST_FPERIOD_OVERRIDE=FY","FILING_STATUS=MR","Sort=A","Dates=H","DateFormat=P","Fill=—","Direction=H","UseDPDF=Y")</f>
        <v>-0.28799999999999998</v>
      </c>
      <c r="H65" s="12">
        <f>_xll.BDH("T US Equity","TOTAL_CABLE_SUBSCRIBER_ADDS","FY 2018","FY 2018","Currency=USD","Period=FY","BEST_FPERIOD_OVERRIDE=FY","FILING_STATUS=MR","Sort=A","Dates=H","DateFormat=P","Fill=—","Direction=H","UseDPDF=Y")</f>
        <v>-0.753</v>
      </c>
      <c r="I65" s="12">
        <f>_xll.BDH("T US Equity","TOTAL_CABLE_SUBSCRIBER_ADDS","FY 2019","FY 2019","Currency=USD","Period=FY","BEST_FPERIOD_OVERRIDE=FY","FILING_STATUS=MR","Sort=A","Dates=H","DateFormat=P","Fill=—","Direction=H","UseDPDF=Y")</f>
        <v>-4.0949999999999998</v>
      </c>
      <c r="J65" s="12">
        <f>_xll.BDH("T US Equity","TOTAL_CABLE_SUBSCRIBER_ADDS","FY 2020","FY 2020","Currency=USD","Period=FY","BEST_FPERIOD_OVERRIDE=FY","FILING_STATUS=MR","Sort=A","Dates=H","DateFormat=P","Fill=—","Direction=H","UseDPDF=Y")</f>
        <v>-3.2610000000000001</v>
      </c>
      <c r="K65" s="12">
        <f>_xll.BDH("T US Equity","TOTAL_CABLE_SUBSCRIBER_ADDS","FY 2021","FY 2021","Currency=USD","Period=FY","BEST_FPERIOD_OVERRIDE=FY","FILING_STATUS=MR","Sort=A","Dates=H","DateFormat=P","Fill=—","Direction=H","UseDPDF=Y")</f>
        <v>1.101</v>
      </c>
      <c r="L65" s="12">
        <f>_xll.BDH("T US Equity","TOTAL_CABLE_SUBSCRIBER_ADDS","FY 2022","FY 2022","Currency=USD","Period=FY","BEST_FPERIOD_OVERRIDE=FY","FILING_STATUS=MR","Sort=A","Dates=H","DateFormat=P","Fill=—","Direction=H","UseDPDF=Y")</f>
        <v>1.054</v>
      </c>
    </row>
    <row r="66" spans="1:12">
      <c r="A66" s="10" t="s">
        <v>102</v>
      </c>
      <c r="B66" s="10" t="s">
        <v>94</v>
      </c>
      <c r="C66" s="12">
        <f>_xll.BDH("T US Equity","BROADBAND_HSI_SUBSCRIBERS","FY 2013","FY 2013","Currency=USD","Period=FY","BEST_FPERIOD_OVERRIDE=FY","FILING_STATUS=MR","Sort=A","Dates=H","DateFormat=P","Fill=—","Direction=H","UseDPDF=Y")</f>
        <v>16425</v>
      </c>
      <c r="D66" s="12">
        <f>_xll.BDH("T US Equity","BROADBAND_HSI_SUBSCRIBERS","FY 2014","FY 2014","Currency=USD","Period=FY","BEST_FPERIOD_OVERRIDE=FY","FILING_STATUS=MR","Sort=A","Dates=H","DateFormat=P","Fill=—","Direction=H","UseDPDF=Y")</f>
        <v>16028</v>
      </c>
      <c r="E66" s="12">
        <f>_xll.BDH("T US Equity","BROADBAND_HSI_SUBSCRIBERS","FY 2015","FY 2015","Currency=USD","Period=FY","BEST_FPERIOD_OVERRIDE=FY","FILING_STATUS=MR","Sort=A","Dates=H","DateFormat=P","Fill=—","Direction=H","UseDPDF=Y")</f>
        <v>15778</v>
      </c>
      <c r="F66" s="12">
        <f>_xll.BDH("T US Equity","BROADBAND_HSI_SUBSCRIBERS","FY 2016","FY 2016","Currency=USD","Period=FY","BEST_FPERIOD_OVERRIDE=FY","FILING_STATUS=MR","Sort=A","Dates=H","DateFormat=P","Fill=—","Direction=H","UseDPDF=Y")</f>
        <v>15605</v>
      </c>
      <c r="G66" s="12">
        <f>_xll.BDH("T US Equity","BROADBAND_HSI_SUBSCRIBERS","FY 2017","FY 2017","Currency=USD","Period=FY","BEST_FPERIOD_OVERRIDE=FY","FILING_STATUS=MR","Sort=A","Dates=H","DateFormat=P","Fill=—","Direction=H","UseDPDF=Y")</f>
        <v>15719</v>
      </c>
      <c r="H66" s="12">
        <f>_xll.BDH("T US Equity","BROADBAND_HSI_SUBSCRIBERS","FY 2018","FY 2018","Currency=USD","Period=FY","BEST_FPERIOD_OVERRIDE=FY","FILING_STATUS=MR","Sort=A","Dates=H","DateFormat=P","Fill=—","Direction=H","UseDPDF=Y")</f>
        <v>15701</v>
      </c>
      <c r="I66" s="12">
        <f>_xll.BDH("T US Equity","BROADBAND_HSI_SUBSCRIBERS","FY 2019","FY 2019","Currency=USD","Period=FY","BEST_FPERIOD_OVERRIDE=FY","FILING_STATUS=MR","Sort=A","Dates=H","DateFormat=P","Fill=—","Direction=H","UseDPDF=Y")</f>
        <v>15389</v>
      </c>
      <c r="J66" s="12">
        <f>_xll.BDH("T US Equity","BROADBAND_HSI_SUBSCRIBERS","FY 2020","FY 2020","Currency=USD","Period=FY","BEST_FPERIOD_OVERRIDE=FY","FILING_STATUS=MR","Sort=A","Dates=H","DateFormat=P","Fill=—","Direction=H","UseDPDF=Y")</f>
        <v>15384</v>
      </c>
      <c r="K66" s="12">
        <f>_xll.BDH("T US Equity","BROADBAND_HSI_SUBSCRIBERS","FY 2021","FY 2021","Currency=USD","Period=FY","BEST_FPERIOD_OVERRIDE=FY","FILING_STATUS=MR","Sort=A","Dates=H","DateFormat=P","Fill=—","Direction=H","UseDPDF=Y")</f>
        <v>15504</v>
      </c>
      <c r="L66" s="12">
        <f>_xll.BDH("T US Equity","BROADBAND_HSI_SUBSCRIBERS","FY 2022","FY 2022","Currency=USD","Period=FY","BEST_FPERIOD_OVERRIDE=FY","FILING_STATUS=MR","Sort=A","Dates=H","DateFormat=P","Fill=—","Direction=H","UseDPDF=Y")</f>
        <v>15386</v>
      </c>
    </row>
    <row r="67" spans="1:12">
      <c r="A67" s="10" t="s">
        <v>103</v>
      </c>
      <c r="B67" s="10" t="s">
        <v>98</v>
      </c>
      <c r="C67" s="13">
        <f>_xll.BDH("T US Equity","BROADBAND_HSI_NET_SUBSCRIB_ADDS","FY 2013","FY 2013","Currency=USD","Period=FY","BEST_FPERIOD_OVERRIDE=FY","FILING_STATUS=MR","Sort=A","Dates=H","DateFormat=P","Fill=—","Direction=H","UseDPDF=Y")</f>
        <v>35000</v>
      </c>
      <c r="D67" s="13">
        <f>_xll.BDH("T US Equity","BROADBAND_HSI_NET_SUBSCRIB_ADDS","FY 2014","FY 2014","Currency=USD","Period=FY","BEST_FPERIOD_OVERRIDE=FY","FILING_STATUS=MR","Sort=A","Dates=H","DateFormat=P","Fill=—","Direction=H","UseDPDF=Y")</f>
        <v>11000</v>
      </c>
      <c r="E67" s="13">
        <f>_xll.BDH("T US Equity","BROADBAND_HSI_NET_SUBSCRIB_ADDS","FY 2015","FY 2015","Currency=USD","Period=FY","BEST_FPERIOD_OVERRIDE=FY","FILING_STATUS=MR","Sort=A","Dates=H","DateFormat=P","Fill=—","Direction=H","UseDPDF=Y")</f>
        <v>-157000</v>
      </c>
      <c r="F67" s="13">
        <f>_xll.BDH("T US Equity","BROADBAND_HSI_NET_SUBSCRIB_ADDS","FY 2016","FY 2016","Currency=USD","Period=FY","BEST_FPERIOD_OVERRIDE=FY","FILING_STATUS=MR","Sort=A","Dates=H","DateFormat=P","Fill=—","Direction=H","UseDPDF=Y")</f>
        <v>-107000</v>
      </c>
      <c r="G67" s="13">
        <f>_xll.BDH("T US Equity","BROADBAND_HSI_NET_SUBSCRIB_ADDS","FY 2017","FY 2017","Currency=USD","Period=FY","BEST_FPERIOD_OVERRIDE=FY","FILING_STATUS=MR","Sort=A","Dates=H","DateFormat=P","Fill=—","Direction=H","UseDPDF=Y")</f>
        <v>171000</v>
      </c>
      <c r="H67" s="13">
        <f>_xll.BDH("T US Equity","BROADBAND_HSI_NET_SUBSCRIB_ADDS","FY 2018","FY 2018","Currency=USD","Period=FY","BEST_FPERIOD_OVERRIDE=FY","FILING_STATUS=MR","Sort=A","Dates=H","DateFormat=P","Fill=—","Direction=H","UseDPDF=Y")</f>
        <v>59000</v>
      </c>
      <c r="I67" s="13">
        <f>_xll.BDH("T US Equity","BROADBAND_HSI_NET_SUBSCRIB_ADDS","FY 2019","FY 2019","Currency=USD","Period=FY","BEST_FPERIOD_OVERRIDE=FY","FILING_STATUS=MR","Sort=A","Dates=H","DateFormat=P","Fill=—","Direction=H","UseDPDF=Y")</f>
        <v>-313000</v>
      </c>
      <c r="J67" s="13">
        <f>_xll.BDH("T US Equity","BROADBAND_HSI_NET_SUBSCRIB_ADDS","FY 2020","FY 2020","Currency=USD","Period=FY","BEST_FPERIOD_OVERRIDE=FY","FILING_STATUS=MR","Sort=A","Dates=H","DateFormat=P","Fill=—","Direction=H","UseDPDF=Y")</f>
        <v>-5000</v>
      </c>
      <c r="K67" s="13">
        <f>_xll.BDH("T US Equity","BROADBAND_HSI_NET_SUBSCRIB_ADDS","FY 2021","FY 2021","Currency=USD","Period=FY","BEST_FPERIOD_OVERRIDE=FY","FILING_STATUS=MR","Sort=A","Dates=H","DateFormat=P","Fill=—","Direction=H","UseDPDF=Y")</f>
        <v>60000</v>
      </c>
      <c r="L67" s="13">
        <f>_xll.BDH("T US Equity","BROADBAND_HSI_NET_SUBSCRIB_ADDS","FY 2022","FY 2022","Currency=USD","Period=FY","BEST_FPERIOD_OVERRIDE=FY","FILING_STATUS=MR","Sort=A","Dates=H","DateFormat=P","Fill=—","Direction=H","UseDPDF=Y")</f>
        <v>-169000</v>
      </c>
    </row>
    <row r="68" spans="1:12">
      <c r="A68" s="10" t="s">
        <v>104</v>
      </c>
      <c r="B68" s="10" t="s">
        <v>105</v>
      </c>
      <c r="C68" s="13" t="str">
        <f>_xll.BDH("T US Equity","VIDEO_ARPU","FY 2013","FY 2013","Currency=USD","Period=FY","BEST_FPERIOD_OVERRIDE=FY","FILING_STATUS=MR","Sort=A","Dates=H","DateFormat=P","Fill=—","Direction=H","UseDPDF=Y")</f>
        <v>—</v>
      </c>
      <c r="D68" s="13">
        <f>_xll.BDH("T US Equity","VIDEO_ARPU","FY 2014","FY 2014","Currency=USD","Period=FY","BEST_FPERIOD_OVERRIDE=FY","FILING_STATUS=MR","Sort=A","Dates=H","DateFormat=P","Fill=—","Direction=H","UseDPDF=Y")</f>
        <v>301.97000000000003</v>
      </c>
      <c r="E68" s="13" t="str">
        <f>_xll.BDH("T US Equity","VIDEO_ARPU","FY 2015","FY 2015","Currency=USD","Period=FY","BEST_FPERIOD_OVERRIDE=FY","FILING_STATUS=MR","Sort=A","Dates=H","DateFormat=P","Fill=—","Direction=H","UseDPDF=Y")</f>
        <v>—</v>
      </c>
      <c r="F68" s="13">
        <f>_xll.BDH("T US Equity","VIDEO_ARPU","FY 2016","FY 2016","Currency=USD","Period=FY","BEST_FPERIOD_OVERRIDE=FY","FILING_STATUS=MR","Sort=A","Dates=H","DateFormat=P","Fill=—","Direction=H","UseDPDF=Y")</f>
        <v>137.97</v>
      </c>
      <c r="G68" s="13">
        <f>_xll.BDH("T US Equity","VIDEO_ARPU","FY 2017","FY 2017","Currency=USD","Period=FY","BEST_FPERIOD_OVERRIDE=FY","FILING_STATUS=MR","Sort=A","Dates=H","DateFormat=P","Fill=—","Direction=H","UseDPDF=Y")</f>
        <v>139.2542</v>
      </c>
      <c r="H68" s="13">
        <f>_xll.BDH("T US Equity","VIDEO_ARPU","FY 2018","FY 2018","Currency=USD","Period=FY","BEST_FPERIOD_OVERRIDE=FY","FILING_STATUS=MR","Sort=A","Dates=H","DateFormat=P","Fill=—","Direction=H","UseDPDF=Y")</f>
        <v>129.63999999999999</v>
      </c>
      <c r="I68" s="13">
        <f>_xll.BDH("T US Equity","VIDEO_ARPU","FY 2019","FY 2019","Currency=USD","Period=FY","BEST_FPERIOD_OVERRIDE=FY","FILING_STATUS=MR","Sort=A","Dates=H","DateFormat=P","Fill=—","Direction=H","UseDPDF=Y")</f>
        <v>147.88999999999999</v>
      </c>
      <c r="J68" s="13">
        <f>_xll.BDH("T US Equity","VIDEO_ARPU","FY 2020","FY 2020","Currency=USD","Period=FY","BEST_FPERIOD_OVERRIDE=FY","FILING_STATUS=MR","Sort=A","Dates=H","DateFormat=P","Fill=—","Direction=H","UseDPDF=Y")</f>
        <v>153.5</v>
      </c>
      <c r="K68" s="13">
        <f>_xll.BDH("T US Equity","VIDEO_ARPU","FY 2021","FY 2021","Currency=USD","Period=FY","BEST_FPERIOD_OVERRIDE=FY","FILING_STATUS=MR","Sort=A","Dates=H","DateFormat=P","Fill=—","Direction=H","UseDPDF=Y")</f>
        <v>189.7</v>
      </c>
      <c r="L68" s="13">
        <f>_xll.BDH("T US Equity","VIDEO_ARPU","FY 2022","FY 2022","Currency=USD","Period=FY","BEST_FPERIOD_OVERRIDE=FY","FILING_STATUS=MR","Sort=A","Dates=H","DateFormat=P","Fill=—","Direction=H","UseDPDF=Y")</f>
        <v>164.5</v>
      </c>
    </row>
    <row r="69" spans="1:12">
      <c r="A69" s="10" t="s">
        <v>106</v>
      </c>
      <c r="B69" s="10" t="s">
        <v>107</v>
      </c>
      <c r="C69" s="13">
        <f>_xll.BDH("T US Equity","TOTAL_CABLE_PENETRATION","FY 2013","FY 2013","Currency=USD","Period=FY","BEST_FPERIOD_OVERRIDE=FY","FILING_STATUS=MR","Sort=A","Dates=H","DateFormat=P","Fill=—","Direction=H","UseDPDF=Y")</f>
        <v>21</v>
      </c>
      <c r="D69" s="13">
        <f>_xll.BDH("T US Equity","TOTAL_CABLE_PENETRATION","FY 2014","FY 2014","Currency=USD","Period=FY","BEST_FPERIOD_OVERRIDE=FY","FILING_STATUS=MR","Sort=A","Dates=H","DateFormat=P","Fill=—","Direction=H","UseDPDF=Y")</f>
        <v>22</v>
      </c>
      <c r="E69" s="13" t="str">
        <f>_xll.BDH("T US Equity","TOTAL_CABLE_PENETRATION","FY 2015","FY 2015","Currency=USD","Period=FY","BEST_FPERIOD_OVERRIDE=FY","FILING_STATUS=MR","Sort=A","Dates=H","DateFormat=P","Fill=—","Direction=H","UseDPDF=Y")</f>
        <v>—</v>
      </c>
      <c r="F69" s="13" t="str">
        <f>_xll.BDH("T US Equity","TOTAL_CABLE_PENETRATION","FY 2016","FY 2016","Currency=USD","Period=FY","BEST_FPERIOD_OVERRIDE=FY","FILING_STATUS=MR","Sort=A","Dates=H","DateFormat=P","Fill=—","Direction=H","UseDPDF=Y")</f>
        <v>—</v>
      </c>
      <c r="G69" s="13" t="str">
        <f>_xll.BDH("T US Equity","TOTAL_CABLE_PENETRATION","FY 2017","FY 2017","Currency=USD","Period=FY","BEST_FPERIOD_OVERRIDE=FY","FILING_STATUS=MR","Sort=A","Dates=H","DateFormat=P","Fill=—","Direction=H","UseDPDF=Y")</f>
        <v>—</v>
      </c>
      <c r="H69" s="13" t="str">
        <f>_xll.BDH("T US Equity","TOTAL_CABLE_PENETRATION","FY 2018","FY 2018","Currency=USD","Period=FY","BEST_FPERIOD_OVERRIDE=FY","FILING_STATUS=MR","Sort=A","Dates=H","DateFormat=P","Fill=—","Direction=H","UseDPDF=Y")</f>
        <v>—</v>
      </c>
      <c r="I69" s="13" t="str">
        <f>_xll.BDH("T US Equity","TOTAL_CABLE_PENETRATION","FY 2019","FY 2019","Currency=USD","Period=FY","BEST_FPERIOD_OVERRIDE=FY","FILING_STATUS=MR","Sort=A","Dates=H","DateFormat=P","Fill=—","Direction=H","UseDPDF=Y")</f>
        <v>—</v>
      </c>
      <c r="J69" s="13" t="str">
        <f>_xll.BDH("T US Equity","TOTAL_CABLE_PENETRATION","FY 2020","FY 2020","Currency=USD","Period=FY","BEST_FPERIOD_OVERRIDE=FY","FILING_STATUS=MR","Sort=A","Dates=H","DateFormat=P","Fill=—","Direction=H","UseDPDF=Y")</f>
        <v>—</v>
      </c>
      <c r="K69" s="13" t="str">
        <f>_xll.BDH("T US Equity","TOTAL_CABLE_PENETRATION","FY 2021","FY 2021","Currency=USD","Period=FY","BEST_FPERIOD_OVERRIDE=FY","FILING_STATUS=MR","Sort=A","Dates=H","DateFormat=P","Fill=—","Direction=H","UseDPDF=Y")</f>
        <v>—</v>
      </c>
      <c r="L69" s="13" t="str">
        <f>_xll.BDH("T US Equity","TOTAL_CABLE_PENETRATION","FY 2022","FY 2022","Currency=USD","Period=FY","BEST_FPERIOD_OVERRIDE=FY","FILING_STATUS=MR","Sort=A","Dates=H","DateFormat=P","Fill=—","Direction=H","UseDPDF=Y")</f>
        <v>—</v>
      </c>
    </row>
    <row r="70" spans="1:1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pans="1:12">
      <c r="A71" s="6" t="s">
        <v>64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>
      <c r="A72" s="10" t="s">
        <v>108</v>
      </c>
      <c r="B72" s="10" t="s">
        <v>109</v>
      </c>
      <c r="C72" s="12">
        <f>_xll.BDH("T US Equity","IS_COGS_TO_FE_AND_PP_AND_G","FY 2013","FY 2013","Currency=USD","Period=FY","BEST_FPERIOD_OVERRIDE=FY","FILING_STATUS=MR","SCALING_FORMAT=MLN","FA_ADJUSTED=GAAP","Sort=A","Dates=H","DateFormat=P","Fill=—","Direction=H","UseDPDF=Y")</f>
        <v>51464</v>
      </c>
      <c r="D72" s="12">
        <f>_xll.BDH("T US Equity","IS_COGS_TO_FE_AND_PP_AND_G","FY 2014","FY 2014","Currency=USD","Period=FY","BEST_FPERIOD_OVERRIDE=FY","FILING_STATUS=MR","SCALING_FORMAT=MLN","FA_ADJUSTED=GAAP","Sort=A","Dates=H","DateFormat=P","Fill=—","Direction=H","UseDPDF=Y")</f>
        <v>60145</v>
      </c>
      <c r="E72" s="12">
        <f>_xll.BDH("T US Equity","IS_COGS_TO_FE_AND_PP_AND_G","FY 2015","FY 2015","Currency=USD","Period=FY","BEST_FPERIOD_OVERRIDE=FY","FILING_STATUS=MR","SCALING_FORMAT=MLN","FA_ADJUSTED=GAAP","Sort=A","Dates=H","DateFormat=P","Fill=—","Direction=H","UseDPDF=Y")</f>
        <v>67046</v>
      </c>
      <c r="F72" s="12">
        <f>_xll.BDH("T US Equity","IS_COGS_TO_FE_AND_PP_AND_G","FY 2016","FY 2016","Currency=USD","Period=FY","BEST_FPERIOD_OVERRIDE=FY","FILING_STATUS=MR","SCALING_FORMAT=MLN","FA_ADJUSTED=GAAP","Sort=A","Dates=H","DateFormat=P","Fill=—","Direction=H","UseDPDF=Y")</f>
        <v>76884</v>
      </c>
      <c r="G72" s="12">
        <f>_xll.BDH("T US Equity","IS_COGS_TO_FE_AND_PP_AND_G","FY 2017","FY 2017","Currency=USD","Period=FY","BEST_FPERIOD_OVERRIDE=FY","FILING_STATUS=MR","SCALING_FORMAT=MLN","FA_ADJUSTED=GAAP","Sort=A","Dates=H","DateFormat=P","Fill=—","Direction=H","UseDPDF=Y")</f>
        <v>77810</v>
      </c>
      <c r="H72" s="12">
        <f>_xll.BDH("T US Equity","IS_COGS_TO_FE_AND_PP_AND_G","FY 2018","FY 2018","Currency=USD","Period=FY","BEST_FPERIOD_OVERRIDE=FY","FILING_STATUS=MR","SCALING_FORMAT=MLN","FA_ADJUSTED=GAAP","Sort=A","Dates=H","DateFormat=P","Fill=—","Direction=H","UseDPDF=Y")</f>
        <v>79419</v>
      </c>
      <c r="I72" s="12">
        <f>_xll.BDH("T US Equity","IS_COGS_TO_FE_AND_PP_AND_G","FY 2019","FY 2019","Currency=USD","Period=FY","BEST_FPERIOD_OVERRIDE=FY","FILING_STATUS=MR","SCALING_FORMAT=MLN","FA_ADJUSTED=GAAP","Sort=A","Dates=H","DateFormat=P","Fill=—","Direction=H","UseDPDF=Y")</f>
        <v>84141</v>
      </c>
      <c r="J72" s="12">
        <f>_xll.BDH("T US Equity","IS_COGS_TO_FE_AND_PP_AND_G","FY 2020","FY 2020","Currency=USD","Period=FY","BEST_FPERIOD_OVERRIDE=FY","FILING_STATUS=MR","SCALING_FORMAT=MLN","FA_ADJUSTED=GAAP","Sort=A","Dates=H","DateFormat=P","Fill=—","Direction=H","UseDPDF=Y")</f>
        <v>79920</v>
      </c>
      <c r="K72" s="12">
        <f>_xll.BDH("T US Equity","IS_COGS_TO_FE_AND_PP_AND_G","FY 2021","FY 2021","Currency=USD","Period=FY","BEST_FPERIOD_OVERRIDE=FY","FILING_STATUS=MR","SCALING_FORMAT=MLN","FA_ADJUSTED=GAAP","Sort=A","Dates=H","DateFormat=P","Fill=—","Direction=H","UseDPDF=Y")</f>
        <v>60407</v>
      </c>
      <c r="L72" s="12">
        <f>_xll.BDH("T US Equity","IS_COGS_TO_FE_AND_PP_AND_G","FY 2022","FY 2022","Currency=USD","Period=FY","BEST_FPERIOD_OVERRIDE=FY","FILING_STATUS=MR","SCALING_FORMAT=MLN","FA_ADJUSTED=GAAP","Sort=A","Dates=H","DateFormat=P","Fill=—","Direction=H","UseDPDF=Y")</f>
        <v>50848</v>
      </c>
    </row>
    <row r="73" spans="1:12">
      <c r="A73" s="10" t="s">
        <v>110</v>
      </c>
      <c r="B73" s="10" t="s">
        <v>111</v>
      </c>
      <c r="C73" s="12">
        <f>_xll.BDH("T US Equity","GROSS_PROFIT","FY 2013","FY 2013","Currency=USD","Period=FY","BEST_FPERIOD_OVERRIDE=FY","FILING_STATUS=MR","SCALING_FORMAT=MLN","FA_ADJUSTED=GAAP","Sort=A","Dates=H","DateFormat=P","Fill=—","Direction=H","UseDPDF=Y")</f>
        <v>77288</v>
      </c>
      <c r="D73" s="12">
        <f>_xll.BDH("T US Equity","GROSS_PROFIT","FY 2014","FY 2014","Currency=USD","Period=FY","BEST_FPERIOD_OVERRIDE=FY","FILING_STATUS=MR","SCALING_FORMAT=MLN","FA_ADJUSTED=GAAP","Sort=A","Dates=H","DateFormat=P","Fill=—","Direction=H","UseDPDF=Y")</f>
        <v>72302</v>
      </c>
      <c r="E73" s="12">
        <f>_xll.BDH("T US Equity","GROSS_PROFIT","FY 2015","FY 2015","Currency=USD","Period=FY","BEST_FPERIOD_OVERRIDE=FY","FILING_STATUS=MR","SCALING_FORMAT=MLN","FA_ADJUSTED=GAAP","Sort=A","Dates=H","DateFormat=P","Fill=—","Direction=H","UseDPDF=Y")</f>
        <v>79755</v>
      </c>
      <c r="F73" s="12">
        <f>_xll.BDH("T US Equity","GROSS_PROFIT","FY 2016","FY 2016","Currency=USD","Period=FY","BEST_FPERIOD_OVERRIDE=FY","FILING_STATUS=MR","SCALING_FORMAT=MLN","FA_ADJUSTED=GAAP","Sort=A","Dates=H","DateFormat=P","Fill=—","Direction=H","UseDPDF=Y")</f>
        <v>86902</v>
      </c>
      <c r="G73" s="12">
        <f>_xll.BDH("T US Equity","GROSS_PROFIT","FY 2017","FY 2017","Currency=USD","Period=FY","BEST_FPERIOD_OVERRIDE=FY","FILING_STATUS=MR","SCALING_FORMAT=MLN","FA_ADJUSTED=GAAP","Sort=A","Dates=H","DateFormat=P","Fill=—","Direction=H","UseDPDF=Y")</f>
        <v>82736</v>
      </c>
      <c r="H73" s="12">
        <f>_xll.BDH("T US Equity","GROSS_PROFIT","FY 2018","FY 2018","Currency=USD","Period=FY","BEST_FPERIOD_OVERRIDE=FY","FILING_STATUS=MR","SCALING_FORMAT=MLN","FA_ADJUSTED=GAAP","Sort=A","Dates=H","DateFormat=P","Fill=—","Direction=H","UseDPDF=Y")</f>
        <v>91337</v>
      </c>
      <c r="I73" s="12">
        <f>_xll.BDH("T US Equity","GROSS_PROFIT","FY 2019","FY 2019","Currency=USD","Period=FY","BEST_FPERIOD_OVERRIDE=FY","FILING_STATUS=MR","SCALING_FORMAT=MLN","FA_ADJUSTED=GAAP","Sort=A","Dates=H","DateFormat=P","Fill=—","Direction=H","UseDPDF=Y")</f>
        <v>97052</v>
      </c>
      <c r="J73" s="12">
        <f>_xll.BDH("T US Equity","GROSS_PROFIT","FY 2020","FY 2020","Currency=USD","Period=FY","BEST_FPERIOD_OVERRIDE=FY","FILING_STATUS=MR","SCALING_FORMAT=MLN","FA_ADJUSTED=GAAP","Sort=A","Dates=H","DateFormat=P","Fill=—","Direction=H","UseDPDF=Y")</f>
        <v>91840</v>
      </c>
      <c r="K73" s="12">
        <f>_xll.BDH("T US Equity","GROSS_PROFIT","FY 2021","FY 2021","Currency=USD","Period=FY","BEST_FPERIOD_OVERRIDE=FY","FILING_STATUS=MR","SCALING_FORMAT=MLN","FA_ADJUSTED=GAAP","Sort=A","Dates=H","DateFormat=P","Fill=—","Direction=H","UseDPDF=Y")</f>
        <v>73631</v>
      </c>
      <c r="L73" s="12">
        <f>_xll.BDH("T US Equity","GROSS_PROFIT","FY 2022","FY 2022","Currency=USD","Period=FY","BEST_FPERIOD_OVERRIDE=FY","FILING_STATUS=MR","SCALING_FORMAT=MLN","FA_ADJUSTED=GAAP","Sort=A","Dates=H","DateFormat=P","Fill=—","Direction=H","UseDPDF=Y")</f>
        <v>69893</v>
      </c>
    </row>
    <row r="74" spans="1:12">
      <c r="A74" s="10" t="s">
        <v>67</v>
      </c>
      <c r="B74" s="10" t="s">
        <v>67</v>
      </c>
      <c r="C74" s="12">
        <f>_xll.BDH("T US Equity","EBITDA","FY 2013","FY 2013","Currency=USD","Period=FY","BEST_FPERIOD_OVERRIDE=FY","FILING_STATUS=MR","SCALING_FORMAT=MLN","FA_ADJUSTED=GAAP","Sort=A","Dates=H","DateFormat=P","Fill=—","Direction=H","UseDPDF=Y")</f>
        <v>48874</v>
      </c>
      <c r="D74" s="12">
        <f>_xll.BDH("T US Equity","EBITDA","FY 2014","FY 2014","Currency=USD","Period=FY","BEST_FPERIOD_OVERRIDE=FY","FILING_STATUS=MR","SCALING_FORMAT=MLN","FA_ADJUSTED=GAAP","Sort=A","Dates=H","DateFormat=P","Fill=—","Direction=H","UseDPDF=Y")</f>
        <v>30485</v>
      </c>
      <c r="E74" s="12">
        <f>_xll.BDH("T US Equity","EBITDA","FY 2015","FY 2015","Currency=USD","Period=FY","BEST_FPERIOD_OVERRIDE=FY","FILING_STATUS=MR","SCALING_FORMAT=MLN","FA_ADJUSTED=GAAP","Sort=A","Dates=H","DateFormat=P","Fill=—","Direction=H","UseDPDF=Y")</f>
        <v>46801</v>
      </c>
      <c r="F74" s="12">
        <f>_xll.BDH("T US Equity","EBITDA","FY 2016","FY 2016","Currency=USD","Period=FY","BEST_FPERIOD_OVERRIDE=FY","FILING_STATUS=MR","SCALING_FORMAT=MLN","FA_ADJUSTED=GAAP","Sort=A","Dates=H","DateFormat=P","Fill=—","Direction=H","UseDPDF=Y")</f>
        <v>50194</v>
      </c>
      <c r="G74" s="12">
        <f>_xll.BDH("T US Equity","EBITDA","FY 2017","FY 2017","Currency=USD","Period=FY","BEST_FPERIOD_OVERRIDE=FY","FILING_STATUS=MR","SCALING_FORMAT=MLN","FA_ADJUSTED=GAAP","Sort=A","Dates=H","DateFormat=P","Fill=—","Direction=H","UseDPDF=Y")</f>
        <v>44357</v>
      </c>
      <c r="H74" s="12">
        <f>_xll.BDH("T US Equity","EBITDA","FY 2018","FY 2018","Currency=USD","Period=FY","BEST_FPERIOD_OVERRIDE=FY","FILING_STATUS=MR","SCALING_FORMAT=MLN","FA_ADJUSTED=GAAP","Sort=A","Dates=H","DateFormat=P","Fill=—","Direction=H","UseDPDF=Y")</f>
        <v>54526</v>
      </c>
      <c r="I74" s="12">
        <f>_xll.BDH("T US Equity","EBITDA","FY 2019","FY 2019","Currency=USD","Period=FY","BEST_FPERIOD_OVERRIDE=FY","FILING_STATUS=MR","SCALING_FORMAT=MLN","FA_ADJUSTED=GAAP","Sort=A","Dates=H","DateFormat=P","Fill=—","Direction=H","UseDPDF=Y")</f>
        <v>61856</v>
      </c>
      <c r="J74" s="12">
        <f>_xll.BDH("T US Equity","EBITDA","FY 2020","FY 2020","Currency=USD","Period=FY","BEST_FPERIOD_OVERRIDE=FY","FILING_STATUS=MR","SCALING_FORMAT=MLN","FA_ADJUSTED=GAAP","Sort=A","Dates=H","DateFormat=P","Fill=—","Direction=H","UseDPDF=Y")</f>
        <v>40817</v>
      </c>
      <c r="K74" s="12">
        <f>_xll.BDH("T US Equity","EBITDA","FY 2021","FY 2021","Currency=USD","Period=FY","BEST_FPERIOD_OVERRIDE=FY","FILING_STATUS=MR","SCALING_FORMAT=MLN","FA_ADJUSTED=GAAP","Sort=A","Dates=H","DateFormat=P","Fill=—","Direction=H","UseDPDF=Y")</f>
        <v>49112</v>
      </c>
      <c r="L74" s="12">
        <f>_xll.BDH("T US Equity","EBITDA","FY 2022","FY 2022","Currency=USD","Period=FY","BEST_FPERIOD_OVERRIDE=FY","FILING_STATUS=MR","SCALING_FORMAT=MLN","FA_ADJUSTED=GAAP","Sort=A","Dates=H","DateFormat=P","Fill=—","Direction=H","UseDPDF=Y")</f>
        <v>18871</v>
      </c>
    </row>
    <row r="75" spans="1:12">
      <c r="A75" s="10" t="s">
        <v>112</v>
      </c>
      <c r="B75" s="10" t="s">
        <v>113</v>
      </c>
      <c r="C75" s="12">
        <f>_xll.BDH("T US Equity","IS_OPER_INC","FY 2013","FY 2013","Currency=USD","Period=FY","BEST_FPERIOD_OVERRIDE=FY","FILING_STATUS=MR","SCALING_FORMAT=MLN","FA_ADJUSTED=GAAP","Sort=A","Dates=H","DateFormat=P","Fill=—","Direction=H","UseDPDF=Y")</f>
        <v>30479</v>
      </c>
      <c r="D75" s="12">
        <f>_xll.BDH("T US Equity","IS_OPER_INC","FY 2014","FY 2014","Currency=USD","Period=FY","BEST_FPERIOD_OVERRIDE=FY","FILING_STATUS=MR","SCALING_FORMAT=MLN","FA_ADJUSTED=GAAP","Sort=A","Dates=H","DateFormat=P","Fill=—","Direction=H","UseDPDF=Y")</f>
        <v>12212</v>
      </c>
      <c r="E75" s="12">
        <f>_xll.BDH("T US Equity","IS_OPER_INC","FY 2015","FY 2015","Currency=USD","Period=FY","BEST_FPERIOD_OVERRIDE=FY","FILING_STATUS=MR","SCALING_FORMAT=MLN","FA_ADJUSTED=GAAP","Sort=A","Dates=H","DateFormat=P","Fill=—","Direction=H","UseDPDF=Y")</f>
        <v>24785</v>
      </c>
      <c r="F75" s="12">
        <f>_xll.BDH("T US Equity","IS_OPER_INC","FY 2016","FY 2016","Currency=USD","Period=FY","BEST_FPERIOD_OVERRIDE=FY","FILING_STATUS=MR","SCALING_FORMAT=MLN","FA_ADJUSTED=GAAP","Sort=A","Dates=H","DateFormat=P","Fill=—","Direction=H","UseDPDF=Y")</f>
        <v>24347</v>
      </c>
      <c r="G75" s="12">
        <f>_xll.BDH("T US Equity","IS_OPER_INC","FY 2017","FY 2017","Currency=USD","Period=FY","BEST_FPERIOD_OVERRIDE=FY","FILING_STATUS=MR","SCALING_FORMAT=MLN","FA_ADJUSTED=GAAP","Sort=A","Dates=H","DateFormat=P","Fill=—","Direction=H","UseDPDF=Y")</f>
        <v>19970</v>
      </c>
      <c r="H75" s="12">
        <f>_xll.BDH("T US Equity","IS_OPER_INC","FY 2018","FY 2018","Currency=USD","Period=FY","BEST_FPERIOD_OVERRIDE=FY","FILING_STATUS=MR","SCALING_FORMAT=MLN","FA_ADJUSTED=GAAP","Sort=A","Dates=H","DateFormat=P","Fill=—","Direction=H","UseDPDF=Y")</f>
        <v>26096</v>
      </c>
      <c r="I75" s="12">
        <f>_xll.BDH("T US Equity","IS_OPER_INC","FY 2019","FY 2019","Currency=USD","Period=FY","BEST_FPERIOD_OVERRIDE=FY","FILING_STATUS=MR","SCALING_FORMAT=MLN","FA_ADJUSTED=GAAP","Sort=A","Dates=H","DateFormat=P","Fill=—","Direction=H","UseDPDF=Y")</f>
        <v>27955</v>
      </c>
      <c r="J75" s="12">
        <f>_xll.BDH("T US Equity","IS_OPER_INC","FY 2020","FY 2020","Currency=USD","Period=FY","BEST_FPERIOD_OVERRIDE=FY","FILING_STATUS=MR","SCALING_FORMAT=MLN","FA_ADJUSTED=GAAP","Sort=A","Dates=H","DateFormat=P","Fill=—","Direction=H","UseDPDF=Y")</f>
        <v>6405</v>
      </c>
      <c r="K75" s="12">
        <f>_xll.BDH("T US Equity","IS_OPER_INC","FY 2021","FY 2021","Currency=USD","Period=FY","BEST_FPERIOD_OVERRIDE=FY","FILING_STATUS=MR","SCALING_FORMAT=MLN","FA_ADJUSTED=GAAP","Sort=A","Dates=H","DateFormat=P","Fill=—","Direction=H","UseDPDF=Y")</f>
        <v>25897</v>
      </c>
      <c r="L75" s="12">
        <f>_xll.BDH("T US Equity","IS_OPER_INC","FY 2022","FY 2022","Currency=USD","Period=FY","BEST_FPERIOD_OVERRIDE=FY","FILING_STATUS=MR","SCALING_FORMAT=MLN","FA_ADJUSTED=GAAP","Sort=A","Dates=H","DateFormat=P","Fill=—","Direction=H","UseDPDF=Y")</f>
        <v>-4587</v>
      </c>
    </row>
    <row r="76" spans="1:12">
      <c r="A76" s="10" t="s">
        <v>70</v>
      </c>
      <c r="B76" s="10" t="s">
        <v>71</v>
      </c>
      <c r="C76" s="12">
        <f>_xll.BDH("T US Equity","CF_CAP_EXPEND_PRPTY_ADD","FY 2013","FY 2013","Currency=USD","Period=FY","BEST_FPERIOD_OVERRIDE=FY","FILING_STATUS=MR","SCALING_FORMAT=MLN","Sort=A","Dates=H","DateFormat=P","Fill=—","Direction=H","UseDPDF=Y")</f>
        <v>-20944</v>
      </c>
      <c r="D76" s="12">
        <f>_xll.BDH("T US Equity","CF_CAP_EXPEND_PRPTY_ADD","FY 2014","FY 2014","Currency=USD","Period=FY","BEST_FPERIOD_OVERRIDE=FY","FILING_STATUS=MR","SCALING_FORMAT=MLN","Sort=A","Dates=H","DateFormat=P","Fill=—","Direction=H","UseDPDF=Y")</f>
        <v>-21433</v>
      </c>
      <c r="E76" s="12">
        <f>_xll.BDH("T US Equity","CF_CAP_EXPEND_PRPTY_ADD","FY 2015","FY 2015","Currency=USD","Period=FY","BEST_FPERIOD_OVERRIDE=FY","FILING_STATUS=MR","SCALING_FORMAT=MLN","Sort=A","Dates=H","DateFormat=P","Fill=—","Direction=H","UseDPDF=Y")</f>
        <v>-20015</v>
      </c>
      <c r="F76" s="12">
        <f>_xll.BDH("T US Equity","CF_CAP_EXPEND_PRPTY_ADD","FY 2016","FY 2016","Currency=USD","Period=FY","BEST_FPERIOD_OVERRIDE=FY","FILING_STATUS=MR","SCALING_FORMAT=MLN","Sort=A","Dates=H","DateFormat=P","Fill=—","Direction=H","UseDPDF=Y")</f>
        <v>-22408</v>
      </c>
      <c r="G76" s="12">
        <f>_xll.BDH("T US Equity","CF_CAP_EXPEND_PRPTY_ADD","FY 2017","FY 2017","Currency=USD","Period=FY","BEST_FPERIOD_OVERRIDE=FY","FILING_STATUS=MR","SCALING_FORMAT=MLN","Sort=A","Dates=H","DateFormat=P","Fill=—","Direction=H","UseDPDF=Y")</f>
        <v>-21550</v>
      </c>
      <c r="H76" s="12">
        <f>_xll.BDH("T US Equity","CF_CAP_EXPEND_PRPTY_ADD","FY 2018","FY 2018","Currency=USD","Period=FY","BEST_FPERIOD_OVERRIDE=FY","FILING_STATUS=MR","SCALING_FORMAT=MLN","Sort=A","Dates=H","DateFormat=P","Fill=—","Direction=H","UseDPDF=Y")</f>
        <v>-21251</v>
      </c>
      <c r="I76" s="12">
        <f>_xll.BDH("T US Equity","CF_CAP_EXPEND_PRPTY_ADD","FY 2019","FY 2019","Currency=USD","Period=FY","BEST_FPERIOD_OVERRIDE=FY","FILING_STATUS=MR","SCALING_FORMAT=MLN","Sort=A","Dates=H","DateFormat=P","Fill=—","Direction=H","UseDPDF=Y")</f>
        <v>-19635</v>
      </c>
      <c r="J76" s="12">
        <f>_xll.BDH("T US Equity","CF_CAP_EXPEND_PRPTY_ADD","FY 2020","FY 2020","Currency=USD","Period=FY","BEST_FPERIOD_OVERRIDE=FY","FILING_STATUS=MR","SCALING_FORMAT=MLN","Sort=A","Dates=H","DateFormat=P","Fill=—","Direction=H","UseDPDF=Y")</f>
        <v>-15675</v>
      </c>
      <c r="K76" s="12">
        <f>_xll.BDH("T US Equity","CF_CAP_EXPEND_PRPTY_ADD","FY 2021","FY 2021","Currency=USD","Period=FY","BEST_FPERIOD_OVERRIDE=FY","FILING_STATUS=MR","SCALING_FORMAT=MLN","Sort=A","Dates=H","DateFormat=P","Fill=—","Direction=H","UseDPDF=Y")</f>
        <v>-15545</v>
      </c>
      <c r="L76" s="12">
        <f>_xll.BDH("T US Equity","CF_CAP_EXPEND_PRPTY_ADD","FY 2022","FY 2022","Currency=USD","Period=FY","BEST_FPERIOD_OVERRIDE=FY","FILING_STATUS=MR","SCALING_FORMAT=MLN","Sort=A","Dates=H","DateFormat=P","Fill=—","Direction=H","UseDPDF=Y")</f>
        <v>-19626</v>
      </c>
    </row>
    <row r="77" spans="1:1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1:12">
      <c r="A78" s="6" t="s">
        <v>114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>
      <c r="A79" s="10" t="s">
        <v>115</v>
      </c>
      <c r="B79" s="10" t="s">
        <v>116</v>
      </c>
      <c r="C79" s="13">
        <f>_xll.BDH("T US Equity","GROSS_MARGIN","FY 2013","FY 2013","Currency=USD","Period=FY","BEST_FPERIOD_OVERRIDE=FY","FILING_STATUS=MR","FA_ADJUSTED=GAAP","Sort=A","Dates=H","DateFormat=P","Fill=—","Direction=H","UseDPDF=Y")</f>
        <v>60.028599999999997</v>
      </c>
      <c r="D79" s="13">
        <f>_xll.BDH("T US Equity","GROSS_MARGIN","FY 2014","FY 2014","Currency=USD","Period=FY","BEST_FPERIOD_OVERRIDE=FY","FILING_STATUS=MR","FA_ADJUSTED=GAAP","Sort=A","Dates=H","DateFormat=P","Fill=—","Direction=H","UseDPDF=Y")</f>
        <v>54.589399999999998</v>
      </c>
      <c r="E79" s="13">
        <f>_xll.BDH("T US Equity","GROSS_MARGIN","FY 2015","FY 2015","Currency=USD","Period=FY","BEST_FPERIOD_OVERRIDE=FY","FILING_STATUS=MR","FA_ADJUSTED=GAAP","Sort=A","Dates=H","DateFormat=P","Fill=—","Direction=H","UseDPDF=Y")</f>
        <v>54.328600000000002</v>
      </c>
      <c r="F79" s="13">
        <f>_xll.BDH("T US Equity","GROSS_MARGIN","FY 2016","FY 2016","Currency=USD","Period=FY","BEST_FPERIOD_OVERRIDE=FY","FILING_STATUS=MR","FA_ADJUSTED=GAAP","Sort=A","Dates=H","DateFormat=P","Fill=—","Direction=H","UseDPDF=Y")</f>
        <v>53.058300000000003</v>
      </c>
      <c r="G79" s="13">
        <f>_xll.BDH("T US Equity","GROSS_MARGIN","FY 2017","FY 2017","Currency=USD","Period=FY","BEST_FPERIOD_OVERRIDE=FY","FILING_STATUS=MR","FA_ADJUSTED=GAAP","Sort=A","Dates=H","DateFormat=P","Fill=—","Direction=H","UseDPDF=Y")</f>
        <v>51.534100000000002</v>
      </c>
      <c r="H79" s="13">
        <f>_xll.BDH("T US Equity","GROSS_MARGIN","FY 2018","FY 2018","Currency=USD","Period=FY","BEST_FPERIOD_OVERRIDE=FY","FILING_STATUS=MR","FA_ADJUSTED=GAAP","Sort=A","Dates=H","DateFormat=P","Fill=—","Direction=H","UseDPDF=Y")</f>
        <v>53.489800000000002</v>
      </c>
      <c r="I79" s="13">
        <f>_xll.BDH("T US Equity","GROSS_MARGIN","FY 2019","FY 2019","Currency=USD","Period=FY","BEST_FPERIOD_OVERRIDE=FY","FILING_STATUS=MR","FA_ADJUSTED=GAAP","Sort=A","Dates=H","DateFormat=P","Fill=—","Direction=H","UseDPDF=Y")</f>
        <v>53.562800000000003</v>
      </c>
      <c r="J79" s="13">
        <f>_xll.BDH("T US Equity","GROSS_MARGIN","FY 2020","FY 2020","Currency=USD","Period=FY","BEST_FPERIOD_OVERRIDE=FY","FILING_STATUS=MR","FA_ADJUSTED=GAAP","Sort=A","Dates=H","DateFormat=P","Fill=—","Direction=H","UseDPDF=Y")</f>
        <v>53.47</v>
      </c>
      <c r="K79" s="13">
        <f>_xll.BDH("T US Equity","GROSS_MARGIN","FY 2021","FY 2021","Currency=USD","Period=FY","BEST_FPERIOD_OVERRIDE=FY","FILING_STATUS=MR","FA_ADJUSTED=GAAP","Sort=A","Dates=H","DateFormat=P","Fill=—","Direction=H","UseDPDF=Y")</f>
        <v>54.932899999999997</v>
      </c>
      <c r="L79" s="13">
        <f>_xll.BDH("T US Equity","GROSS_MARGIN","FY 2022","FY 2022","Currency=USD","Period=FY","BEST_FPERIOD_OVERRIDE=FY","FILING_STATUS=MR","FA_ADJUSTED=GAAP","Sort=A","Dates=H","DateFormat=P","Fill=—","Direction=H","UseDPDF=Y")</f>
        <v>57.886699999999998</v>
      </c>
    </row>
    <row r="80" spans="1:12">
      <c r="A80" s="10" t="s">
        <v>117</v>
      </c>
      <c r="B80" s="10" t="s">
        <v>118</v>
      </c>
      <c r="C80" s="13">
        <f>_xll.BDH("T US Equity","EBITDA_TO_REVENUE","FY 2013","FY 2013","Currency=USD","Period=FY","BEST_FPERIOD_OVERRIDE=FY","FILING_STATUS=MR","FA_ADJUSTED=GAAP","Sort=A","Dates=H","DateFormat=P","Fill=—","Direction=H","UseDPDF=Y")</f>
        <v>37.959800000000001</v>
      </c>
      <c r="D80" s="13">
        <f>_xll.BDH("T US Equity","EBITDA_TO_REVENUE","FY 2014","FY 2014","Currency=USD","Period=FY","BEST_FPERIOD_OVERRIDE=FY","FILING_STATUS=MR","FA_ADJUSTED=GAAP","Sort=A","Dates=H","DateFormat=P","Fill=—","Direction=H","UseDPDF=Y")</f>
        <v>23.0168</v>
      </c>
      <c r="E80" s="13">
        <f>_xll.BDH("T US Equity","EBITDA_TO_REVENUE","FY 2015","FY 2015","Currency=USD","Period=FY","BEST_FPERIOD_OVERRIDE=FY","FILING_STATUS=MR","FA_ADJUSTED=GAAP","Sort=A","Dates=H","DateFormat=P","Fill=—","Direction=H","UseDPDF=Y")</f>
        <v>31.880600000000001</v>
      </c>
      <c r="F80" s="13">
        <f>_xll.BDH("T US Equity","EBITDA_TO_REVENUE","FY 2016","FY 2016","Currency=USD","Period=FY","BEST_FPERIOD_OVERRIDE=FY","FILING_STATUS=MR","FA_ADJUSTED=GAAP","Sort=A","Dates=H","DateFormat=P","Fill=—","Direction=H","UseDPDF=Y")</f>
        <v>30.646100000000001</v>
      </c>
      <c r="G80" s="13">
        <f>_xll.BDH("T US Equity","EBITDA_TO_REVENUE","FY 2017","FY 2017","Currency=USD","Period=FY","BEST_FPERIOD_OVERRIDE=FY","FILING_STATUS=MR","FA_ADJUSTED=GAAP","Sort=A","Dates=H","DateFormat=P","Fill=—","Direction=H","UseDPDF=Y")</f>
        <v>27.628799999999998</v>
      </c>
      <c r="H80" s="13">
        <f>_xll.BDH("T US Equity","EBITDA_TO_REVENUE","FY 2018","FY 2018","Currency=USD","Period=FY","BEST_FPERIOD_OVERRIDE=FY","FILING_STATUS=MR","FA_ADJUSTED=GAAP","Sort=A","Dates=H","DateFormat=P","Fill=—","Direction=H","UseDPDF=Y")</f>
        <v>31.932099999999998</v>
      </c>
      <c r="I80" s="13">
        <f>_xll.BDH("T US Equity","EBITDA_TO_REVENUE","FY 2019","FY 2019","Currency=USD","Period=FY","BEST_FPERIOD_OVERRIDE=FY","FILING_STATUS=MR","FA_ADJUSTED=GAAP","Sort=A","Dates=H","DateFormat=P","Fill=—","Direction=H","UseDPDF=Y")</f>
        <v>34.138199999999998</v>
      </c>
      <c r="J80" s="13">
        <f>_xll.BDH("T US Equity","EBITDA_TO_REVENUE","FY 2020","FY 2020","Currency=USD","Period=FY","BEST_FPERIOD_OVERRIDE=FY","FILING_STATUS=MR","FA_ADJUSTED=GAAP","Sort=A","Dates=H","DateFormat=P","Fill=—","Direction=H","UseDPDF=Y")</f>
        <v>23.763999999999999</v>
      </c>
      <c r="K80" s="13">
        <f>_xll.BDH("T US Equity","EBITDA_TO_REVENUE","FY 2021","FY 2021","Currency=USD","Period=FY","BEST_FPERIOD_OVERRIDE=FY","FILING_STATUS=MR","FA_ADJUSTED=GAAP","Sort=A","Dates=H","DateFormat=P","Fill=—","Direction=H","UseDPDF=Y")</f>
        <v>36.6404</v>
      </c>
      <c r="L80" s="13">
        <f>_xll.BDH("T US Equity","EBITDA_TO_REVENUE","FY 2022","FY 2022","Currency=USD","Period=FY","BEST_FPERIOD_OVERRIDE=FY","FILING_STATUS=MR","FA_ADJUSTED=GAAP","Sort=A","Dates=H","DateFormat=P","Fill=—","Direction=H","UseDPDF=Y")</f>
        <v>15.629300000000001</v>
      </c>
    </row>
    <row r="81" spans="1:12">
      <c r="A81" s="10" t="s">
        <v>119</v>
      </c>
      <c r="B81" s="10" t="s">
        <v>120</v>
      </c>
      <c r="C81" s="13">
        <f>_xll.BDH("T US Equity","OPER_MARGIN","FY 2013","FY 2013","Currency=USD","Period=FY","BEST_FPERIOD_OVERRIDE=FY","FILING_STATUS=MR","FA_ADJUSTED=GAAP","Sort=A","Dates=H","DateFormat=P","Fill=—","Direction=H","UseDPDF=Y")</f>
        <v>23.672599999999999</v>
      </c>
      <c r="D81" s="13">
        <f>_xll.BDH("T US Equity","OPER_MARGIN","FY 2014","FY 2014","Currency=USD","Period=FY","BEST_FPERIOD_OVERRIDE=FY","FILING_STATUS=MR","FA_ADJUSTED=GAAP","Sort=A","Dates=H","DateFormat=P","Fill=—","Direction=H","UseDPDF=Y")</f>
        <v>9.2202999999999999</v>
      </c>
      <c r="E81" s="13">
        <f>_xll.BDH("T US Equity","OPER_MARGIN","FY 2015","FY 2015","Currency=USD","Period=FY","BEST_FPERIOD_OVERRIDE=FY","FILING_STATUS=MR","FA_ADJUSTED=GAAP","Sort=A","Dates=H","DateFormat=P","Fill=—","Direction=H","UseDPDF=Y")</f>
        <v>16.883400000000002</v>
      </c>
      <c r="F81" s="13">
        <f>_xll.BDH("T US Equity","OPER_MARGIN","FY 2016","FY 2016","Currency=USD","Period=FY","BEST_FPERIOD_OVERRIDE=FY","FILING_STATUS=MR","FA_ADJUSTED=GAAP","Sort=A","Dates=H","DateFormat=P","Fill=—","Direction=H","UseDPDF=Y")</f>
        <v>14.8651</v>
      </c>
      <c r="G81" s="13">
        <f>_xll.BDH("T US Equity","OPER_MARGIN","FY 2017","FY 2017","Currency=USD","Period=FY","BEST_FPERIOD_OVERRIDE=FY","FILING_STATUS=MR","FA_ADJUSTED=GAAP","Sort=A","Dates=H","DateFormat=P","Fill=—","Direction=H","UseDPDF=Y")</f>
        <v>12.438800000000001</v>
      </c>
      <c r="H81" s="13">
        <f>_xll.BDH("T US Equity","OPER_MARGIN","FY 2018","FY 2018","Currency=USD","Period=FY","BEST_FPERIOD_OVERRIDE=FY","FILING_STATUS=MR","FA_ADJUSTED=GAAP","Sort=A","Dates=H","DateFormat=P","Fill=—","Direction=H","UseDPDF=Y")</f>
        <v>15.2826</v>
      </c>
      <c r="I81" s="13">
        <f>_xll.BDH("T US Equity","OPER_MARGIN","FY 2019","FY 2019","Currency=USD","Period=FY","BEST_FPERIOD_OVERRIDE=FY","FILING_STATUS=MR","FA_ADJUSTED=GAAP","Sort=A","Dates=H","DateFormat=P","Fill=—","Direction=H","UseDPDF=Y")</f>
        <v>15.4283</v>
      </c>
      <c r="J81" s="13">
        <f>_xll.BDH("T US Equity","OPER_MARGIN","FY 2020","FY 2020","Currency=USD","Period=FY","BEST_FPERIOD_OVERRIDE=FY","FILING_STATUS=MR","FA_ADJUSTED=GAAP","Sort=A","Dates=H","DateFormat=P","Fill=—","Direction=H","UseDPDF=Y")</f>
        <v>3.7290000000000001</v>
      </c>
      <c r="K81" s="13">
        <f>_xll.BDH("T US Equity","OPER_MARGIN","FY 2021","FY 2021","Currency=USD","Period=FY","BEST_FPERIOD_OVERRIDE=FY","FILING_STATUS=MR","FA_ADJUSTED=GAAP","Sort=A","Dates=H","DateFormat=P","Fill=—","Direction=H","UseDPDF=Y")</f>
        <v>19.320599999999999</v>
      </c>
      <c r="L81" s="13">
        <f>_xll.BDH("T US Equity","OPER_MARGIN","FY 2022","FY 2022","Currency=USD","Period=FY","BEST_FPERIOD_OVERRIDE=FY","FILING_STATUS=MR","FA_ADJUSTED=GAAP","Sort=A","Dates=H","DateFormat=P","Fill=—","Direction=H","UseDPDF=Y")</f>
        <v>-3.7989999999999999</v>
      </c>
    </row>
    <row r="82" spans="1:12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1:12">
      <c r="A83" s="6" t="s">
        <v>121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>
      <c r="A84" s="10" t="s">
        <v>122</v>
      </c>
      <c r="B84" s="10" t="s">
        <v>123</v>
      </c>
      <c r="C84" s="12">
        <f>_xll.BDH("T US Equity","SALES_REV_TURN","FY 2013","FY 2013","Currency=USD","Period=FY","BEST_FPERIOD_OVERRIDE=FY","FILING_STATUS=MR","SCALING_FORMAT=MLN","FA_ADJUSTED=GAAP","Sort=A","Dates=H","DateFormat=P","Fill=—","Direction=H","UseDPDF=Y")</f>
        <v>128752</v>
      </c>
      <c r="D84" s="12">
        <f>_xll.BDH("T US Equity","SALES_REV_TURN","FY 2014","FY 2014","Currency=USD","Period=FY","BEST_FPERIOD_OVERRIDE=FY","FILING_STATUS=MR","SCALING_FORMAT=MLN","FA_ADJUSTED=GAAP","Sort=A","Dates=H","DateFormat=P","Fill=—","Direction=H","UseDPDF=Y")</f>
        <v>132447</v>
      </c>
      <c r="E84" s="12">
        <f>_xll.BDH("T US Equity","SALES_REV_TURN","FY 2015","FY 2015","Currency=USD","Period=FY","BEST_FPERIOD_OVERRIDE=FY","FILING_STATUS=MR","SCALING_FORMAT=MLN","FA_ADJUSTED=GAAP","Sort=A","Dates=H","DateFormat=P","Fill=—","Direction=H","UseDPDF=Y")</f>
        <v>146801</v>
      </c>
      <c r="F84" s="12">
        <f>_xll.BDH("T US Equity","SALES_REV_TURN","FY 2016","FY 2016","Currency=USD","Period=FY","BEST_FPERIOD_OVERRIDE=FY","FILING_STATUS=MR","SCALING_FORMAT=MLN","FA_ADJUSTED=GAAP","Sort=A","Dates=H","DateFormat=P","Fill=—","Direction=H","UseDPDF=Y")</f>
        <v>163786</v>
      </c>
      <c r="G84" s="12">
        <f>_xll.BDH("T US Equity","SALES_REV_TURN","FY 2017","FY 2017","Currency=USD","Period=FY","BEST_FPERIOD_OVERRIDE=FY","FILING_STATUS=MR","SCALING_FORMAT=MLN","FA_ADJUSTED=GAAP","Sort=A","Dates=H","DateFormat=P","Fill=—","Direction=H","UseDPDF=Y")</f>
        <v>160546</v>
      </c>
      <c r="H84" s="12">
        <f>_xll.BDH("T US Equity","SALES_REV_TURN","FY 2018","FY 2018","Currency=USD","Period=FY","BEST_FPERIOD_OVERRIDE=FY","FILING_STATUS=MR","SCALING_FORMAT=MLN","FA_ADJUSTED=GAAP","Sort=A","Dates=H","DateFormat=P","Fill=—","Direction=H","UseDPDF=Y")</f>
        <v>170756</v>
      </c>
      <c r="I84" s="12">
        <f>_xll.BDH("T US Equity","SALES_REV_TURN","FY 2019","FY 2019","Currency=USD","Period=FY","BEST_FPERIOD_OVERRIDE=FY","FILING_STATUS=MR","SCALING_FORMAT=MLN","FA_ADJUSTED=GAAP","Sort=A","Dates=H","DateFormat=P","Fill=—","Direction=H","UseDPDF=Y")</f>
        <v>181193</v>
      </c>
      <c r="J84" s="12">
        <f>_xll.BDH("T US Equity","SALES_REV_TURN","FY 2020","FY 2020","Currency=USD","Period=FY","BEST_FPERIOD_OVERRIDE=FY","FILING_STATUS=MR","SCALING_FORMAT=MLN","FA_ADJUSTED=GAAP","Sort=A","Dates=H","DateFormat=P","Fill=—","Direction=H","UseDPDF=Y")</f>
        <v>171760</v>
      </c>
      <c r="K84" s="12">
        <f>_xll.BDH("T US Equity","SALES_REV_TURN","FY 2021","FY 2021","Currency=USD","Period=FY","BEST_FPERIOD_OVERRIDE=FY","FILING_STATUS=MR","SCALING_FORMAT=MLN","FA_ADJUSTED=GAAP","Sort=A","Dates=H","DateFormat=P","Fill=—","Direction=H","UseDPDF=Y")</f>
        <v>134038</v>
      </c>
      <c r="L84" s="12">
        <f>_xll.BDH("T US Equity","SALES_REV_TURN","FY 2022","FY 2022","Currency=USD","Period=FY","BEST_FPERIOD_OVERRIDE=FY","FILING_STATUS=MR","SCALING_FORMAT=MLN","FA_ADJUSTED=GAAP","Sort=A","Dates=H","DateFormat=P","Fill=—","Direction=H","UseDPDF=Y")</f>
        <v>120741</v>
      </c>
    </row>
    <row r="85" spans="1:12">
      <c r="A85" s="10" t="s">
        <v>110</v>
      </c>
      <c r="B85" s="10" t="s">
        <v>111</v>
      </c>
      <c r="C85" s="12">
        <f>_xll.BDH("T US Equity","GROSS_PROFIT","FY 2013","FY 2013","Currency=USD","Period=FY","BEST_FPERIOD_OVERRIDE=FY","FILING_STATUS=MR","SCALING_FORMAT=MLN","FA_ADJUSTED=GAAP","Sort=A","Dates=H","DateFormat=P","Fill=—","Direction=H","UseDPDF=Y")</f>
        <v>77288</v>
      </c>
      <c r="D85" s="12">
        <f>_xll.BDH("T US Equity","GROSS_PROFIT","FY 2014","FY 2014","Currency=USD","Period=FY","BEST_FPERIOD_OVERRIDE=FY","FILING_STATUS=MR","SCALING_FORMAT=MLN","FA_ADJUSTED=GAAP","Sort=A","Dates=H","DateFormat=P","Fill=—","Direction=H","UseDPDF=Y")</f>
        <v>72302</v>
      </c>
      <c r="E85" s="12">
        <f>_xll.BDH("T US Equity","GROSS_PROFIT","FY 2015","FY 2015","Currency=USD","Period=FY","BEST_FPERIOD_OVERRIDE=FY","FILING_STATUS=MR","SCALING_FORMAT=MLN","FA_ADJUSTED=GAAP","Sort=A","Dates=H","DateFormat=P","Fill=—","Direction=H","UseDPDF=Y")</f>
        <v>79755</v>
      </c>
      <c r="F85" s="12">
        <f>_xll.BDH("T US Equity","GROSS_PROFIT","FY 2016","FY 2016","Currency=USD","Period=FY","BEST_FPERIOD_OVERRIDE=FY","FILING_STATUS=MR","SCALING_FORMAT=MLN","FA_ADJUSTED=GAAP","Sort=A","Dates=H","DateFormat=P","Fill=—","Direction=H","UseDPDF=Y")</f>
        <v>86902</v>
      </c>
      <c r="G85" s="12">
        <f>_xll.BDH("T US Equity","GROSS_PROFIT","FY 2017","FY 2017","Currency=USD","Period=FY","BEST_FPERIOD_OVERRIDE=FY","FILING_STATUS=MR","SCALING_FORMAT=MLN","FA_ADJUSTED=GAAP","Sort=A","Dates=H","DateFormat=P","Fill=—","Direction=H","UseDPDF=Y")</f>
        <v>82736</v>
      </c>
      <c r="H85" s="12">
        <f>_xll.BDH("T US Equity","GROSS_PROFIT","FY 2018","FY 2018","Currency=USD","Period=FY","BEST_FPERIOD_OVERRIDE=FY","FILING_STATUS=MR","SCALING_FORMAT=MLN","FA_ADJUSTED=GAAP","Sort=A","Dates=H","DateFormat=P","Fill=—","Direction=H","UseDPDF=Y")</f>
        <v>91337</v>
      </c>
      <c r="I85" s="12">
        <f>_xll.BDH("T US Equity","GROSS_PROFIT","FY 2019","FY 2019","Currency=USD","Period=FY","BEST_FPERIOD_OVERRIDE=FY","FILING_STATUS=MR","SCALING_FORMAT=MLN","FA_ADJUSTED=GAAP","Sort=A","Dates=H","DateFormat=P","Fill=—","Direction=H","UseDPDF=Y")</f>
        <v>97052</v>
      </c>
      <c r="J85" s="12">
        <f>_xll.BDH("T US Equity","GROSS_PROFIT","FY 2020","FY 2020","Currency=USD","Period=FY","BEST_FPERIOD_OVERRIDE=FY","FILING_STATUS=MR","SCALING_FORMAT=MLN","FA_ADJUSTED=GAAP","Sort=A","Dates=H","DateFormat=P","Fill=—","Direction=H","UseDPDF=Y")</f>
        <v>91840</v>
      </c>
      <c r="K85" s="12">
        <f>_xll.BDH("T US Equity","GROSS_PROFIT","FY 2021","FY 2021","Currency=USD","Period=FY","BEST_FPERIOD_OVERRIDE=FY","FILING_STATUS=MR","SCALING_FORMAT=MLN","FA_ADJUSTED=GAAP","Sort=A","Dates=H","DateFormat=P","Fill=—","Direction=H","UseDPDF=Y")</f>
        <v>73631</v>
      </c>
      <c r="L85" s="12">
        <f>_xll.BDH("T US Equity","GROSS_PROFIT","FY 2022","FY 2022","Currency=USD","Period=FY","BEST_FPERIOD_OVERRIDE=FY","FILING_STATUS=MR","SCALING_FORMAT=MLN","FA_ADJUSTED=GAAP","Sort=A","Dates=H","DateFormat=P","Fill=—","Direction=H","UseDPDF=Y")</f>
        <v>69893</v>
      </c>
    </row>
    <row r="86" spans="1:12">
      <c r="A86" s="10" t="s">
        <v>67</v>
      </c>
      <c r="B86" s="10" t="s">
        <v>67</v>
      </c>
      <c r="C86" s="12">
        <f>_xll.BDH("T US Equity","EBITDA","FY 2013","FY 2013","Currency=USD","Period=FY","BEST_FPERIOD_OVERRIDE=FY","FILING_STATUS=MR","SCALING_FORMAT=MLN","FA_ADJUSTED=GAAP","Sort=A","Dates=H","DateFormat=P","Fill=—","Direction=H","UseDPDF=Y")</f>
        <v>48874</v>
      </c>
      <c r="D86" s="12">
        <f>_xll.BDH("T US Equity","EBITDA","FY 2014","FY 2014","Currency=USD","Period=FY","BEST_FPERIOD_OVERRIDE=FY","FILING_STATUS=MR","SCALING_FORMAT=MLN","FA_ADJUSTED=GAAP","Sort=A","Dates=H","DateFormat=P","Fill=—","Direction=H","UseDPDF=Y")</f>
        <v>30485</v>
      </c>
      <c r="E86" s="12">
        <f>_xll.BDH("T US Equity","EBITDA","FY 2015","FY 2015","Currency=USD","Period=FY","BEST_FPERIOD_OVERRIDE=FY","FILING_STATUS=MR","SCALING_FORMAT=MLN","FA_ADJUSTED=GAAP","Sort=A","Dates=H","DateFormat=P","Fill=—","Direction=H","UseDPDF=Y")</f>
        <v>46801</v>
      </c>
      <c r="F86" s="12">
        <f>_xll.BDH("T US Equity","EBITDA","FY 2016","FY 2016","Currency=USD","Period=FY","BEST_FPERIOD_OVERRIDE=FY","FILING_STATUS=MR","SCALING_FORMAT=MLN","FA_ADJUSTED=GAAP","Sort=A","Dates=H","DateFormat=P","Fill=—","Direction=H","UseDPDF=Y")</f>
        <v>50194</v>
      </c>
      <c r="G86" s="12">
        <f>_xll.BDH("T US Equity","EBITDA","FY 2017","FY 2017","Currency=USD","Period=FY","BEST_FPERIOD_OVERRIDE=FY","FILING_STATUS=MR","SCALING_FORMAT=MLN","FA_ADJUSTED=GAAP","Sort=A","Dates=H","DateFormat=P","Fill=—","Direction=H","UseDPDF=Y")</f>
        <v>44357</v>
      </c>
      <c r="H86" s="12">
        <f>_xll.BDH("T US Equity","EBITDA","FY 2018","FY 2018","Currency=USD","Period=FY","BEST_FPERIOD_OVERRIDE=FY","FILING_STATUS=MR","SCALING_FORMAT=MLN","FA_ADJUSTED=GAAP","Sort=A","Dates=H","DateFormat=P","Fill=—","Direction=H","UseDPDF=Y")</f>
        <v>54526</v>
      </c>
      <c r="I86" s="12">
        <f>_xll.BDH("T US Equity","EBITDA","FY 2019","FY 2019","Currency=USD","Period=FY","BEST_FPERIOD_OVERRIDE=FY","FILING_STATUS=MR","SCALING_FORMAT=MLN","FA_ADJUSTED=GAAP","Sort=A","Dates=H","DateFormat=P","Fill=—","Direction=H","UseDPDF=Y")</f>
        <v>61856</v>
      </c>
      <c r="J86" s="12">
        <f>_xll.BDH("T US Equity","EBITDA","FY 2020","FY 2020","Currency=USD","Period=FY","BEST_FPERIOD_OVERRIDE=FY","FILING_STATUS=MR","SCALING_FORMAT=MLN","FA_ADJUSTED=GAAP","Sort=A","Dates=H","DateFormat=P","Fill=—","Direction=H","UseDPDF=Y")</f>
        <v>40817</v>
      </c>
      <c r="K86" s="12">
        <f>_xll.BDH("T US Equity","EBITDA","FY 2021","FY 2021","Currency=USD","Period=FY","BEST_FPERIOD_OVERRIDE=FY","FILING_STATUS=MR","SCALING_FORMAT=MLN","FA_ADJUSTED=GAAP","Sort=A","Dates=H","DateFormat=P","Fill=—","Direction=H","UseDPDF=Y")</f>
        <v>49112</v>
      </c>
      <c r="L86" s="12">
        <f>_xll.BDH("T US Equity","EBITDA","FY 2022","FY 2022","Currency=USD","Period=FY","BEST_FPERIOD_OVERRIDE=FY","FILING_STATUS=MR","SCALING_FORMAT=MLN","FA_ADJUSTED=GAAP","Sort=A","Dates=H","DateFormat=P","Fill=—","Direction=H","UseDPDF=Y")</f>
        <v>18871</v>
      </c>
    </row>
    <row r="87" spans="1:12">
      <c r="A87" s="10" t="s">
        <v>112</v>
      </c>
      <c r="B87" s="10" t="s">
        <v>113</v>
      </c>
      <c r="C87" s="12">
        <f>_xll.BDH("T US Equity","IS_OPER_INC","FY 2013","FY 2013","Currency=USD","Period=FY","BEST_FPERIOD_OVERRIDE=FY","FILING_STATUS=MR","SCALING_FORMAT=MLN","FA_ADJUSTED=GAAP","Sort=A","Dates=H","DateFormat=P","Fill=—","Direction=H","UseDPDF=Y")</f>
        <v>30479</v>
      </c>
      <c r="D87" s="12">
        <f>_xll.BDH("T US Equity","IS_OPER_INC","FY 2014","FY 2014","Currency=USD","Period=FY","BEST_FPERIOD_OVERRIDE=FY","FILING_STATUS=MR","SCALING_FORMAT=MLN","FA_ADJUSTED=GAAP","Sort=A","Dates=H","DateFormat=P","Fill=—","Direction=H","UseDPDF=Y")</f>
        <v>12212</v>
      </c>
      <c r="E87" s="12">
        <f>_xll.BDH("T US Equity","IS_OPER_INC","FY 2015","FY 2015","Currency=USD","Period=FY","BEST_FPERIOD_OVERRIDE=FY","FILING_STATUS=MR","SCALING_FORMAT=MLN","FA_ADJUSTED=GAAP","Sort=A","Dates=H","DateFormat=P","Fill=—","Direction=H","UseDPDF=Y")</f>
        <v>24785</v>
      </c>
      <c r="F87" s="12">
        <f>_xll.BDH("T US Equity","IS_OPER_INC","FY 2016","FY 2016","Currency=USD","Period=FY","BEST_FPERIOD_OVERRIDE=FY","FILING_STATUS=MR","SCALING_FORMAT=MLN","FA_ADJUSTED=GAAP","Sort=A","Dates=H","DateFormat=P","Fill=—","Direction=H","UseDPDF=Y")</f>
        <v>24347</v>
      </c>
      <c r="G87" s="12">
        <f>_xll.BDH("T US Equity","IS_OPER_INC","FY 2017","FY 2017","Currency=USD","Period=FY","BEST_FPERIOD_OVERRIDE=FY","FILING_STATUS=MR","SCALING_FORMAT=MLN","FA_ADJUSTED=GAAP","Sort=A","Dates=H","DateFormat=P","Fill=—","Direction=H","UseDPDF=Y")</f>
        <v>19970</v>
      </c>
      <c r="H87" s="12">
        <f>_xll.BDH("T US Equity","IS_OPER_INC","FY 2018","FY 2018","Currency=USD","Period=FY","BEST_FPERIOD_OVERRIDE=FY","FILING_STATUS=MR","SCALING_FORMAT=MLN","FA_ADJUSTED=GAAP","Sort=A","Dates=H","DateFormat=P","Fill=—","Direction=H","UseDPDF=Y")</f>
        <v>26096</v>
      </c>
      <c r="I87" s="12">
        <f>_xll.BDH("T US Equity","IS_OPER_INC","FY 2019","FY 2019","Currency=USD","Period=FY","BEST_FPERIOD_OVERRIDE=FY","FILING_STATUS=MR","SCALING_FORMAT=MLN","FA_ADJUSTED=GAAP","Sort=A","Dates=H","DateFormat=P","Fill=—","Direction=H","UseDPDF=Y")</f>
        <v>27955</v>
      </c>
      <c r="J87" s="12">
        <f>_xll.BDH("T US Equity","IS_OPER_INC","FY 2020","FY 2020","Currency=USD","Period=FY","BEST_FPERIOD_OVERRIDE=FY","FILING_STATUS=MR","SCALING_FORMAT=MLN","FA_ADJUSTED=GAAP","Sort=A","Dates=H","DateFormat=P","Fill=—","Direction=H","UseDPDF=Y")</f>
        <v>6405</v>
      </c>
      <c r="K87" s="12">
        <f>_xll.BDH("T US Equity","IS_OPER_INC","FY 2021","FY 2021","Currency=USD","Period=FY","BEST_FPERIOD_OVERRIDE=FY","FILING_STATUS=MR","SCALING_FORMAT=MLN","FA_ADJUSTED=GAAP","Sort=A","Dates=H","DateFormat=P","Fill=—","Direction=H","UseDPDF=Y")</f>
        <v>25897</v>
      </c>
      <c r="L87" s="12">
        <f>_xll.BDH("T US Equity","IS_OPER_INC","FY 2022","FY 2022","Currency=USD","Period=FY","BEST_FPERIOD_OVERRIDE=FY","FILING_STATUS=MR","SCALING_FORMAT=MLN","FA_ADJUSTED=GAAP","Sort=A","Dates=H","DateFormat=P","Fill=—","Direction=H","UseDPDF=Y")</f>
        <v>-4587</v>
      </c>
    </row>
    <row r="88" spans="1:12">
      <c r="A88" s="10" t="s">
        <v>124</v>
      </c>
      <c r="B88" s="10" t="s">
        <v>125</v>
      </c>
      <c r="C88" s="12">
        <f>_xll.BDH("T US Equity","NORMALIZED_INCOME","FY 2013","FY 2013","Currency=USD","Period=FY","BEST_FPERIOD_OVERRIDE=FY","FILING_STATUS=MR","SCALING_FORMAT=MLN","Sort=A","Dates=H","DateFormat=P","Fill=—","Direction=H","UseDPDF=Y")</f>
        <v>14071.6</v>
      </c>
      <c r="D88" s="12">
        <f>_xll.BDH("T US Equity","NORMALIZED_INCOME","FY 2014","FY 2014","Currency=USD","Period=FY","BEST_FPERIOD_OVERRIDE=FY","FILING_STATUS=MR","SCALING_FORMAT=MLN","Sort=A","Dates=H","DateFormat=P","Fill=—","Direction=H","UseDPDF=Y")</f>
        <v>12710.33</v>
      </c>
      <c r="E88" s="12">
        <f>_xll.BDH("T US Equity","NORMALIZED_INCOME","FY 2015","FY 2015","Currency=USD","Period=FY","BEST_FPERIOD_OVERRIDE=FY","FILING_STATUS=MR","SCALING_FORMAT=MLN","Sort=A","Dates=H","DateFormat=P","Fill=—","Direction=H","UseDPDF=Y")</f>
        <v>13663.58</v>
      </c>
      <c r="F88" s="12">
        <f>_xll.BDH("T US Equity","NORMALIZED_INCOME","FY 2016","FY 2016","Currency=USD","Period=FY","BEST_FPERIOD_OVERRIDE=FY","FILING_STATUS=MR","SCALING_FORMAT=MLN","Sort=A","Dates=H","DateFormat=P","Fill=—","Direction=H","UseDPDF=Y")</f>
        <v>13486.0833</v>
      </c>
      <c r="G88" s="12">
        <f>_xll.BDH("T US Equity","NORMALIZED_INCOME","FY 2017","FY 2017","Currency=USD","Period=FY","BEST_FPERIOD_OVERRIDE=FY","FILING_STATUS=MR","SCALING_FORMAT=MLN","Sort=A","Dates=H","DateFormat=P","Fill=—","Direction=H","UseDPDF=Y")</f>
        <v>14297.208699999999</v>
      </c>
      <c r="H88" s="12">
        <f>_xll.BDH("T US Equity","NORMALIZED_INCOME","FY 2018","FY 2018","Currency=USD","Period=FY","BEST_FPERIOD_OVERRIDE=FY","FILING_STATUS=MR","SCALING_FORMAT=MLN","Sort=A","Dates=H","DateFormat=P","Fill=—","Direction=H","UseDPDF=Y")</f>
        <v>22316.884399999999</v>
      </c>
      <c r="I88" s="12">
        <f>_xll.BDH("T US Equity","NORMALIZED_INCOME","FY 2019","FY 2019","Currency=USD","Period=FY","BEST_FPERIOD_OVERRIDE=FY","FILING_STATUS=MR","SCALING_FORMAT=MLN","Sort=A","Dates=H","DateFormat=P","Fill=—","Direction=H","UseDPDF=Y")</f>
        <v>16525.9025</v>
      </c>
      <c r="J88" s="12">
        <f>_xll.BDH("T US Equity","NORMALIZED_INCOME","FY 2020","FY 2020","Currency=USD","Period=FY","BEST_FPERIOD_OVERRIDE=FY","FILING_STATUS=MR","SCALING_FORMAT=MLN","Sort=A","Dates=H","DateFormat=P","Fill=—","Direction=H","UseDPDF=Y")</f>
        <v>12943.9864</v>
      </c>
      <c r="K88" s="12">
        <f>_xll.BDH("T US Equity","NORMALIZED_INCOME","FY 2021","FY 2021","Currency=USD","Period=FY","BEST_FPERIOD_OVERRIDE=FY","FILING_STATUS=MR","SCALING_FORMAT=MLN","Sort=A","Dates=H","DateFormat=P","Fill=—","Direction=H","UseDPDF=Y")</f>
        <v>22421.597000000002</v>
      </c>
      <c r="L88" s="12">
        <f>_xll.BDH("T US Equity","NORMALIZED_INCOME","FY 2022","FY 2022","Currency=USD","Period=FY","BEST_FPERIOD_OVERRIDE=FY","FILING_STATUS=MR","SCALING_FORMAT=MLN","Sort=A","Dates=H","DateFormat=P","Fill=—","Direction=H","UseDPDF=Y")</f>
        <v>20985.26</v>
      </c>
    </row>
    <row r="89" spans="1:12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>
      <c r="A90" s="6" t="s">
        <v>126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>
      <c r="A91" s="10" t="s">
        <v>127</v>
      </c>
      <c r="B91" s="10" t="s">
        <v>128</v>
      </c>
      <c r="C91" s="13">
        <f>_xll.BDH("T US Equity","EQY_DPS","FY 2013","FY 2013","Currency=USD","Period=FY","BEST_FPERIOD_OVERRIDE=FY","FILING_STATUS=MR","Sort=A","Dates=H","DateFormat=P","Fill=—","Direction=H","UseDPDF=Y")</f>
        <v>1.81</v>
      </c>
      <c r="D91" s="13">
        <f>_xll.BDH("T US Equity","EQY_DPS","FY 2014","FY 2014","Currency=USD","Period=FY","BEST_FPERIOD_OVERRIDE=FY","FILING_STATUS=MR","Sort=A","Dates=H","DateFormat=P","Fill=—","Direction=H","UseDPDF=Y")</f>
        <v>1.85</v>
      </c>
      <c r="E91" s="13">
        <f>_xll.BDH("T US Equity","EQY_DPS","FY 2015","FY 2015","Currency=USD","Period=FY","BEST_FPERIOD_OVERRIDE=FY","FILING_STATUS=MR","Sort=A","Dates=H","DateFormat=P","Fill=—","Direction=H","UseDPDF=Y")</f>
        <v>1.89</v>
      </c>
      <c r="F91" s="13">
        <f>_xll.BDH("T US Equity","EQY_DPS","FY 2016","FY 2016","Currency=USD","Period=FY","BEST_FPERIOD_OVERRIDE=FY","FILING_STATUS=MR","Sort=A","Dates=H","DateFormat=P","Fill=—","Direction=H","UseDPDF=Y")</f>
        <v>1.93</v>
      </c>
      <c r="G91" s="13">
        <f>_xll.BDH("T US Equity","EQY_DPS","FY 2017","FY 2017","Currency=USD","Period=FY","BEST_FPERIOD_OVERRIDE=FY","FILING_STATUS=MR","Sort=A","Dates=H","DateFormat=P","Fill=—","Direction=H","UseDPDF=Y")</f>
        <v>1.97</v>
      </c>
      <c r="H91" s="13">
        <f>_xll.BDH("T US Equity","EQY_DPS","FY 2018","FY 2018","Currency=USD","Period=FY","BEST_FPERIOD_OVERRIDE=FY","FILING_STATUS=MR","Sort=A","Dates=H","DateFormat=P","Fill=—","Direction=H","UseDPDF=Y")</f>
        <v>2.0099999999999998</v>
      </c>
      <c r="I91" s="13">
        <f>_xll.BDH("T US Equity","EQY_DPS","FY 2019","FY 2019","Currency=USD","Period=FY","BEST_FPERIOD_OVERRIDE=FY","FILING_STATUS=MR","Sort=A","Dates=H","DateFormat=P","Fill=—","Direction=H","UseDPDF=Y")</f>
        <v>2.0499999999999998</v>
      </c>
      <c r="J91" s="13">
        <f>_xll.BDH("T US Equity","EQY_DPS","FY 2020","FY 2020","Currency=USD","Period=FY","BEST_FPERIOD_OVERRIDE=FY","FILING_STATUS=MR","Sort=A","Dates=H","DateFormat=P","Fill=—","Direction=H","UseDPDF=Y")</f>
        <v>2.08</v>
      </c>
      <c r="K91" s="13">
        <f>_xll.BDH("T US Equity","EQY_DPS","FY 2021","FY 2021","Currency=USD","Period=FY","BEST_FPERIOD_OVERRIDE=FY","FILING_STATUS=MR","Sort=A","Dates=H","DateFormat=P","Fill=—","Direction=H","UseDPDF=Y")</f>
        <v>2.08</v>
      </c>
      <c r="L91" s="13">
        <f>_xll.BDH("T US Equity","EQY_DPS","FY 2022","FY 2022","Currency=USD","Period=FY","BEST_FPERIOD_OVERRIDE=FY","FILING_STATUS=MR","Sort=A","Dates=H","DateFormat=P","Fill=—","Direction=H","UseDPDF=Y")</f>
        <v>1.1100000000000001</v>
      </c>
    </row>
    <row r="92" spans="1:12">
      <c r="A92" s="10" t="s">
        <v>129</v>
      </c>
      <c r="B92" s="10" t="s">
        <v>130</v>
      </c>
      <c r="C92" s="13">
        <f>_xll.BDH("T US Equity","EQY_DVD_YLD_IND","FY 2013","FY 2013","Currency=USD","Period=FY","BEST_FPERIOD_OVERRIDE=FY","FILING_STATUS=MR","Sort=A","Dates=H","DateFormat=P","Fill=—","Direction=H","UseDPDF=Y")</f>
        <v>6.9335000000000004</v>
      </c>
      <c r="D92" s="13">
        <f>_xll.BDH("T US Equity","EQY_DVD_YLD_IND","FY 2014","FY 2014","Currency=USD","Period=FY","BEST_FPERIOD_OVERRIDE=FY","FILING_STATUS=MR","Sort=A","Dates=H","DateFormat=P","Fill=—","Direction=H","UseDPDF=Y")</f>
        <v>7.4153000000000002</v>
      </c>
      <c r="E92" s="13">
        <f>_xll.BDH("T US Equity","EQY_DVD_YLD_IND","FY 2015","FY 2015","Currency=USD","Period=FY","BEST_FPERIOD_OVERRIDE=FY","FILING_STATUS=MR","Sort=A","Dates=H","DateFormat=P","Fill=—","Direction=H","UseDPDF=Y")</f>
        <v>7.3925999999999998</v>
      </c>
      <c r="F92" s="13">
        <f>_xll.BDH("T US Equity","EQY_DVD_YLD_IND","FY 2016","FY 2016","Currency=USD","Period=FY","BEST_FPERIOD_OVERRIDE=FY","FILING_STATUS=MR","Sort=A","Dates=H","DateFormat=P","Fill=—","Direction=H","UseDPDF=Y")</f>
        <v>6.1058000000000003</v>
      </c>
      <c r="G92" s="13">
        <f>_xll.BDH("T US Equity","EQY_DVD_YLD_IND","FY 2017","FY 2017","Currency=USD","Period=FY","BEST_FPERIOD_OVERRIDE=FY","FILING_STATUS=MR","Sort=A","Dates=H","DateFormat=P","Fill=—","Direction=H","UseDPDF=Y")</f>
        <v>6.8152999999999997</v>
      </c>
      <c r="H92" s="13">
        <f>_xll.BDH("T US Equity","EQY_DVD_YLD_IND","FY 2018","FY 2018","Currency=USD","Period=FY","BEST_FPERIOD_OVERRIDE=FY","FILING_STATUS=MR","Sort=A","Dates=H","DateFormat=P","Fill=—","Direction=H","UseDPDF=Y")</f>
        <v>9.4702000000000002</v>
      </c>
      <c r="I92" s="13">
        <f>_xll.BDH("T US Equity","EQY_DVD_YLD_IND","FY 2019","FY 2019","Currency=USD","Period=FY","BEST_FPERIOD_OVERRIDE=FY","FILING_STATUS=MR","Sort=A","Dates=H","DateFormat=P","Fill=—","Direction=H","UseDPDF=Y")</f>
        <v>7.0515999999999996</v>
      </c>
      <c r="J92" s="13">
        <f>_xll.BDH("T US Equity","EQY_DVD_YLD_IND","FY 2020","FY 2020","Currency=USD","Period=FY","BEST_FPERIOD_OVERRIDE=FY","FILING_STATUS=MR","Sort=A","Dates=H","DateFormat=P","Fill=—","Direction=H","UseDPDF=Y")</f>
        <v>9.5820000000000007</v>
      </c>
      <c r="K92" s="13">
        <f>_xll.BDH("T US Equity","EQY_DVD_YLD_IND","FY 2021","FY 2021","Currency=USD","Period=FY","BEST_FPERIOD_OVERRIDE=FY","FILING_STATUS=MR","Sort=A","Dates=H","DateFormat=P","Fill=—","Direction=H","UseDPDF=Y")</f>
        <v>11.202400000000001</v>
      </c>
      <c r="L92" s="13">
        <f>_xll.BDH("T US Equity","EQY_DVD_YLD_IND","FY 2022","FY 2022","Currency=USD","Period=FY","BEST_FPERIOD_OVERRIDE=FY","FILING_STATUS=MR","Sort=A","Dates=H","DateFormat=P","Fill=—","Direction=H","UseDPDF=Y")</f>
        <v>6.0293000000000001</v>
      </c>
    </row>
    <row r="93" spans="1:12">
      <c r="A93" s="10" t="s">
        <v>131</v>
      </c>
      <c r="B93" s="10" t="s">
        <v>132</v>
      </c>
      <c r="C93" s="13">
        <f>_xll.BDH("T US Equity","CASH_DVD_COVERAGE","FY 2013","FY 2013","Currency=USD","Period=FY","BEST_FPERIOD_OVERRIDE=FY","FILING_STATUS=MR","FA_ADJUSTED=GAAP","Sort=A","Dates=H","DateFormat=P","Fill=—","Direction=H","UseDPDF=Y")</f>
        <v>1.8821000000000001</v>
      </c>
      <c r="D93" s="13">
        <f>_xll.BDH("T US Equity","CASH_DVD_COVERAGE","FY 2014","FY 2014","Currency=USD","Period=FY","BEST_FPERIOD_OVERRIDE=FY","FILING_STATUS=MR","FA_ADJUSTED=GAAP","Sort=A","Dates=H","DateFormat=P","Fill=—","Direction=H","UseDPDF=Y")</f>
        <v>0.67030000000000001</v>
      </c>
      <c r="E93" s="13">
        <f>_xll.BDH("T US Equity","CASH_DVD_COVERAGE","FY 2015","FY 2015","Currency=USD","Period=FY","BEST_FPERIOD_OVERRIDE=FY","FILING_STATUS=MR","FA_ADJUSTED=GAAP","Sort=A","Dates=H","DateFormat=P","Fill=—","Direction=H","UseDPDF=Y")</f>
        <v>1.242</v>
      </c>
      <c r="F93" s="13">
        <f>_xll.BDH("T US Equity","CASH_DVD_COVERAGE","FY 2016","FY 2016","Currency=USD","Period=FY","BEST_FPERIOD_OVERRIDE=FY","FILING_STATUS=MR","FA_ADJUSTED=GAAP","Sort=A","Dates=H","DateFormat=P","Fill=—","Direction=H","UseDPDF=Y")</f>
        <v>1.0903</v>
      </c>
      <c r="G93" s="13">
        <f>_xll.BDH("T US Equity","CASH_DVD_COVERAGE","FY 2017","FY 2017","Currency=USD","Period=FY","BEST_FPERIOD_OVERRIDE=FY","FILING_STATUS=MR","FA_ADJUSTED=GAAP","Sort=A","Dates=H","DateFormat=P","Fill=—","Direction=H","UseDPDF=Y")</f>
        <v>2.4235000000000002</v>
      </c>
      <c r="H93" s="13">
        <f>_xll.BDH("T US Equity","CASH_DVD_COVERAGE","FY 2018","FY 2018","Currency=USD","Period=FY","BEST_FPERIOD_OVERRIDE=FY","FILING_STATUS=MR","FA_ADJUSTED=GAAP","Sort=A","Dates=H","DateFormat=P","Fill=—","Direction=H","UseDPDF=Y")</f>
        <v>1.3721000000000001</v>
      </c>
      <c r="I93" s="13">
        <f>_xll.BDH("T US Equity","CASH_DVD_COVERAGE","FY 2019","FY 2019","Currency=USD","Period=FY","BEST_FPERIOD_OVERRIDE=FY","FILING_STATUS=MR","FA_ADJUSTED=GAAP","Sort=A","Dates=H","DateFormat=P","Fill=—","Direction=H","UseDPDF=Y")</f>
        <v>0.93359999999999999</v>
      </c>
      <c r="J93" s="13" t="str">
        <f>_xll.BDH("T US Equity","CASH_DVD_COVERAGE","FY 2020","FY 2020","Currency=USD","Period=FY","BEST_FPERIOD_OVERRIDE=FY","FILING_STATUS=MR","FA_ADJUSTED=GAAP","Sort=A","Dates=H","DateFormat=P","Fill=—","Direction=H","UseDPDF=Y")</f>
        <v>—</v>
      </c>
      <c r="K93" s="13">
        <f>_xll.BDH("T US Equity","CASH_DVD_COVERAGE","FY 2021","FY 2021","Currency=USD","Period=FY","BEST_FPERIOD_OVERRIDE=FY","FILING_STATUS=MR","FA_ADJUSTED=GAAP","Sort=A","Dates=H","DateFormat=P","Fill=—","Direction=H","UseDPDF=Y")</f>
        <v>1.4714</v>
      </c>
      <c r="L93" s="13" t="str">
        <f>_xll.BDH("T US Equity","CASH_DVD_COVERAGE","FY 2022","FY 2022","Currency=USD","Period=FY","BEST_FPERIOD_OVERRIDE=FY","FILING_STATUS=MR","FA_ADJUSTED=GAAP","Sort=A","Dates=H","DateFormat=P","Fill=—","Direction=H","UseDPDF=Y")</f>
        <v>—</v>
      </c>
    </row>
    <row r="94" spans="1:1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>
      <c r="A95" s="6" t="s">
        <v>133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1:12">
      <c r="A96" s="10" t="s">
        <v>134</v>
      </c>
      <c r="B96" s="10" t="s">
        <v>135</v>
      </c>
      <c r="C96" s="12">
        <f>_xll.BDH("T US Equity","WORKING_CAPITAL","FY 2013","FY 2013","Currency=USD","Period=FY","BEST_FPERIOD_OVERRIDE=FY","FILING_STATUS=MR","SCALING_FORMAT=MLN","Sort=A","Dates=H","DateFormat=P","Fill=—","Direction=H","UseDPDF=Y")</f>
        <v>-11799</v>
      </c>
      <c r="D96" s="12">
        <f>_xll.BDH("T US Equity","WORKING_CAPITAL","FY 2014","FY 2014","Currency=USD","Period=FY","BEST_FPERIOD_OVERRIDE=FY","FILING_STATUS=MR","SCALING_FORMAT=MLN","Sort=A","Dates=H","DateFormat=P","Fill=—","Direction=H","UseDPDF=Y")</f>
        <v>-3676</v>
      </c>
      <c r="E96" s="12">
        <f>_xll.BDH("T US Equity","WORKING_CAPITAL","FY 2015","FY 2015","Currency=USD","Period=FY","BEST_FPERIOD_OVERRIDE=FY","FILING_STATUS=MR","SCALING_FORMAT=MLN","Sort=A","Dates=H","DateFormat=P","Fill=—","Direction=H","UseDPDF=Y")</f>
        <v>-11824</v>
      </c>
      <c r="F96" s="12">
        <f>_xll.BDH("T US Equity","WORKING_CAPITAL","FY 2016","FY 2016","Currency=USD","Period=FY","BEST_FPERIOD_OVERRIDE=FY","FILING_STATUS=MR","SCALING_FORMAT=MLN","Sort=A","Dates=H","DateFormat=P","Fill=—","Direction=H","UseDPDF=Y")</f>
        <v>-12207</v>
      </c>
      <c r="G96" s="12">
        <f>_xll.BDH("T US Equity","WORKING_CAPITAL","FY 2017","FY 2017","Currency=USD","Period=FY","BEST_FPERIOD_OVERRIDE=FY","FILING_STATUS=MR","SCALING_FORMAT=MLN","Sort=A","Dates=H","DateFormat=P","Fill=—","Direction=H","UseDPDF=Y")</f>
        <v>-2243</v>
      </c>
      <c r="H96" s="12">
        <f>_xll.BDH("T US Equity","WORKING_CAPITAL","FY 2018","FY 2018","Currency=USD","Period=FY","BEST_FPERIOD_OVERRIDE=FY","FILING_STATUS=MR","SCALING_FORMAT=MLN","Sort=A","Dates=H","DateFormat=P","Fill=—","Direction=H","UseDPDF=Y")</f>
        <v>-12993</v>
      </c>
      <c r="I96" s="12">
        <f>_xll.BDH("T US Equity","WORKING_CAPITAL","FY 2019","FY 2019","Currency=USD","Period=FY","BEST_FPERIOD_OVERRIDE=FY","FILING_STATUS=MR","SCALING_FORMAT=MLN","Sort=A","Dates=H","DateFormat=P","Fill=—","Direction=H","UseDPDF=Y")</f>
        <v>-14150</v>
      </c>
      <c r="J96" s="12">
        <f>_xll.BDH("T US Equity","WORKING_CAPITAL","FY 2020","FY 2020","Currency=USD","Period=FY","BEST_FPERIOD_OVERRIDE=FY","FILING_STATUS=MR","SCALING_FORMAT=MLN","Sort=A","Dates=H","DateFormat=P","Fill=—","Direction=H","UseDPDF=Y")</f>
        <v>-11430</v>
      </c>
      <c r="K96" s="12">
        <f>_xll.BDH("T US Equity","WORKING_CAPITAL","FY 2021","FY 2021","Currency=USD","Period=FY","BEST_FPERIOD_OVERRIDE=FY","FILING_STATUS=MR","SCALING_FORMAT=MLN","Sort=A","Dates=H","DateFormat=P","Fill=—","Direction=H","UseDPDF=Y")</f>
        <v>64538</v>
      </c>
      <c r="L96" s="12">
        <f>_xll.BDH("T US Equity","WORKING_CAPITAL","FY 2022","FY 2022","Currency=USD","Period=FY","BEST_FPERIOD_OVERRIDE=FY","FILING_STATUS=MR","SCALING_FORMAT=MLN","Sort=A","Dates=H","DateFormat=P","Fill=—","Direction=H","UseDPDF=Y")</f>
        <v>-23065</v>
      </c>
    </row>
    <row r="97" spans="1:12">
      <c r="A97" s="10" t="s">
        <v>136</v>
      </c>
      <c r="B97" s="10" t="s">
        <v>137</v>
      </c>
      <c r="C97" s="12">
        <f>_xll.BDH("T US Equity","CF_CASH_FROM_OPER","FY 2013","FY 2013","Currency=USD","Period=FY","BEST_FPERIOD_OVERRIDE=FY","FILING_STATUS=MR","SCALING_FORMAT=MLN","Sort=A","Dates=H","DateFormat=P","Fill=—","Direction=H","UseDPDF=Y")</f>
        <v>34796</v>
      </c>
      <c r="D97" s="12">
        <f>_xll.BDH("T US Equity","CF_CASH_FROM_OPER","FY 2014","FY 2014","Currency=USD","Period=FY","BEST_FPERIOD_OVERRIDE=FY","FILING_STATUS=MR","SCALING_FORMAT=MLN","Sort=A","Dates=H","DateFormat=P","Fill=—","Direction=H","UseDPDF=Y")</f>
        <v>31338</v>
      </c>
      <c r="E97" s="12">
        <f>_xll.BDH("T US Equity","CF_CASH_FROM_OPER","FY 2015","FY 2015","Currency=USD","Period=FY","BEST_FPERIOD_OVERRIDE=FY","FILING_STATUS=MR","SCALING_FORMAT=MLN","Sort=A","Dates=H","DateFormat=P","Fill=—","Direction=H","UseDPDF=Y")</f>
        <v>35880</v>
      </c>
      <c r="F97" s="12">
        <f>_xll.BDH("T US Equity","CF_CASH_FROM_OPER","FY 2016","FY 2016","Currency=USD","Period=FY","BEST_FPERIOD_OVERRIDE=FY","FILING_STATUS=MR","SCALING_FORMAT=MLN","Sort=A","Dates=H","DateFormat=P","Fill=—","Direction=H","UseDPDF=Y")</f>
        <v>38442</v>
      </c>
      <c r="G97" s="12">
        <f>_xll.BDH("T US Equity","CF_CASH_FROM_OPER","FY 2017","FY 2017","Currency=USD","Period=FY","BEST_FPERIOD_OVERRIDE=FY","FILING_STATUS=MR","SCALING_FORMAT=MLN","Sort=A","Dates=H","DateFormat=P","Fill=—","Direction=H","UseDPDF=Y")</f>
        <v>38010</v>
      </c>
      <c r="H97" s="12">
        <f>_xll.BDH("T US Equity","CF_CASH_FROM_OPER","FY 2018","FY 2018","Currency=USD","Period=FY","BEST_FPERIOD_OVERRIDE=FY","FILING_STATUS=MR","SCALING_FORMAT=MLN","Sort=A","Dates=H","DateFormat=P","Fill=—","Direction=H","UseDPDF=Y")</f>
        <v>43602</v>
      </c>
      <c r="I97" s="12">
        <f>_xll.BDH("T US Equity","CF_CASH_FROM_OPER","FY 2019","FY 2019","Currency=USD","Period=FY","BEST_FPERIOD_OVERRIDE=FY","FILING_STATUS=MR","SCALING_FORMAT=MLN","Sort=A","Dates=H","DateFormat=P","Fill=—","Direction=H","UseDPDF=Y")</f>
        <v>48668</v>
      </c>
      <c r="J97" s="12">
        <f>_xll.BDH("T US Equity","CF_CASH_FROM_OPER","FY 2020","FY 2020","Currency=USD","Period=FY","BEST_FPERIOD_OVERRIDE=FY","FILING_STATUS=MR","SCALING_FORMAT=MLN","Sort=A","Dates=H","DateFormat=P","Fill=—","Direction=H","UseDPDF=Y")</f>
        <v>43130</v>
      </c>
      <c r="K97" s="12">
        <f>_xll.BDH("T US Equity","CF_CASH_FROM_OPER","FY 2021","FY 2021","Currency=USD","Period=FY","BEST_FPERIOD_OVERRIDE=FY","FILING_STATUS=MR","SCALING_FORMAT=MLN","Sort=A","Dates=H","DateFormat=P","Fill=—","Direction=H","UseDPDF=Y")</f>
        <v>41958</v>
      </c>
      <c r="L97" s="12">
        <f>_xll.BDH("T US Equity","CF_CASH_FROM_OPER","FY 2022","FY 2022","Currency=USD","Period=FY","BEST_FPERIOD_OVERRIDE=FY","FILING_STATUS=MR","SCALING_FORMAT=MLN","Sort=A","Dates=H","DateFormat=P","Fill=—","Direction=H","UseDPDF=Y")</f>
        <v>32023</v>
      </c>
    </row>
    <row r="98" spans="1:12">
      <c r="A98" s="10" t="s">
        <v>70</v>
      </c>
      <c r="B98" s="10" t="s">
        <v>71</v>
      </c>
      <c r="C98" s="12">
        <f>_xll.BDH("T US Equity","CF_CAP_EXPEND_PRPTY_ADD","FY 2013","FY 2013","Currency=USD","Period=FY","BEST_FPERIOD_OVERRIDE=FY","FILING_STATUS=MR","SCALING_FORMAT=MLN","Sort=A","Dates=H","DateFormat=P","Fill=—","Direction=H","UseDPDF=Y")</f>
        <v>-20944</v>
      </c>
      <c r="D98" s="12">
        <f>_xll.BDH("T US Equity","CF_CAP_EXPEND_PRPTY_ADD","FY 2014","FY 2014","Currency=USD","Period=FY","BEST_FPERIOD_OVERRIDE=FY","FILING_STATUS=MR","SCALING_FORMAT=MLN","Sort=A","Dates=H","DateFormat=P","Fill=—","Direction=H","UseDPDF=Y")</f>
        <v>-21433</v>
      </c>
      <c r="E98" s="12">
        <f>_xll.BDH("T US Equity","CF_CAP_EXPEND_PRPTY_ADD","FY 2015","FY 2015","Currency=USD","Period=FY","BEST_FPERIOD_OVERRIDE=FY","FILING_STATUS=MR","SCALING_FORMAT=MLN","Sort=A","Dates=H","DateFormat=P","Fill=—","Direction=H","UseDPDF=Y")</f>
        <v>-20015</v>
      </c>
      <c r="F98" s="12">
        <f>_xll.BDH("T US Equity","CF_CAP_EXPEND_PRPTY_ADD","FY 2016","FY 2016","Currency=USD","Period=FY","BEST_FPERIOD_OVERRIDE=FY","FILING_STATUS=MR","SCALING_FORMAT=MLN","Sort=A","Dates=H","DateFormat=P","Fill=—","Direction=H","UseDPDF=Y")</f>
        <v>-22408</v>
      </c>
      <c r="G98" s="12">
        <f>_xll.BDH("T US Equity","CF_CAP_EXPEND_PRPTY_ADD","FY 2017","FY 2017","Currency=USD","Period=FY","BEST_FPERIOD_OVERRIDE=FY","FILING_STATUS=MR","SCALING_FORMAT=MLN","Sort=A","Dates=H","DateFormat=P","Fill=—","Direction=H","UseDPDF=Y")</f>
        <v>-21550</v>
      </c>
      <c r="H98" s="12">
        <f>_xll.BDH("T US Equity","CF_CAP_EXPEND_PRPTY_ADD","FY 2018","FY 2018","Currency=USD","Period=FY","BEST_FPERIOD_OVERRIDE=FY","FILING_STATUS=MR","SCALING_FORMAT=MLN","Sort=A","Dates=H","DateFormat=P","Fill=—","Direction=H","UseDPDF=Y")</f>
        <v>-21251</v>
      </c>
      <c r="I98" s="12">
        <f>_xll.BDH("T US Equity","CF_CAP_EXPEND_PRPTY_ADD","FY 2019","FY 2019","Currency=USD","Period=FY","BEST_FPERIOD_OVERRIDE=FY","FILING_STATUS=MR","SCALING_FORMAT=MLN","Sort=A","Dates=H","DateFormat=P","Fill=—","Direction=H","UseDPDF=Y")</f>
        <v>-19635</v>
      </c>
      <c r="J98" s="12">
        <f>_xll.BDH("T US Equity","CF_CAP_EXPEND_PRPTY_ADD","FY 2020","FY 2020","Currency=USD","Period=FY","BEST_FPERIOD_OVERRIDE=FY","FILING_STATUS=MR","SCALING_FORMAT=MLN","Sort=A","Dates=H","DateFormat=P","Fill=—","Direction=H","UseDPDF=Y")</f>
        <v>-15675</v>
      </c>
      <c r="K98" s="12">
        <f>_xll.BDH("T US Equity","CF_CAP_EXPEND_PRPTY_ADD","FY 2021","FY 2021","Currency=USD","Period=FY","BEST_FPERIOD_OVERRIDE=FY","FILING_STATUS=MR","SCALING_FORMAT=MLN","Sort=A","Dates=H","DateFormat=P","Fill=—","Direction=H","UseDPDF=Y")</f>
        <v>-15545</v>
      </c>
      <c r="L98" s="12">
        <f>_xll.BDH("T US Equity","CF_CAP_EXPEND_PRPTY_ADD","FY 2022","FY 2022","Currency=USD","Period=FY","BEST_FPERIOD_OVERRIDE=FY","FILING_STATUS=MR","SCALING_FORMAT=MLN","Sort=A","Dates=H","DateFormat=P","Fill=—","Direction=H","UseDPDF=Y")</f>
        <v>-19626</v>
      </c>
    </row>
    <row r="99" spans="1:12">
      <c r="A99" s="10" t="s">
        <v>138</v>
      </c>
      <c r="B99" s="10" t="s">
        <v>139</v>
      </c>
      <c r="C99" s="12">
        <f>_xll.BDH("T US Equity","CF_FREE_CASH_FLOW","FY 2013","FY 2013","Currency=USD","Period=FY","BEST_FPERIOD_OVERRIDE=FY","FILING_STATUS=MR","SCALING_FORMAT=MLN","Sort=A","Dates=H","DateFormat=P","Fill=—","Direction=H","UseDPDF=Y")</f>
        <v>13852</v>
      </c>
      <c r="D99" s="12">
        <f>_xll.BDH("T US Equity","CF_FREE_CASH_FLOW","FY 2014","FY 2014","Currency=USD","Period=FY","BEST_FPERIOD_OVERRIDE=FY","FILING_STATUS=MR","SCALING_FORMAT=MLN","Sort=A","Dates=H","DateFormat=P","Fill=—","Direction=H","UseDPDF=Y")</f>
        <v>9905</v>
      </c>
      <c r="E99" s="12">
        <f>_xll.BDH("T US Equity","CF_FREE_CASH_FLOW","FY 2015","FY 2015","Currency=USD","Period=FY","BEST_FPERIOD_OVERRIDE=FY","FILING_STATUS=MR","SCALING_FORMAT=MLN","Sort=A","Dates=H","DateFormat=P","Fill=—","Direction=H","UseDPDF=Y")</f>
        <v>15865</v>
      </c>
      <c r="F99" s="12">
        <f>_xll.BDH("T US Equity","CF_FREE_CASH_FLOW","FY 2016","FY 2016","Currency=USD","Period=FY","BEST_FPERIOD_OVERRIDE=FY","FILING_STATUS=MR","SCALING_FORMAT=MLN","Sort=A","Dates=H","DateFormat=P","Fill=—","Direction=H","UseDPDF=Y")</f>
        <v>16034</v>
      </c>
      <c r="G99" s="12">
        <f>_xll.BDH("T US Equity","CF_FREE_CASH_FLOW","FY 2017","FY 2017","Currency=USD","Period=FY","BEST_FPERIOD_OVERRIDE=FY","FILING_STATUS=MR","SCALING_FORMAT=MLN","Sort=A","Dates=H","DateFormat=P","Fill=—","Direction=H","UseDPDF=Y")</f>
        <v>16460</v>
      </c>
      <c r="H99" s="12">
        <f>_xll.BDH("T US Equity","CF_FREE_CASH_FLOW","FY 2018","FY 2018","Currency=USD","Period=FY","BEST_FPERIOD_OVERRIDE=FY","FILING_STATUS=MR","SCALING_FORMAT=MLN","Sort=A","Dates=H","DateFormat=P","Fill=—","Direction=H","UseDPDF=Y")</f>
        <v>22351</v>
      </c>
      <c r="I99" s="12">
        <f>_xll.BDH("T US Equity","CF_FREE_CASH_FLOW","FY 2019","FY 2019","Currency=USD","Period=FY","BEST_FPERIOD_OVERRIDE=FY","FILING_STATUS=MR","SCALING_FORMAT=MLN","Sort=A","Dates=H","DateFormat=P","Fill=—","Direction=H","UseDPDF=Y")</f>
        <v>29033</v>
      </c>
      <c r="J99" s="12">
        <f>_xll.BDH("T US Equity","CF_FREE_CASH_FLOW","FY 2020","FY 2020","Currency=USD","Period=FY","BEST_FPERIOD_OVERRIDE=FY","FILING_STATUS=MR","SCALING_FORMAT=MLN","Sort=A","Dates=H","DateFormat=P","Fill=—","Direction=H","UseDPDF=Y")</f>
        <v>27455</v>
      </c>
      <c r="K99" s="12">
        <f>_xll.BDH("T US Equity","CF_FREE_CASH_FLOW","FY 2021","FY 2021","Currency=USD","Period=FY","BEST_FPERIOD_OVERRIDE=FY","FILING_STATUS=MR","SCALING_FORMAT=MLN","Sort=A","Dates=H","DateFormat=P","Fill=—","Direction=H","UseDPDF=Y")</f>
        <v>26413</v>
      </c>
      <c r="L99" s="12">
        <f>_xll.BDH("T US Equity","CF_FREE_CASH_FLOW","FY 2022","FY 2022","Currency=USD","Period=FY","BEST_FPERIOD_OVERRIDE=FY","FILING_STATUS=MR","SCALING_FORMAT=MLN","Sort=A","Dates=H","DateFormat=P","Fill=—","Direction=H","UseDPDF=Y")</f>
        <v>12397</v>
      </c>
    </row>
    <row r="100" spans="1:12">
      <c r="A100" s="10" t="s">
        <v>140</v>
      </c>
      <c r="B100" s="10" t="s">
        <v>141</v>
      </c>
      <c r="C100" s="13">
        <f>_xll.BDH("T US Equity","FCF_PER_DIL_SHR","FY 2013","FY 2013","Currency=USD","Period=FY","BEST_FPERIOD_OVERRIDE=FY","FILING_STATUS=MR","Sort=A","Dates=H","DateFormat=P","Fill=—","Direction=H","UseDPDF=Y")</f>
        <v>2.5722999999999998</v>
      </c>
      <c r="D100" s="13">
        <f>_xll.BDH("T US Equity","FCF_PER_DIL_SHR","FY 2014","FY 2014","Currency=USD","Period=FY","BEST_FPERIOD_OVERRIDE=FY","FILING_STATUS=MR","Sort=A","Dates=H","DateFormat=P","Fill=—","Direction=H","UseDPDF=Y")</f>
        <v>1.8971</v>
      </c>
      <c r="E100" s="13">
        <f>_xll.BDH("T US Equity","FCF_PER_DIL_SHR","FY 2015","FY 2015","Currency=USD","Period=FY","BEST_FPERIOD_OVERRIDE=FY","FILING_STATUS=MR","Sort=A","Dates=H","DateFormat=P","Fill=—","Direction=H","UseDPDF=Y")</f>
        <v>2.81</v>
      </c>
      <c r="F100" s="13">
        <f>_xll.BDH("T US Equity","FCF_PER_DIL_SHR","FY 2016","FY 2016","Currency=USD","Period=FY","BEST_FPERIOD_OVERRIDE=FY","FILING_STATUS=MR","Sort=A","Dates=H","DateFormat=P","Fill=—","Direction=H","UseDPDF=Y")</f>
        <v>2.5907</v>
      </c>
      <c r="G100" s="13">
        <f>_xll.BDH("T US Equity","FCF_PER_DIL_SHR","FY 2017","FY 2017","Currency=USD","Period=FY","BEST_FPERIOD_OVERRIDE=FY","FILING_STATUS=MR","Sort=A","Dates=H","DateFormat=P","Fill=—","Direction=H","UseDPDF=Y")</f>
        <v>2.6621000000000001</v>
      </c>
      <c r="H100" s="13">
        <f>_xll.BDH("T US Equity","FCF_PER_DIL_SHR","FY 2018","FY 2018","Currency=USD","Period=FY","BEST_FPERIOD_OVERRIDE=FY","FILING_STATUS=MR","Sort=A","Dates=H","DateFormat=P","Fill=—","Direction=H","UseDPDF=Y")</f>
        <v>3.2839999999999998</v>
      </c>
      <c r="I100" s="13">
        <f>_xll.BDH("T US Equity","FCF_PER_DIL_SHR","FY 2019","FY 2019","Currency=USD","Period=FY","BEST_FPERIOD_OVERRIDE=FY","FILING_STATUS=MR","Sort=A","Dates=H","DateFormat=P","Fill=—","Direction=H","UseDPDF=Y")</f>
        <v>3.9510999999999998</v>
      </c>
      <c r="J100" s="13">
        <f>_xll.BDH("T US Equity","FCF_PER_DIL_SHR","FY 2020","FY 2020","Currency=USD","Period=FY","BEST_FPERIOD_OVERRIDE=FY","FILING_STATUS=MR","Sort=A","Dates=H","DateFormat=P","Fill=—","Direction=H","UseDPDF=Y")</f>
        <v>3.8222</v>
      </c>
      <c r="K100" s="13">
        <f>_xll.BDH("T US Equity","FCF_PER_DIL_SHR","FY 2021","FY 2021","Currency=USD","Period=FY","BEST_FPERIOD_OVERRIDE=FY","FILING_STATUS=MR","Sort=A","Dates=H","DateFormat=P","Fill=—","Direction=H","UseDPDF=Y")</f>
        <v>3.5203000000000002</v>
      </c>
      <c r="L100" s="13">
        <f>_xll.BDH("T US Equity","FCF_PER_DIL_SHR","FY 2022","FY 2022","Currency=USD","Period=FY","BEST_FPERIOD_OVERRIDE=FY","FILING_STATUS=MR","Sort=A","Dates=H","DateFormat=P","Fill=—","Direction=H","UseDPDF=Y")</f>
        <v>1.6339999999999999</v>
      </c>
    </row>
    <row r="101" spans="1:1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>
      <c r="A102" s="6" t="s">
        <v>142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>
      <c r="A103" s="10" t="s">
        <v>143</v>
      </c>
      <c r="B103" s="10" t="s">
        <v>144</v>
      </c>
      <c r="C103" s="13" t="str">
        <f>_xll.BDH("T US Equity","TOTAL_MONTHLY_CHURN_RATE","FY 2013","FY 2013","Currency=USD","Period=FY","BEST_FPERIOD_OVERRIDE=FY","FILING_STATUS=MR","Sort=A","Dates=H","DateFormat=P","Fill=—","Direction=H","UseDPDF=Y")</f>
        <v>—</v>
      </c>
      <c r="D103" s="13" t="str">
        <f>_xll.BDH("T US Equity","TOTAL_MONTHLY_CHURN_RATE","FY 2014","FY 2014","Currency=USD","Period=FY","BEST_FPERIOD_OVERRIDE=FY","FILING_STATUS=MR","Sort=A","Dates=H","DateFormat=P","Fill=—","Direction=H","UseDPDF=Y")</f>
        <v>—</v>
      </c>
      <c r="E103" s="13">
        <f>_xll.BDH("T US Equity","TOTAL_MONTHLY_CHURN_RATE","FY 2015","FY 2015","Currency=USD","Period=FY","BEST_FPERIOD_OVERRIDE=FY","FILING_STATUS=MR","Sort=A","Dates=H","DateFormat=P","Fill=—","Direction=H","UseDPDF=Y")</f>
        <v>1.0900000000000001</v>
      </c>
      <c r="F103" s="13">
        <f>_xll.BDH("T US Equity","TOTAL_MONTHLY_CHURN_RATE","FY 2016","FY 2016","Currency=USD","Period=FY","BEST_FPERIOD_OVERRIDE=FY","FILING_STATUS=MR","Sort=A","Dates=H","DateFormat=P","Fill=—","Direction=H","UseDPDF=Y")</f>
        <v>1.07</v>
      </c>
      <c r="G103" s="13">
        <f>_xll.BDH("T US Equity","TOTAL_MONTHLY_CHURN_RATE","FY 2017","FY 2017","Currency=USD","Period=FY","BEST_FPERIOD_OVERRIDE=FY","FILING_STATUS=MR","Sort=A","Dates=H","DateFormat=P","Fill=—","Direction=H","UseDPDF=Y")</f>
        <v>1.08</v>
      </c>
      <c r="H103" s="13">
        <f>_xll.BDH("T US Equity","TOTAL_MONTHLY_CHURN_RATE","FY 2018","FY 2018","Currency=USD","Period=FY","BEST_FPERIOD_OVERRIDE=FY","FILING_STATUS=MR","Sort=A","Dates=H","DateFormat=P","Fill=—","Direction=H","UseDPDF=Y")</f>
        <v>1.1200000000000001</v>
      </c>
      <c r="I103" s="13">
        <f>_xll.BDH("T US Equity","TOTAL_MONTHLY_CHURN_RATE","FY 2019","FY 2019","Currency=USD","Period=FY","BEST_FPERIOD_OVERRIDE=FY","FILING_STATUS=MR","Sort=A","Dates=H","DateFormat=P","Fill=—","Direction=H","UseDPDF=Y")</f>
        <v>1.18</v>
      </c>
      <c r="J103" s="13">
        <f>_xll.BDH("T US Equity","TOTAL_MONTHLY_CHURN_RATE","FY 2020","FY 2020","Currency=USD","Period=FY","BEST_FPERIOD_OVERRIDE=FY","FILING_STATUS=MR","Sort=A","Dates=H","DateFormat=P","Fill=—","Direction=H","UseDPDF=Y")</f>
        <v>0.98</v>
      </c>
      <c r="K103" s="13">
        <f>_xll.BDH("T US Equity","TOTAL_MONTHLY_CHURN_RATE","FY 2021","FY 2021","Currency=USD","Period=FY","BEST_FPERIOD_OVERRIDE=FY","FILING_STATUS=MR","Sort=A","Dates=H","DateFormat=P","Fill=—","Direction=H","UseDPDF=Y")</f>
        <v>0.94</v>
      </c>
      <c r="L103" s="13">
        <f>_xll.BDH("T US Equity","TOTAL_MONTHLY_CHURN_RATE","FY 2022","FY 2022","Currency=USD","Period=FY","BEST_FPERIOD_OVERRIDE=FY","FILING_STATUS=MR","Sort=A","Dates=H","DateFormat=P","Fill=—","Direction=H","UseDPDF=Y")</f>
        <v>0.97</v>
      </c>
    </row>
    <row r="104" spans="1:12">
      <c r="A104" s="10" t="s">
        <v>145</v>
      </c>
      <c r="B104" s="10" t="s">
        <v>146</v>
      </c>
      <c r="C104" s="12">
        <f>_xll.BDH("T US Equity","LICENSED_POPULATION_CELLULAR_TEL","FY 2013","FY 2013","Currency=USD","Period=FY","BEST_FPERIOD_OVERRIDE=FY","FILING_STATUS=MR","Sort=A","Dates=H","DateFormat=P","Fill=—","Direction=H","UseDPDF=Y")</f>
        <v>317000</v>
      </c>
      <c r="D104" s="12">
        <f>_xll.BDH("T US Equity","LICENSED_POPULATION_CELLULAR_TEL","FY 2014","FY 2014","Currency=USD","Period=FY","BEST_FPERIOD_OVERRIDE=FY","FILING_STATUS=MR","Sort=A","Dates=H","DateFormat=P","Fill=—","Direction=H","UseDPDF=Y")</f>
        <v>321000</v>
      </c>
      <c r="E104" s="12">
        <f>_xll.BDH("T US Equity","LICENSED_POPULATION_CELLULAR_TEL","FY 2015","FY 2015","Currency=USD","Period=FY","BEST_FPERIOD_OVERRIDE=FY","FILING_STATUS=MR","Sort=A","Dates=H","DateFormat=P","Fill=—","Direction=H","UseDPDF=Y")</f>
        <v>321000</v>
      </c>
      <c r="F104" s="12">
        <f>_xll.BDH("T US Equity","LICENSED_POPULATION_CELLULAR_TEL","FY 2016","FY 2016","Currency=USD","Period=FY","BEST_FPERIOD_OVERRIDE=FY","FILING_STATUS=MR","Sort=A","Dates=H","DateFormat=P","Fill=—","Direction=H","UseDPDF=Y")</f>
        <v>322000</v>
      </c>
      <c r="G104" s="12">
        <f>_xll.BDH("T US Equity","LICENSED_POPULATION_CELLULAR_TEL","FY 2017","FY 2017","Currency=USD","Period=FY","BEST_FPERIOD_OVERRIDE=FY","FILING_STATUS=MR","Sort=A","Dates=H","DateFormat=P","Fill=—","Direction=H","UseDPDF=Y")</f>
        <v>326000</v>
      </c>
      <c r="H104" s="12" t="str">
        <f>_xll.BDH("T US Equity","LICENSED_POPULATION_CELLULAR_TEL","FY 2018","FY 2018","Currency=USD","Period=FY","BEST_FPERIOD_OVERRIDE=FY","FILING_STATUS=MR","Sort=A","Dates=H","DateFormat=P","Fill=—","Direction=H","UseDPDF=Y")</f>
        <v>—</v>
      </c>
      <c r="I104" s="12" t="str">
        <f>_xll.BDH("T US Equity","LICENSED_POPULATION_CELLULAR_TEL","FY 2019","FY 2019","Currency=USD","Period=FY","BEST_FPERIOD_OVERRIDE=FY","FILING_STATUS=MR","Sort=A","Dates=H","DateFormat=P","Fill=—","Direction=H","UseDPDF=Y")</f>
        <v>—</v>
      </c>
      <c r="J104" s="12" t="str">
        <f>_xll.BDH("T US Equity","LICENSED_POPULATION_CELLULAR_TEL","FY 2020","FY 2020","Currency=USD","Period=FY","BEST_FPERIOD_OVERRIDE=FY","FILING_STATUS=MR","Sort=A","Dates=H","DateFormat=P","Fill=—","Direction=H","UseDPDF=Y")</f>
        <v>—</v>
      </c>
      <c r="K104" s="12" t="str">
        <f>_xll.BDH("T US Equity","LICENSED_POPULATION_CELLULAR_TEL","FY 2021","FY 2021","Currency=USD","Period=FY","BEST_FPERIOD_OVERRIDE=FY","FILING_STATUS=MR","Sort=A","Dates=H","DateFormat=P","Fill=—","Direction=H","UseDPDF=Y")</f>
        <v>—</v>
      </c>
      <c r="L104" s="12" t="str">
        <f>_xll.BDH("T US Equity","LICENSED_POPULATION_CELLULAR_TEL","FY 2022","FY 2022","Currency=USD","Period=FY","BEST_FPERIOD_OVERRIDE=FY","FILING_STATUS=MR","Sort=A","Dates=H","DateFormat=P","Fill=—","Direction=H","UseDPDF=Y")</f>
        <v>—</v>
      </c>
    </row>
    <row r="105" spans="1:12">
      <c r="A105" s="10" t="s">
        <v>147</v>
      </c>
      <c r="B105" s="10" t="s">
        <v>148</v>
      </c>
      <c r="C105" s="12" t="str">
        <f>_xll.BDH("T US Equity","WIRELINE_SERVICE_REVENUE","FY 2013","FY 2013","Currency=USD","Period=FY","BEST_FPERIOD_OVERRIDE=FY","FILING_STATUS=MR","SCALING_FORMAT=MLN","Sort=A","Dates=H","DateFormat=P","Fill=—","Direction=H","UseDPDF=Y")</f>
        <v>—</v>
      </c>
      <c r="D105" s="12" t="str">
        <f>_xll.BDH("T US Equity","WIRELINE_SERVICE_REVENUE","FY 2014","FY 2014","Currency=USD","Period=FY","BEST_FPERIOD_OVERRIDE=FY","FILING_STATUS=MR","SCALING_FORMAT=MLN","Sort=A","Dates=H","DateFormat=P","Fill=—","Direction=H","UseDPDF=Y")</f>
        <v>—</v>
      </c>
      <c r="E105" s="12" t="str">
        <f>_xll.BDH("T US Equity","WIRELINE_SERVICE_REVENUE","FY 2015","FY 2015","Currency=USD","Period=FY","BEST_FPERIOD_OVERRIDE=FY","FILING_STATUS=MR","SCALING_FORMAT=MLN","Sort=A","Dates=H","DateFormat=P","Fill=—","Direction=H","UseDPDF=Y")</f>
        <v>—</v>
      </c>
      <c r="F105" s="12" t="str">
        <f>_xll.BDH("T US Equity","WIRELINE_SERVICE_REVENUE","FY 2016","FY 2016","Currency=USD","Period=FY","BEST_FPERIOD_OVERRIDE=FY","FILING_STATUS=MR","SCALING_FORMAT=MLN","Sort=A","Dates=H","DateFormat=P","Fill=—","Direction=H","UseDPDF=Y")</f>
        <v>—</v>
      </c>
      <c r="G105" s="12" t="str">
        <f>_xll.BDH("T US Equity","WIRELINE_SERVICE_REVENUE","FY 2017","FY 2017","Currency=USD","Period=FY","BEST_FPERIOD_OVERRIDE=FY","FILING_STATUS=MR","SCALING_FORMAT=MLN","Sort=A","Dates=H","DateFormat=P","Fill=—","Direction=H","UseDPDF=Y")</f>
        <v>—</v>
      </c>
      <c r="H105" s="12" t="str">
        <f>_xll.BDH("T US Equity","WIRELINE_SERVICE_REVENUE","FY 2018","FY 2018","Currency=USD","Period=FY","BEST_FPERIOD_OVERRIDE=FY","FILING_STATUS=MR","SCALING_FORMAT=MLN","Sort=A","Dates=H","DateFormat=P","Fill=—","Direction=H","UseDPDF=Y")</f>
        <v>—</v>
      </c>
      <c r="I105" s="12">
        <f>_xll.BDH("T US Equity","WIRELINE_SERVICE_REVENUE","FY 2019","FY 2019","Currency=USD","Period=FY","BEST_FPERIOD_OVERRIDE=FY","FILING_STATUS=MR","SCALING_FORMAT=MLN","Sort=A","Dates=H","DateFormat=P","Fill=—","Direction=H","UseDPDF=Y")</f>
        <v>32123</v>
      </c>
      <c r="J105" s="12">
        <f>_xll.BDH("T US Equity","WIRELINE_SERVICE_REVENUE","FY 2020","FY 2020","Currency=USD","Period=FY","BEST_FPERIOD_OVERRIDE=FY","FILING_STATUS=MR","SCALING_FORMAT=MLN","Sort=A","Dates=H","DateFormat=P","Fill=—","Direction=H","UseDPDF=Y")</f>
        <v>28465</v>
      </c>
      <c r="K105" s="12">
        <f>_xll.BDH("T US Equity","WIRELINE_SERVICE_REVENUE","FY 2021","FY 2021","Currency=USD","Period=FY","BEST_FPERIOD_OVERRIDE=FY","FILING_STATUS=MR","SCALING_FORMAT=MLN","Sort=A","Dates=H","DateFormat=P","Fill=—","Direction=H","UseDPDF=Y")</f>
        <v>23224</v>
      </c>
      <c r="L105" s="12">
        <f>_xll.BDH("T US Equity","WIRELINE_SERVICE_REVENUE","FY 2022","FY 2022","Currency=USD","Period=FY","BEST_FPERIOD_OVERRIDE=FY","FILING_STATUS=MR","SCALING_FORMAT=MLN","Sort=A","Dates=H","DateFormat=P","Fill=—","Direction=H","UseDPDF=Y")</f>
        <v>21891</v>
      </c>
    </row>
    <row r="106" spans="1:12">
      <c r="A106" s="10" t="s">
        <v>149</v>
      </c>
      <c r="B106" s="10" t="s">
        <v>150</v>
      </c>
      <c r="C106" s="12" t="str">
        <f>_xll.BDH("T US Equity","WIRELINE_EQUIPMENT_REVENUE","FY 2013","FY 2013","Currency=USD","Period=FY","BEST_FPERIOD_OVERRIDE=FY","FILING_STATUS=MR","SCALING_FORMAT=MLN","Sort=A","Dates=H","DateFormat=P","Fill=—","Direction=H","UseDPDF=Y")</f>
        <v>—</v>
      </c>
      <c r="D106" s="12" t="str">
        <f>_xll.BDH("T US Equity","WIRELINE_EQUIPMENT_REVENUE","FY 2014","FY 2014","Currency=USD","Period=FY","BEST_FPERIOD_OVERRIDE=FY","FILING_STATUS=MR","SCALING_FORMAT=MLN","Sort=A","Dates=H","DateFormat=P","Fill=—","Direction=H","UseDPDF=Y")</f>
        <v>—</v>
      </c>
      <c r="E106" s="12" t="str">
        <f>_xll.BDH("T US Equity","WIRELINE_EQUIPMENT_REVENUE","FY 2015","FY 2015","Currency=USD","Period=FY","BEST_FPERIOD_OVERRIDE=FY","FILING_STATUS=MR","SCALING_FORMAT=MLN","Sort=A","Dates=H","DateFormat=P","Fill=—","Direction=H","UseDPDF=Y")</f>
        <v>—</v>
      </c>
      <c r="F106" s="12" t="str">
        <f>_xll.BDH("T US Equity","WIRELINE_EQUIPMENT_REVENUE","FY 2016","FY 2016","Currency=USD","Period=FY","BEST_FPERIOD_OVERRIDE=FY","FILING_STATUS=MR","SCALING_FORMAT=MLN","Sort=A","Dates=H","DateFormat=P","Fill=—","Direction=H","UseDPDF=Y")</f>
        <v>—</v>
      </c>
      <c r="G106" s="12" t="str">
        <f>_xll.BDH("T US Equity","WIRELINE_EQUIPMENT_REVENUE","FY 2017","FY 2017","Currency=USD","Period=FY","BEST_FPERIOD_OVERRIDE=FY","FILING_STATUS=MR","SCALING_FORMAT=MLN","Sort=A","Dates=H","DateFormat=P","Fill=—","Direction=H","UseDPDF=Y")</f>
        <v>—</v>
      </c>
      <c r="H106" s="12" t="str">
        <f>_xll.BDH("T US Equity","WIRELINE_EQUIPMENT_REVENUE","FY 2018","FY 2018","Currency=USD","Period=FY","BEST_FPERIOD_OVERRIDE=FY","FILING_STATUS=MR","SCALING_FORMAT=MLN","Sort=A","Dates=H","DateFormat=P","Fill=—","Direction=H","UseDPDF=Y")</f>
        <v>—</v>
      </c>
      <c r="I106" s="12">
        <f>_xll.BDH("T US Equity","WIRELINE_EQUIPMENT_REVENUE","FY 2019","FY 2019","Currency=USD","Period=FY","BEST_FPERIOD_OVERRIDE=FY","FILING_STATUS=MR","SCALING_FORMAT=MLN","Sort=A","Dates=H","DateFormat=P","Fill=—","Direction=H","UseDPDF=Y")</f>
        <v>1</v>
      </c>
      <c r="J106" s="12">
        <f>_xll.BDH("T US Equity","WIRELINE_EQUIPMENT_REVENUE","FY 2020","FY 2020","Currency=USD","Period=FY","BEST_FPERIOD_OVERRIDE=FY","FILING_STATUS=MR","SCALING_FORMAT=MLN","Sort=A","Dates=H","DateFormat=P","Fill=—","Direction=H","UseDPDF=Y")</f>
        <v>145</v>
      </c>
      <c r="K106" s="12">
        <f>_xll.BDH("T US Equity","WIRELINE_EQUIPMENT_REVENUE","FY 2021","FY 2021","Currency=USD","Period=FY","BEST_FPERIOD_OVERRIDE=FY","FILING_STATUS=MR","SCALING_FORMAT=MLN","Sort=A","Dates=H","DateFormat=P","Fill=—","Direction=H","UseDPDF=Y")</f>
        <v>713</v>
      </c>
      <c r="L106" s="12">
        <f>_xll.BDH("T US Equity","WIRELINE_EQUIPMENT_REVENUE","FY 2022","FY 2022","Currency=USD","Period=FY","BEST_FPERIOD_OVERRIDE=FY","FILING_STATUS=MR","SCALING_FORMAT=MLN","Sort=A","Dates=H","DateFormat=P","Fill=—","Direction=H","UseDPDF=Y")</f>
        <v>647</v>
      </c>
    </row>
    <row r="107" spans="1:12">
      <c r="A107" s="10" t="s">
        <v>151</v>
      </c>
      <c r="B107" s="10" t="s">
        <v>152</v>
      </c>
      <c r="C107" s="12" t="str">
        <f>_xll.BDH("T US Equity","TOTAL_CABLE_HOMES_PASSED","FY 2013","FY 2013","Currency=USD","Period=FY","BEST_FPERIOD_OVERRIDE=FY","FILING_STATUS=MR","Sort=A","Dates=H","DateFormat=P","Fill=—","Direction=H","UseDPDF=Y")</f>
        <v>—</v>
      </c>
      <c r="D107" s="12">
        <f>_xll.BDH("T US Equity","TOTAL_CABLE_HOMES_PASSED","FY 2014","FY 2014","Currency=USD","Period=FY","BEST_FPERIOD_OVERRIDE=FY","FILING_STATUS=MR","Sort=A","Dates=H","DateFormat=P","Fill=—","Direction=H","UseDPDF=Y")</f>
        <v>27.01</v>
      </c>
      <c r="E107" s="12" t="str">
        <f>_xll.BDH("T US Equity","TOTAL_CABLE_HOMES_PASSED","FY 2015","FY 2015","Currency=USD","Period=FY","BEST_FPERIOD_OVERRIDE=FY","FILING_STATUS=MR","Sort=A","Dates=H","DateFormat=P","Fill=—","Direction=H","UseDPDF=Y")</f>
        <v>—</v>
      </c>
      <c r="F107" s="12" t="str">
        <f>_xll.BDH("T US Equity","TOTAL_CABLE_HOMES_PASSED","FY 2016","FY 2016","Currency=USD","Period=FY","BEST_FPERIOD_OVERRIDE=FY","FILING_STATUS=MR","Sort=A","Dates=H","DateFormat=P","Fill=—","Direction=H","UseDPDF=Y")</f>
        <v>—</v>
      </c>
      <c r="G107" s="12" t="str">
        <f>_xll.BDH("T US Equity","TOTAL_CABLE_HOMES_PASSED","FY 2017","FY 2017","Currency=USD","Period=FY","BEST_FPERIOD_OVERRIDE=FY","FILING_STATUS=MR","Sort=A","Dates=H","DateFormat=P","Fill=—","Direction=H","UseDPDF=Y")</f>
        <v>—</v>
      </c>
      <c r="H107" s="12" t="str">
        <f>_xll.BDH("T US Equity","TOTAL_CABLE_HOMES_PASSED","FY 2018","FY 2018","Currency=USD","Period=FY","BEST_FPERIOD_OVERRIDE=FY","FILING_STATUS=MR","Sort=A","Dates=H","DateFormat=P","Fill=—","Direction=H","UseDPDF=Y")</f>
        <v>—</v>
      </c>
      <c r="I107" s="12" t="str">
        <f>_xll.BDH("T US Equity","TOTAL_CABLE_HOMES_PASSED","FY 2019","FY 2019","Currency=USD","Period=FY","BEST_FPERIOD_OVERRIDE=FY","FILING_STATUS=MR","Sort=A","Dates=H","DateFormat=P","Fill=—","Direction=H","UseDPDF=Y")</f>
        <v>—</v>
      </c>
      <c r="J107" s="12" t="str">
        <f>_xll.BDH("T US Equity","TOTAL_CABLE_HOMES_PASSED","FY 2020","FY 2020","Currency=USD","Period=FY","BEST_FPERIOD_OVERRIDE=FY","FILING_STATUS=MR","Sort=A","Dates=H","DateFormat=P","Fill=—","Direction=H","UseDPDF=Y")</f>
        <v>—</v>
      </c>
      <c r="K107" s="12" t="str">
        <f>_xll.BDH("T US Equity","TOTAL_CABLE_HOMES_PASSED","FY 2021","FY 2021","Currency=USD","Period=FY","BEST_FPERIOD_OVERRIDE=FY","FILING_STATUS=MR","Sort=A","Dates=H","DateFormat=P","Fill=—","Direction=H","UseDPDF=Y")</f>
        <v>—</v>
      </c>
      <c r="L107" s="12" t="str">
        <f>_xll.BDH("T US Equity","TOTAL_CABLE_HOMES_PASSED","FY 2022","FY 2022","Currency=USD","Period=FY","BEST_FPERIOD_OVERRIDE=FY","FILING_STATUS=MR","Sort=A","Dates=H","DateFormat=P","Fill=—","Direction=H","UseDPDF=Y")</f>
        <v>—</v>
      </c>
    </row>
    <row r="108" spans="1:12">
      <c r="A108" s="10" t="s">
        <v>153</v>
      </c>
      <c r="B108" s="10" t="s">
        <v>154</v>
      </c>
      <c r="C108" s="12">
        <f>_xll.BDH("T US Equity","DIGITAL_CUSTOMERS","FY 2013","FY 2013","Currency=USD","Period=FY","BEST_FPERIOD_OVERRIDE=FY","FILING_STATUS=MR","Sort=A","Dates=H","DateFormat=P","Fill=—","Direction=H","UseDPDF=Y")</f>
        <v>5.4420000000000002</v>
      </c>
      <c r="D108" s="12">
        <f>_xll.BDH("T US Equity","DIGITAL_CUSTOMERS","FY 2014","FY 2014","Currency=USD","Period=FY","BEST_FPERIOD_OVERRIDE=FY","FILING_STATUS=MR","Sort=A","Dates=H","DateFormat=P","Fill=—","Direction=H","UseDPDF=Y")</f>
        <v>5.92</v>
      </c>
      <c r="E108" s="12">
        <f>_xll.BDH("T US Equity","DIGITAL_CUSTOMERS","FY 2015","FY 2015","Currency=USD","Period=FY","BEST_FPERIOD_OVERRIDE=FY","FILING_STATUS=MR","Sort=A","Dates=H","DateFormat=P","Fill=—","Direction=H","UseDPDF=Y")</f>
        <v>25.398</v>
      </c>
      <c r="F108" s="12">
        <f>_xll.BDH("T US Equity","DIGITAL_CUSTOMERS","FY 2016","FY 2016","Currency=USD","Period=FY","BEST_FPERIOD_OVERRIDE=FY","FILING_STATUS=MR","Sort=A","Dates=H","DateFormat=P","Fill=—","Direction=H","UseDPDF=Y")</f>
        <v>25.265000000000001</v>
      </c>
      <c r="G108" s="12">
        <f>_xll.BDH("T US Equity","DIGITAL_CUSTOMERS","FY 2017","FY 2017","Currency=USD","Period=FY","BEST_FPERIOD_OVERRIDE=FY","FILING_STATUS=MR","Sort=A","Dates=H","DateFormat=P","Fill=—","Direction=H","UseDPDF=Y")</f>
        <v>24.088999999999999</v>
      </c>
      <c r="H108" s="12">
        <f>_xll.BDH("T US Equity","DIGITAL_CUSTOMERS","FY 2018","FY 2018","Currency=USD","Period=FY","BEST_FPERIOD_OVERRIDE=FY","FILING_STATUS=MR","Sort=A","Dates=H","DateFormat=P","Fill=—","Direction=H","UseDPDF=Y")</f>
        <v>24.516999999999999</v>
      </c>
      <c r="I108" s="12">
        <f>_xll.BDH("T US Equity","DIGITAL_CUSTOMERS","FY 2019","FY 2019","Currency=USD","Period=FY","BEST_FPERIOD_OVERRIDE=FY","FILING_STATUS=MR","Sort=A","Dates=H","DateFormat=P","Fill=—","Direction=H","UseDPDF=Y")</f>
        <v>20.422000000000001</v>
      </c>
      <c r="J108" s="12">
        <f>_xll.BDH("T US Equity","DIGITAL_CUSTOMERS","FY 2020","FY 2020","Currency=USD","Period=FY","BEST_FPERIOD_OVERRIDE=FY","FILING_STATUS=MR","Sort=A","Dates=H","DateFormat=P","Fill=—","Direction=H","UseDPDF=Y")</f>
        <v>17.161000000000001</v>
      </c>
      <c r="K108" s="12">
        <f>_xll.BDH("T US Equity","DIGITAL_CUSTOMERS","FY 2021","FY 2021","Currency=USD","Period=FY","BEST_FPERIOD_OVERRIDE=FY","FILING_STATUS=MR","Sort=A","Dates=H","DateFormat=P","Fill=—","Direction=H","UseDPDF=Y")</f>
        <v>20.152000000000001</v>
      </c>
      <c r="L108" s="12">
        <f>_xll.BDH("T US Equity","DIGITAL_CUSTOMERS","FY 2022","FY 2022","Currency=USD","Period=FY","BEST_FPERIOD_OVERRIDE=FY","FILING_STATUS=MR","Sort=A","Dates=H","DateFormat=P","Fill=—","Direction=H","UseDPDF=Y")</f>
        <v>21.206</v>
      </c>
    </row>
    <row r="109" spans="1:12">
      <c r="A109" s="10" t="s">
        <v>155</v>
      </c>
      <c r="B109" s="10" t="s">
        <v>156</v>
      </c>
      <c r="C109" s="13">
        <f>_xll.BDH("T US Equity","DIGITAL_PENETRATION","FY 2013","FY 2013","Currency=USD","Period=FY","BEST_FPERIOD_OVERRIDE=FY","FILING_STATUS=MR","Sort=A","Dates=H","DateFormat=P","Fill=—","Direction=H","UseDPDF=Y")</f>
        <v>21</v>
      </c>
      <c r="D109" s="13">
        <f>_xll.BDH("T US Equity","DIGITAL_PENETRATION","FY 2014","FY 2014","Currency=USD","Period=FY","BEST_FPERIOD_OVERRIDE=FY","FILING_STATUS=MR","Sort=A","Dates=H","DateFormat=P","Fill=—","Direction=H","UseDPDF=Y")</f>
        <v>22</v>
      </c>
      <c r="E109" s="13" t="str">
        <f>_xll.BDH("T US Equity","DIGITAL_PENETRATION","FY 2015","FY 2015","Currency=USD","Period=FY","BEST_FPERIOD_OVERRIDE=FY","FILING_STATUS=MR","Sort=A","Dates=H","DateFormat=P","Fill=—","Direction=H","UseDPDF=Y")</f>
        <v>—</v>
      </c>
      <c r="F109" s="13" t="str">
        <f>_xll.BDH("T US Equity","DIGITAL_PENETRATION","FY 2016","FY 2016","Currency=USD","Period=FY","BEST_FPERIOD_OVERRIDE=FY","FILING_STATUS=MR","Sort=A","Dates=H","DateFormat=P","Fill=—","Direction=H","UseDPDF=Y")</f>
        <v>—</v>
      </c>
      <c r="G109" s="13" t="str">
        <f>_xll.BDH("T US Equity","DIGITAL_PENETRATION","FY 2017","FY 2017","Currency=USD","Period=FY","BEST_FPERIOD_OVERRIDE=FY","FILING_STATUS=MR","Sort=A","Dates=H","DateFormat=P","Fill=—","Direction=H","UseDPDF=Y")</f>
        <v>—</v>
      </c>
      <c r="H109" s="13" t="str">
        <f>_xll.BDH("T US Equity","DIGITAL_PENETRATION","FY 2018","FY 2018","Currency=USD","Period=FY","BEST_FPERIOD_OVERRIDE=FY","FILING_STATUS=MR","Sort=A","Dates=H","DateFormat=P","Fill=—","Direction=H","UseDPDF=Y")</f>
        <v>—</v>
      </c>
      <c r="I109" s="13" t="str">
        <f>_xll.BDH("T US Equity","DIGITAL_PENETRATION","FY 2019","FY 2019","Currency=USD","Period=FY","BEST_FPERIOD_OVERRIDE=FY","FILING_STATUS=MR","Sort=A","Dates=H","DateFormat=P","Fill=—","Direction=H","UseDPDF=Y")</f>
        <v>—</v>
      </c>
      <c r="J109" s="13" t="str">
        <f>_xll.BDH("T US Equity","DIGITAL_PENETRATION","FY 2020","FY 2020","Currency=USD","Period=FY","BEST_FPERIOD_OVERRIDE=FY","FILING_STATUS=MR","Sort=A","Dates=H","DateFormat=P","Fill=—","Direction=H","UseDPDF=Y")</f>
        <v>—</v>
      </c>
      <c r="K109" s="13" t="str">
        <f>_xll.BDH("T US Equity","DIGITAL_PENETRATION","FY 2021","FY 2021","Currency=USD","Period=FY","BEST_FPERIOD_OVERRIDE=FY","FILING_STATUS=MR","Sort=A","Dates=H","DateFormat=P","Fill=—","Direction=H","UseDPDF=Y")</f>
        <v>—</v>
      </c>
      <c r="L109" s="13" t="str">
        <f>_xll.BDH("T US Equity","DIGITAL_PENETRATION","FY 2022","FY 2022","Currency=USD","Period=FY","BEST_FPERIOD_OVERRIDE=FY","FILING_STATUS=MR","Sort=A","Dates=H","DateFormat=P","Fill=—","Direction=H","UseDPDF=Y")</f>
        <v>—</v>
      </c>
    </row>
    <row r="110" spans="1:12">
      <c r="A110" s="10" t="s">
        <v>157</v>
      </c>
      <c r="B110" s="10" t="s">
        <v>158</v>
      </c>
      <c r="C110" s="12">
        <f>_xll.BDH("T US Equity","DIGITAL_CABLE_SUBSCRIBER_ADDS","FY 2013","FY 2013","Currency=USD","Period=FY","BEST_FPERIOD_OVERRIDE=FY","FILING_STATUS=MR","Sort=A","Dates=H","DateFormat=P","Fill=—","Direction=H","UseDPDF=Y")</f>
        <v>0.92400000000000004</v>
      </c>
      <c r="D110" s="12">
        <f>_xll.BDH("T US Equity","DIGITAL_CABLE_SUBSCRIBER_ADDS","FY 2014","FY 2014","Currency=USD","Period=FY","BEST_FPERIOD_OVERRIDE=FY","FILING_STATUS=MR","Sort=A","Dates=H","DateFormat=P","Fill=—","Direction=H","UseDPDF=Y")</f>
        <v>0.67900000000000005</v>
      </c>
      <c r="E110" s="12">
        <f>_xll.BDH("T US Equity","DIGITAL_CABLE_SUBSCRIBER_ADDS","FY 2015","FY 2015","Currency=USD","Period=FY","BEST_FPERIOD_OVERRIDE=FY","FILING_STATUS=MR","Sort=A","Dates=H","DateFormat=P","Fill=—","Direction=H","UseDPDF=Y")</f>
        <v>-0.30599999999999999</v>
      </c>
      <c r="F110" s="12">
        <f>_xll.BDH("T US Equity","DIGITAL_CABLE_SUBSCRIBER_ADDS","FY 2016","FY 2016","Currency=USD","Period=FY","BEST_FPERIOD_OVERRIDE=FY","FILING_STATUS=MR","Sort=A","Dates=H","DateFormat=P","Fill=—","Direction=H","UseDPDF=Y")</f>
        <v>-1.361</v>
      </c>
      <c r="G110" s="12">
        <f>_xll.BDH("T US Equity","DIGITAL_CABLE_SUBSCRIBER_ADDS","FY 2017","FY 2017","Currency=USD","Period=FY","BEST_FPERIOD_OVERRIDE=FY","FILING_STATUS=MR","Sort=A","Dates=H","DateFormat=P","Fill=—","Direction=H","UseDPDF=Y")</f>
        <v>-0.622</v>
      </c>
      <c r="H110" s="12">
        <f>_xll.BDH("T US Equity","DIGITAL_CABLE_SUBSCRIBER_ADDS","FY 2018","FY 2018","Currency=USD","Period=FY","BEST_FPERIOD_OVERRIDE=FY","FILING_STATUS=MR","Sort=A","Dates=H","DateFormat=P","Fill=—","Direction=H","UseDPDF=Y")</f>
        <v>-0.75</v>
      </c>
      <c r="I110" s="12">
        <f>_xll.BDH("T US Equity","DIGITAL_CABLE_SUBSCRIBER_ADDS","FY 2019","FY 2019","Currency=USD","Period=FY","BEST_FPERIOD_OVERRIDE=FY","FILING_STATUS=MR","Sort=A","Dates=H","DateFormat=P","Fill=—","Direction=H","UseDPDF=Y")</f>
        <v>-4.0949999999999998</v>
      </c>
      <c r="J110" s="12">
        <f>_xll.BDH("T US Equity","DIGITAL_CABLE_SUBSCRIBER_ADDS","FY 2020","FY 2020","Currency=USD","Period=FY","BEST_FPERIOD_OVERRIDE=FY","FILING_STATUS=MR","Sort=A","Dates=H","DateFormat=P","Fill=—","Direction=H","UseDPDF=Y")</f>
        <v>-3.262</v>
      </c>
      <c r="K110" s="12">
        <f>_xll.BDH("T US Equity","DIGITAL_CABLE_SUBSCRIBER_ADDS","FY 2021","FY 2021","Currency=USD","Period=FY","BEST_FPERIOD_OVERRIDE=FY","FILING_STATUS=MR","Sort=A","Dates=H","DateFormat=P","Fill=—","Direction=H","UseDPDF=Y")</f>
        <v>1.101</v>
      </c>
      <c r="L110" s="12">
        <f>_xll.BDH("T US Equity","DIGITAL_CABLE_SUBSCRIBER_ADDS","FY 2022","FY 2022","Currency=USD","Period=FY","BEST_FPERIOD_OVERRIDE=FY","FILING_STATUS=MR","Sort=A","Dates=H","DateFormat=P","Fill=—","Direction=H","UseDPDF=Y")</f>
        <v>1.054</v>
      </c>
    </row>
    <row r="111" spans="1:12">
      <c r="A111" s="10" t="s">
        <v>159</v>
      </c>
      <c r="B111" s="10" t="s">
        <v>160</v>
      </c>
      <c r="C111" s="12">
        <f>_xll.BDH("T US Equity","INTERNET_DATA_SUBSCRIBER_ADDS","FY 2013","FY 2013","Currency=USD","Period=FY","BEST_FPERIOD_OVERRIDE=FY","FILING_STATUS=MR","Sort=A","Dates=H","DateFormat=P","Fill=—","Direction=H","UseDPDF=Y")</f>
        <v>3.5000000000000003E-2</v>
      </c>
      <c r="D111" s="12">
        <f>_xll.BDH("T US Equity","INTERNET_DATA_SUBSCRIBER_ADDS","FY 2014","FY 2014","Currency=USD","Period=FY","BEST_FPERIOD_OVERRIDE=FY","FILING_STATUS=MR","Sort=A","Dates=H","DateFormat=P","Fill=—","Direction=H","UseDPDF=Y")</f>
        <v>1.0999999999999999E-2</v>
      </c>
      <c r="E111" s="12">
        <f>_xll.BDH("T US Equity","INTERNET_DATA_SUBSCRIBER_ADDS","FY 2015","FY 2015","Currency=USD","Period=FY","BEST_FPERIOD_OVERRIDE=FY","FILING_STATUS=MR","Sort=A","Dates=H","DateFormat=P","Fill=—","Direction=H","UseDPDF=Y")</f>
        <v>-0.157</v>
      </c>
      <c r="F111" s="12">
        <f>_xll.BDH("T US Equity","INTERNET_DATA_SUBSCRIBER_ADDS","FY 2016","FY 2016","Currency=USD","Period=FY","BEST_FPERIOD_OVERRIDE=FY","FILING_STATUS=MR","Sort=A","Dates=H","DateFormat=P","Fill=—","Direction=H","UseDPDF=Y")</f>
        <v>-0.107</v>
      </c>
      <c r="G111" s="12">
        <f>_xll.BDH("T US Equity","INTERNET_DATA_SUBSCRIBER_ADDS","FY 2017","FY 2017","Currency=USD","Period=FY","BEST_FPERIOD_OVERRIDE=FY","FILING_STATUS=MR","Sort=A","Dates=H","DateFormat=P","Fill=—","Direction=H","UseDPDF=Y")</f>
        <v>0.17100000000000001</v>
      </c>
      <c r="H111" s="12">
        <f>_xll.BDH("T US Equity","INTERNET_DATA_SUBSCRIBER_ADDS","FY 2018","FY 2018","Currency=USD","Period=FY","BEST_FPERIOD_OVERRIDE=FY","FILING_STATUS=MR","Sort=A","Dates=H","DateFormat=P","Fill=—","Direction=H","UseDPDF=Y")</f>
        <v>5.8999999999999997E-2</v>
      </c>
      <c r="I111" s="12">
        <f>_xll.BDH("T US Equity","INTERNET_DATA_SUBSCRIBER_ADDS","FY 2019","FY 2019","Currency=USD","Period=FY","BEST_FPERIOD_OVERRIDE=FY","FILING_STATUS=MR","Sort=A","Dates=H","DateFormat=P","Fill=—","Direction=H","UseDPDF=Y")</f>
        <v>-0.28999999999999998</v>
      </c>
      <c r="J111" s="12">
        <f>_xll.BDH("T US Equity","INTERNET_DATA_SUBSCRIBER_ADDS","FY 2020","FY 2020","Currency=USD","Period=FY","BEST_FPERIOD_OVERRIDE=FY","FILING_STATUS=MR","Sort=A","Dates=H","DateFormat=P","Fill=—","Direction=H","UseDPDF=Y")</f>
        <v>-1.9E-2</v>
      </c>
      <c r="K111" s="12">
        <f>_xll.BDH("T US Equity","INTERNET_DATA_SUBSCRIBER_ADDS","FY 2021","FY 2021","Currency=USD","Period=FY","BEST_FPERIOD_OVERRIDE=FY","FILING_STATUS=MR","Sort=A","Dates=H","DateFormat=P","Fill=—","Direction=H","UseDPDF=Y")</f>
        <v>0.06</v>
      </c>
      <c r="L111" s="12">
        <f>_xll.BDH("T US Equity","INTERNET_DATA_SUBSCRIBER_ADDS","FY 2022","FY 2022","Currency=USD","Period=FY","BEST_FPERIOD_OVERRIDE=FY","FILING_STATUS=MR","Sort=A","Dates=H","DateFormat=P","Fill=—","Direction=H","UseDPDF=Y")</f>
        <v>-0.16900000000000001</v>
      </c>
    </row>
    <row r="112" spans="1:12">
      <c r="A112" s="10" t="s">
        <v>161</v>
      </c>
      <c r="B112" s="10" t="s">
        <v>162</v>
      </c>
      <c r="C112" s="13" t="str">
        <f>_xll.BDH("T US Equity","INTERNET_DATA_ARPU","FY 2013","FY 2013","Currency=USD","Period=FY","BEST_FPERIOD_OVERRIDE=FY","FILING_STATUS=MR","Sort=A","Dates=H","DateFormat=P","Fill=—","Direction=H","UseDPDF=Y")</f>
        <v>—</v>
      </c>
      <c r="D112" s="13" t="str">
        <f>_xll.BDH("T US Equity","INTERNET_DATA_ARPU","FY 2014","FY 2014","Currency=USD","Period=FY","BEST_FPERIOD_OVERRIDE=FY","FILING_STATUS=MR","Sort=A","Dates=H","DateFormat=P","Fill=—","Direction=H","UseDPDF=Y")</f>
        <v>—</v>
      </c>
      <c r="E112" s="13" t="str">
        <f>_xll.BDH("T US Equity","INTERNET_DATA_ARPU","FY 2015","FY 2015","Currency=USD","Period=FY","BEST_FPERIOD_OVERRIDE=FY","FILING_STATUS=MR","Sort=A","Dates=H","DateFormat=P","Fill=—","Direction=H","UseDPDF=Y")</f>
        <v>—</v>
      </c>
      <c r="F112" s="13" t="str">
        <f>_xll.BDH("T US Equity","INTERNET_DATA_ARPU","FY 2016","FY 2016","Currency=USD","Period=FY","BEST_FPERIOD_OVERRIDE=FY","FILING_STATUS=MR","Sort=A","Dates=H","DateFormat=P","Fill=—","Direction=H","UseDPDF=Y")</f>
        <v>—</v>
      </c>
      <c r="G112" s="13">
        <f>_xll.BDH("T US Equity","INTERNET_DATA_ARPU","FY 2017","FY 2017","Currency=USD","Period=FY","BEST_FPERIOD_OVERRIDE=FY","FILING_STATUS=MR","Sort=A","Dates=H","DateFormat=P","Fill=—","Direction=H","UseDPDF=Y")</f>
        <v>61.4649</v>
      </c>
      <c r="H112" s="13">
        <f>_xll.BDH("T US Equity","INTERNET_DATA_ARPU","FY 2018","FY 2018","Currency=USD","Period=FY","BEST_FPERIOD_OVERRIDE=FY","FILING_STATUS=MR","Sort=A","Dates=H","DateFormat=P","Fill=—","Direction=H","UseDPDF=Y")</f>
        <v>63.61</v>
      </c>
      <c r="I112" s="13">
        <f>_xll.BDH("T US Equity","INTERNET_DATA_ARPU","FY 2019","FY 2019","Currency=USD","Period=FY","BEST_FPERIOD_OVERRIDE=FY","FILING_STATUS=MR","Sort=A","Dates=H","DateFormat=P","Fill=—","Direction=H","UseDPDF=Y")</f>
        <v>64.78</v>
      </c>
      <c r="J112" s="13">
        <f>_xll.BDH("T US Equity","INTERNET_DATA_ARPU","FY 2020","FY 2020","Currency=USD","Period=FY","BEST_FPERIOD_OVERRIDE=FY","FILING_STATUS=MR","Sort=A","Dates=H","DateFormat=P","Fill=—","Direction=H","UseDPDF=Y")</f>
        <v>63.52</v>
      </c>
      <c r="K112" s="13">
        <f>_xll.BDH("T US Equity","INTERNET_DATA_ARPU","FY 2021","FY 2021","Currency=USD","Period=FY","BEST_FPERIOD_OVERRIDE=FY","FILING_STATUS=MR","Sort=A","Dates=H","DateFormat=P","Fill=—","Direction=H","UseDPDF=Y")</f>
        <v>65.099999999999994</v>
      </c>
      <c r="L112" s="13">
        <f>_xll.BDH("T US Equity","INTERNET_DATA_ARPU","FY 2022","FY 2022","Currency=USD","Period=FY","BEST_FPERIOD_OVERRIDE=FY","FILING_STATUS=MR","Sort=A","Dates=H","DateFormat=P","Fill=—","Direction=H","UseDPDF=Y")</f>
        <v>67.989999999999995</v>
      </c>
    </row>
    <row r="113" spans="1:12">
      <c r="A113" s="7" t="s">
        <v>163</v>
      </c>
      <c r="B113" s="7"/>
      <c r="C113" s="7" t="s">
        <v>164</v>
      </c>
      <c r="D113" s="7"/>
      <c r="E113" s="7"/>
      <c r="F113" s="7"/>
      <c r="G113" s="7"/>
      <c r="H113" s="7"/>
      <c r="I113" s="7"/>
      <c r="J113" s="7"/>
      <c r="K113" s="7"/>
      <c r="L1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2023-12-04T19:58:02Z</dcterms:modified>
  <cp:category/>
  <cp:contentStatus/>
</cp:coreProperties>
</file>