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hm23424_bristol_ac_uk/Documents/"/>
    </mc:Choice>
  </mc:AlternateContent>
  <xr:revisionPtr revIDLastSave="0" documentId="8_{66439D0D-4649-47AE-8C47-2630565032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ecom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6" i="2" l="1"/>
  <c r="L52" i="2"/>
  <c r="H10" i="2"/>
  <c r="G30" i="2"/>
  <c r="K71" i="2"/>
  <c r="G85" i="2"/>
  <c r="E82" i="2"/>
  <c r="E68" i="2"/>
  <c r="C75" i="2"/>
  <c r="I78" i="2"/>
  <c r="E13" i="2"/>
  <c r="F25" i="2"/>
  <c r="K40" i="2"/>
  <c r="I21" i="2"/>
  <c r="D32" i="2"/>
  <c r="G42" i="2"/>
  <c r="F13" i="2"/>
  <c r="J9" i="2"/>
  <c r="I66" i="2"/>
  <c r="D8" i="2"/>
  <c r="L14" i="2"/>
  <c r="E39" i="2"/>
  <c r="L26" i="2"/>
  <c r="H16" i="2"/>
  <c r="D20" i="2"/>
  <c r="K59" i="2"/>
  <c r="J21" i="2"/>
  <c r="H30" i="2"/>
  <c r="J35" i="2"/>
  <c r="L40" i="2"/>
  <c r="H42" i="2"/>
  <c r="L59" i="2"/>
  <c r="F39" i="2"/>
  <c r="F68" i="2"/>
  <c r="L71" i="2"/>
  <c r="G82" i="2"/>
  <c r="D75" i="2"/>
  <c r="E75" i="2"/>
  <c r="F82" i="2"/>
  <c r="K78" i="2"/>
  <c r="J66" i="2"/>
  <c r="H85" i="2"/>
  <c r="J42" i="2"/>
  <c r="G68" i="2"/>
  <c r="J78" i="2"/>
  <c r="L78" i="2"/>
  <c r="H25" i="2"/>
  <c r="L66" i="2"/>
  <c r="I85" i="2"/>
  <c r="F75" i="2"/>
  <c r="C84" i="2"/>
  <c r="H68" i="2"/>
  <c r="H82" i="2"/>
  <c r="D72" i="2"/>
  <c r="D60" i="2"/>
  <c r="J85" i="2"/>
  <c r="D84" i="2"/>
  <c r="I82" i="2"/>
  <c r="E84" i="2"/>
  <c r="J56" i="2"/>
  <c r="J52" i="2"/>
  <c r="E10" i="2"/>
  <c r="D55" i="2"/>
  <c r="D49" i="2"/>
  <c r="K85" i="2"/>
  <c r="D67" i="2"/>
  <c r="J68" i="2"/>
  <c r="F72" i="2"/>
  <c r="F60" i="2"/>
  <c r="H75" i="2"/>
  <c r="F84" i="2"/>
  <c r="K13" i="2"/>
  <c r="K25" i="2"/>
  <c r="D81" i="2"/>
  <c r="J82" i="2"/>
  <c r="G8" i="2"/>
  <c r="G27" i="2"/>
  <c r="E32" i="2"/>
  <c r="L85" i="2"/>
  <c r="I20" i="2"/>
  <c r="L42" i="2"/>
  <c r="I8" i="2"/>
  <c r="L9" i="2"/>
  <c r="E22" i="2"/>
  <c r="C19" i="2"/>
  <c r="G72" i="2"/>
  <c r="G60" i="2"/>
  <c r="C31" i="2"/>
  <c r="G73" i="2"/>
  <c r="G61" i="2"/>
  <c r="G41" i="2"/>
  <c r="I32" i="2"/>
  <c r="E36" i="2"/>
  <c r="G15" i="2"/>
  <c r="K82" i="2"/>
  <c r="G16" i="2"/>
  <c r="C74" i="2"/>
  <c r="C62" i="2"/>
  <c r="E67" i="2"/>
  <c r="K68" i="2"/>
  <c r="G84" i="2"/>
  <c r="I75" i="2"/>
  <c r="E81" i="2"/>
  <c r="I16" i="2"/>
  <c r="I9" i="2"/>
  <c r="K39" i="2"/>
  <c r="C88" i="2"/>
  <c r="K26" i="2"/>
  <c r="J20" i="2"/>
  <c r="J16" i="2"/>
  <c r="K9" i="2"/>
  <c r="I25" i="2"/>
  <c r="H27" i="2"/>
  <c r="E15" i="2"/>
  <c r="I56" i="2"/>
  <c r="I52" i="2"/>
  <c r="J8" i="2"/>
  <c r="C36" i="2"/>
  <c r="I42" i="2"/>
  <c r="H84" i="2"/>
  <c r="J25" i="2"/>
  <c r="F22" i="2"/>
  <c r="I68" i="2"/>
  <c r="K21" i="2"/>
  <c r="L13" i="2"/>
  <c r="I30" i="2"/>
  <c r="J32" i="2"/>
  <c r="F20" i="2"/>
  <c r="H15" i="2"/>
  <c r="J75" i="2"/>
  <c r="F81" i="2"/>
  <c r="L39" i="2"/>
  <c r="D31" i="2"/>
  <c r="H73" i="2"/>
  <c r="H61" i="2"/>
  <c r="H41" i="2"/>
  <c r="F55" i="2"/>
  <c r="F49" i="2"/>
  <c r="L82" i="2"/>
  <c r="F36" i="2"/>
  <c r="H8" i="2"/>
  <c r="E27" i="2"/>
  <c r="D88" i="2"/>
  <c r="K42" i="2"/>
  <c r="D27" i="2"/>
  <c r="L25" i="2"/>
  <c r="K16" i="2"/>
  <c r="I39" i="2"/>
  <c r="F32" i="2"/>
  <c r="D36" i="2"/>
  <c r="J39" i="2"/>
  <c r="L16" i="2"/>
  <c r="H32" i="2"/>
  <c r="D19" i="2"/>
  <c r="F10" i="2"/>
  <c r="L68" i="2"/>
  <c r="D74" i="2"/>
  <c r="D62" i="2"/>
  <c r="F67" i="2"/>
  <c r="H72" i="2"/>
  <c r="H60" i="2"/>
  <c r="C14" i="2"/>
  <c r="G22" i="2"/>
  <c r="K32" i="2"/>
  <c r="G10" i="2"/>
  <c r="I15" i="2"/>
  <c r="K8" i="2"/>
  <c r="I27" i="2"/>
  <c r="F27" i="2"/>
  <c r="E19" i="2"/>
  <c r="C26" i="2"/>
  <c r="K20" i="2"/>
  <c r="J84" i="2"/>
  <c r="G67" i="2"/>
  <c r="K75" i="2"/>
  <c r="C55" i="2"/>
  <c r="C49" i="2"/>
  <c r="E88" i="2"/>
  <c r="E31" i="2"/>
  <c r="C59" i="2"/>
  <c r="F88" i="2"/>
  <c r="C71" i="2"/>
  <c r="J27" i="2"/>
  <c r="E74" i="2"/>
  <c r="E62" i="2"/>
  <c r="I72" i="2"/>
  <c r="I60" i="2"/>
  <c r="G36" i="2"/>
  <c r="L20" i="2"/>
  <c r="C40" i="2"/>
  <c r="G75" i="2"/>
  <c r="C67" i="2"/>
  <c r="F15" i="2"/>
  <c r="D14" i="2"/>
  <c r="L8" i="2"/>
  <c r="C9" i="2"/>
  <c r="J15" i="2"/>
  <c r="C35" i="2"/>
  <c r="C83" i="2"/>
  <c r="C63" i="2"/>
  <c r="C43" i="2"/>
  <c r="I84" i="2"/>
  <c r="J73" i="2"/>
  <c r="J61" i="2"/>
  <c r="J41" i="2"/>
  <c r="G81" i="2"/>
  <c r="D59" i="2"/>
  <c r="F74" i="2"/>
  <c r="F62" i="2"/>
  <c r="H67" i="2"/>
  <c r="D71" i="2"/>
  <c r="H55" i="2"/>
  <c r="H49" i="2"/>
  <c r="D83" i="2"/>
  <c r="D63" i="2"/>
  <c r="D43" i="2"/>
  <c r="G31" i="2"/>
  <c r="E40" i="2"/>
  <c r="L75" i="2"/>
  <c r="H36" i="2"/>
  <c r="I10" i="2"/>
  <c r="J72" i="2"/>
  <c r="J60" i="2"/>
  <c r="C21" i="2"/>
  <c r="E14" i="2"/>
  <c r="K15" i="2"/>
  <c r="K72" i="2"/>
  <c r="K60" i="2"/>
  <c r="G19" i="2"/>
  <c r="H81" i="2"/>
  <c r="I55" i="2"/>
  <c r="I49" i="2"/>
  <c r="K27" i="2"/>
  <c r="K73" i="2"/>
  <c r="K61" i="2"/>
  <c r="K41" i="2"/>
  <c r="I36" i="2"/>
  <c r="G74" i="2"/>
  <c r="G62" i="2"/>
  <c r="E59" i="2"/>
  <c r="E71" i="2"/>
  <c r="I22" i="2"/>
  <c r="F71" i="2"/>
  <c r="I67" i="2"/>
  <c r="E26" i="2"/>
  <c r="C78" i="2"/>
  <c r="D9" i="2"/>
  <c r="L30" i="2"/>
  <c r="G88" i="2"/>
  <c r="I81" i="2"/>
  <c r="J36" i="2"/>
  <c r="L15" i="2"/>
  <c r="G13" i="2"/>
  <c r="D66" i="2"/>
  <c r="J10" i="2"/>
  <c r="C66" i="2"/>
  <c r="F26" i="2"/>
  <c r="J22" i="2"/>
  <c r="J55" i="2"/>
  <c r="J49" i="2"/>
  <c r="H31" i="2"/>
  <c r="D10" i="2"/>
  <c r="D21" i="2"/>
  <c r="D35" i="2"/>
  <c r="L27" i="2"/>
  <c r="L73" i="2"/>
  <c r="L61" i="2"/>
  <c r="L41" i="2"/>
  <c r="F59" i="2"/>
  <c r="K84" i="2"/>
  <c r="F40" i="2"/>
  <c r="L72" i="2"/>
  <c r="L60" i="2"/>
  <c r="I14" i="2"/>
  <c r="F14" i="2"/>
  <c r="I88" i="2"/>
  <c r="J67" i="2"/>
  <c r="K22" i="2"/>
  <c r="H19" i="2"/>
  <c r="H74" i="2"/>
  <c r="H62" i="2"/>
  <c r="D78" i="2"/>
  <c r="J81" i="2"/>
  <c r="C20" i="2"/>
  <c r="C22" i="2"/>
  <c r="L84" i="2"/>
  <c r="F8" i="2"/>
  <c r="H88" i="2"/>
  <c r="F83" i="2"/>
  <c r="F63" i="2"/>
  <c r="F43" i="2"/>
  <c r="D15" i="2"/>
  <c r="C32" i="2"/>
  <c r="K30" i="2"/>
  <c r="E55" i="2"/>
  <c r="E49" i="2"/>
  <c r="I73" i="2"/>
  <c r="I61" i="2"/>
  <c r="I41" i="2"/>
  <c r="H39" i="2"/>
  <c r="G20" i="2"/>
  <c r="H22" i="2"/>
  <c r="L35" i="2"/>
  <c r="G55" i="2"/>
  <c r="G49" i="2"/>
  <c r="H20" i="2"/>
  <c r="C81" i="2"/>
  <c r="J13" i="2"/>
  <c r="F31" i="2"/>
  <c r="F19" i="2"/>
  <c r="K10" i="2"/>
  <c r="D40" i="2"/>
  <c r="J30" i="2"/>
  <c r="C16" i="2"/>
  <c r="E21" i="2"/>
  <c r="L32" i="2"/>
  <c r="G71" i="2"/>
  <c r="E20" i="2"/>
  <c r="E8" i="2"/>
  <c r="K55" i="2"/>
  <c r="K49" i="2"/>
  <c r="I31" i="2"/>
  <c r="G26" i="2"/>
  <c r="E56" i="2"/>
  <c r="E52" i="2"/>
  <c r="G83" i="2"/>
  <c r="G63" i="2"/>
  <c r="G43" i="2"/>
  <c r="E66" i="2"/>
  <c r="K81" i="2"/>
  <c r="C85" i="2"/>
  <c r="D26" i="2"/>
  <c r="C73" i="2"/>
  <c r="C61" i="2"/>
  <c r="C41" i="2"/>
  <c r="C10" i="2"/>
  <c r="E72" i="2"/>
  <c r="E60" i="2"/>
  <c r="K35" i="2"/>
  <c r="I19" i="2"/>
  <c r="C72" i="2"/>
  <c r="C60" i="2"/>
  <c r="I13" i="2"/>
  <c r="E73" i="2"/>
  <c r="E61" i="2"/>
  <c r="E41" i="2"/>
  <c r="G32" i="2"/>
  <c r="C30" i="2"/>
  <c r="J31" i="2"/>
  <c r="G40" i="2"/>
  <c r="G25" i="2"/>
  <c r="L10" i="2"/>
  <c r="E83" i="2"/>
  <c r="E63" i="2"/>
  <c r="E43" i="2"/>
  <c r="D22" i="2"/>
  <c r="E9" i="2"/>
  <c r="G14" i="2"/>
  <c r="H14" i="2"/>
  <c r="L22" i="2"/>
  <c r="E78" i="2"/>
  <c r="C15" i="2"/>
  <c r="I74" i="2"/>
  <c r="I62" i="2"/>
  <c r="J19" i="2"/>
  <c r="D16" i="2"/>
  <c r="D73" i="2"/>
  <c r="D61" i="2"/>
  <c r="D41" i="2"/>
  <c r="K67" i="2"/>
  <c r="F9" i="2"/>
  <c r="G59" i="2"/>
  <c r="E35" i="2"/>
  <c r="F30" i="2"/>
  <c r="K74" i="2"/>
  <c r="K62" i="2"/>
  <c r="K36" i="2"/>
  <c r="F21" i="2"/>
  <c r="C42" i="2"/>
  <c r="F35" i="2"/>
  <c r="G78" i="2"/>
  <c r="H26" i="2"/>
  <c r="F56" i="2"/>
  <c r="F52" i="2"/>
  <c r="D42" i="2"/>
  <c r="L55" i="2"/>
  <c r="L49" i="2"/>
  <c r="H59" i="2"/>
  <c r="H40" i="2"/>
  <c r="L36" i="2"/>
  <c r="J74" i="2"/>
  <c r="J62" i="2"/>
  <c r="H83" i="2"/>
  <c r="H63" i="2"/>
  <c r="H43" i="2"/>
  <c r="J88" i="2"/>
  <c r="G39" i="2"/>
  <c r="F66" i="2"/>
  <c r="H71" i="2"/>
  <c r="F78" i="2"/>
  <c r="H13" i="2"/>
  <c r="L67" i="2"/>
  <c r="D85" i="2"/>
  <c r="H21" i="2"/>
  <c r="L81" i="2"/>
  <c r="D30" i="2"/>
  <c r="K31" i="2"/>
  <c r="K14" i="2"/>
  <c r="E85" i="2"/>
  <c r="I71" i="2"/>
  <c r="E25" i="2"/>
  <c r="K88" i="2"/>
  <c r="C27" i="2"/>
  <c r="C8" i="2"/>
  <c r="G56" i="2"/>
  <c r="G52" i="2"/>
  <c r="C13" i="2"/>
  <c r="G35" i="2"/>
  <c r="C82" i="2"/>
  <c r="I35" i="2"/>
  <c r="I83" i="2"/>
  <c r="I63" i="2"/>
  <c r="I43" i="2"/>
  <c r="K83" i="2"/>
  <c r="K63" i="2"/>
  <c r="K43" i="2"/>
  <c r="C25" i="2"/>
  <c r="C39" i="2"/>
  <c r="L31" i="2"/>
  <c r="I26" i="2"/>
  <c r="E42" i="2"/>
  <c r="L21" i="2"/>
  <c r="K56" i="2"/>
  <c r="K52" i="2"/>
  <c r="E16" i="2"/>
  <c r="E30" i="2"/>
  <c r="K66" i="2"/>
  <c r="G21" i="2"/>
  <c r="I59" i="2"/>
  <c r="G9" i="2"/>
  <c r="H78" i="2"/>
  <c r="L19" i="2"/>
  <c r="D39" i="2"/>
  <c r="H9" i="2"/>
  <c r="H35" i="2"/>
  <c r="J14" i="2"/>
  <c r="F73" i="2"/>
  <c r="F61" i="2"/>
  <c r="F41" i="2"/>
  <c r="I40" i="2"/>
  <c r="J59" i="2"/>
  <c r="D56" i="2"/>
  <c r="D52" i="2"/>
  <c r="K19" i="2"/>
  <c r="C68" i="2"/>
  <c r="F85" i="2"/>
  <c r="D82" i="2"/>
  <c r="H56" i="2"/>
  <c r="H52" i="2"/>
  <c r="D25" i="2"/>
  <c r="C56" i="2"/>
  <c r="C52" i="2"/>
  <c r="L83" i="2"/>
  <c r="L63" i="2"/>
  <c r="L43" i="2"/>
  <c r="D13" i="2"/>
  <c r="F16" i="2"/>
  <c r="J71" i="2"/>
  <c r="J83" i="2"/>
  <c r="J63" i="2"/>
  <c r="J43" i="2"/>
  <c r="G66" i="2"/>
  <c r="L74" i="2"/>
  <c r="L62" i="2"/>
  <c r="F42" i="2"/>
  <c r="H66" i="2"/>
  <c r="J26" i="2"/>
  <c r="J40" i="2"/>
  <c r="L88" i="2"/>
  <c r="D68" i="2"/>
</calcChain>
</file>

<file path=xl/sharedStrings.xml><?xml version="1.0" encoding="utf-8"?>
<sst xmlns="http://schemas.openxmlformats.org/spreadsheetml/2006/main" count="140" uniqueCount="121">
  <si>
    <t>T-Mobile US Inc (TMUS US) - Telecom</t>
  </si>
  <si>
    <t>In Millions of USD except Per Share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</si>
  <si>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</si>
  <si>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</si>
  <si>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</si>
  <si>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</si>
  <si>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</si>
  <si>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</si>
  <si>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</si>
  <si>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</si>
  <si>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</si>
  <si>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</si>
  <si>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12 Months Ending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</si>
  <si>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</si>
  <si>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</si>
  <si>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</si>
  <si>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</si>
  <si>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</si>
  <si>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</si>
  <si>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</si>
  <si>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</si>
  <si>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</si>
  <si>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</si>
  <si>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Wireless</t>
  </si>
  <si>
    <t>Revenues</t>
  </si>
  <si>
    <t>Wireless Revenue</t>
  </si>
  <si>
    <t>WIRELESS_REVENUE</t>
  </si>
  <si>
    <t>Wireless Service Revenue</t>
  </si>
  <si>
    <t>CELLULAR_SERVICE_REVENUE</t>
  </si>
  <si>
    <t>Wireless Equipment Revenue</t>
  </si>
  <si>
    <t>EQUIP_REVENUES_CELLULAR_TELECOM</t>
  </si>
  <si>
    <t>Subscribers</t>
  </si>
  <si>
    <t>Total Wireless Subscribers (RGU)</t>
  </si>
  <si>
    <t>NUMBER_OF_CELLULAR_SUBSCRIBERS</t>
  </si>
  <si>
    <t>Wireless Subscribers-Postpaid</t>
  </si>
  <si>
    <t>TOTAL_WIRELESS_SUBSCRIBERS_PPD</t>
  </si>
  <si>
    <t>Wireless Subscribers-Prepaid</t>
  </si>
  <si>
    <t>TOTAL_WIRELESS_SUBSCRIBERS_PREPD</t>
  </si>
  <si>
    <t>Average Wireless Subscribers</t>
  </si>
  <si>
    <t>AVERAGE_WIRELESS_SUBSCRIBERS</t>
  </si>
  <si>
    <t>Subscriber Additions</t>
  </si>
  <si>
    <t>Wireless Subscriber Additions</t>
  </si>
  <si>
    <t>CELLULAR_NET_SUBSCRIBER_ADDITION</t>
  </si>
  <si>
    <t>Organic Net Additions</t>
  </si>
  <si>
    <t>ORGANIC_NET_ADDS</t>
  </si>
  <si>
    <t>Net Wireless Additions-Postpaid</t>
  </si>
  <si>
    <t>NET_WIRELESS_SUBSCRIBER_ADDS_PPD</t>
  </si>
  <si>
    <t>Net Wireless Additions-Prepaid</t>
  </si>
  <si>
    <t>NET_WIRELESS_SUBSCR_ADDS_PREPD</t>
  </si>
  <si>
    <t>Churn (%)</t>
  </si>
  <si>
    <t>Blended</t>
  </si>
  <si>
    <t>TELECOM_CELLULAR_CHURN_RATE</t>
  </si>
  <si>
    <t>Postpaid</t>
  </si>
  <si>
    <t>WIRELESS_POSTPAID_CHURN</t>
  </si>
  <si>
    <t>Prepaid</t>
  </si>
  <si>
    <t>PREPAID_CHURN_RATE</t>
  </si>
  <si>
    <t>Monthly Average Revenue per User</t>
  </si>
  <si>
    <t>Wireless Average Revenue Per Unit (ARPU)</t>
  </si>
  <si>
    <t>AVG_REVENUE_PER_CELL_SUBSCRIBER</t>
  </si>
  <si>
    <t>Postpaid ARPU</t>
  </si>
  <si>
    <t>POSTPAID_ARPU</t>
  </si>
  <si>
    <t>Prepaid Average Revenue per User</t>
  </si>
  <si>
    <t>PREPAID_ARPU</t>
  </si>
  <si>
    <t>Other Data</t>
  </si>
  <si>
    <t>Wireless Subscriber Acquisition Cost (SAC)</t>
  </si>
  <si>
    <t>WIRELESS_SUBSCRIBER_ACQ_COST</t>
  </si>
  <si>
    <t>Connected Device Subscribers</t>
  </si>
  <si>
    <t>CONNECTED_DEVICE_SUBSCRIBERS</t>
  </si>
  <si>
    <t>Financial Data</t>
  </si>
  <si>
    <t>Wireless Cost Of Service</t>
  </si>
  <si>
    <t>COST_OF_SERVICE_CELLULAR_TELECOM</t>
  </si>
  <si>
    <t>Wireless Cost Of Equipment</t>
  </si>
  <si>
    <t>COST_OF_EQUIPMENT_CELLULAR_TELEC</t>
  </si>
  <si>
    <t>EBITDA</t>
  </si>
  <si>
    <t>Operating Income</t>
  </si>
  <si>
    <t>ARD_OPERATING_INCOME</t>
  </si>
  <si>
    <t>Capital Expenditures/Prop Add</t>
  </si>
  <si>
    <t>CF_CAP_EXPEND_PRPTY_ADD</t>
  </si>
  <si>
    <t>Wireline</t>
  </si>
  <si>
    <t>Broadband Internet Subscribers</t>
  </si>
  <si>
    <t>BROADBAND_HSI_SUBSCRIBERS</t>
  </si>
  <si>
    <t>Broadband Net Subscriber Adds</t>
  </si>
  <si>
    <t>BROADBAND_HSI_NET_SUBSCRIB_ADDS</t>
  </si>
  <si>
    <t>IPTV &amp; Broadband</t>
  </si>
  <si>
    <t>Broadband/High Speed Internet Subscribers</t>
  </si>
  <si>
    <t>Broadband/High Speed Internet Net Subscriber Adds</t>
  </si>
  <si>
    <t>Cost of Revenue</t>
  </si>
  <si>
    <t>IS_COGS_TO_FE_AND_PP_AND_G</t>
  </si>
  <si>
    <t>Gross Profit</t>
  </si>
  <si>
    <t>GROSS_PROFIT</t>
  </si>
  <si>
    <t>Operating Income or Losses</t>
  </si>
  <si>
    <t>IS_OPER_INC</t>
  </si>
  <si>
    <t>Financial Margins</t>
  </si>
  <si>
    <t>Gross Margin</t>
  </si>
  <si>
    <t>GROSS_MARGIN</t>
  </si>
  <si>
    <t>EBITDA Margin</t>
  </si>
  <si>
    <t>EBITDA_TO_REVENUE</t>
  </si>
  <si>
    <t>Operating Margin</t>
  </si>
  <si>
    <t>OPER_MARGIN</t>
  </si>
  <si>
    <t>Aggregate</t>
  </si>
  <si>
    <t>Revenue</t>
  </si>
  <si>
    <t>SALES_REV_TURN</t>
  </si>
  <si>
    <t>Normalized Income</t>
  </si>
  <si>
    <t>NORMALIZED_INCOME</t>
  </si>
  <si>
    <t>Dividends</t>
  </si>
  <si>
    <t>Dividends per Share</t>
  </si>
  <si>
    <t>EQY_DPS</t>
  </si>
  <si>
    <t>Cash Flows</t>
  </si>
  <si>
    <t>Working Capital</t>
  </si>
  <si>
    <t>WORKING_CAPITAL</t>
  </si>
  <si>
    <t>Cash From Operations</t>
  </si>
  <si>
    <t>CF_CASH_FROM_OPER</t>
  </si>
  <si>
    <t>Free Cash Flow</t>
  </si>
  <si>
    <t>CF_FREE_CASH_FLOW</t>
  </si>
  <si>
    <t>Free Cash Flow/Diluted Share</t>
  </si>
  <si>
    <t>FCF_PER_DIL_SHR</t>
  </si>
  <si>
    <t>Other</t>
  </si>
  <si>
    <t>Total Monthly Churn Rate</t>
  </si>
  <si>
    <t>TOTAL_MONTHLY_CHURN_RATE</t>
  </si>
  <si>
    <t>Source: Bloomberg</t>
  </si>
  <si>
    <t>Right click to show data transparency (not supported for all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</si>
</sst>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5">
    <xf numFmtId="0" fontId="0" fillId="0" borderId="0" xfId="0"/>
    <xf numFmtId="0" fontId="2" fillId="33" borderId="0" xfId="26"/>
    <xf numFmtId="0" fontId="5" fillId="34" borderId="0" xfId="31">
      <alignment horizontal="center"/>
    </xf>
    <xf numFmtId="0" fontId="6" fillId="33" borderId="3" xfId="33">
      <alignment horizontal="left"/>
    </xf>
    <xf numFmtId="0" fontId="6" fillId="33" borderId="3" xfId="32">
      <alignment horizontal="right"/>
    </xf>
    <xf numFmtId="0" fontId="6" fillId="33" borderId="1" xfId="30">
      <alignment horizontal="right"/>
    </xf>
    <xf numFmtId="0" fontId="7" fillId="34" borderId="5" xfId="35"/>
    <xf numFmtId="0" fontId="9" fillId="35" borderId="4" xfId="34"/>
    <xf numFmtId="0" fontId="4" fillId="33" borderId="15" xfId="50">
      <alignment horizontal="left" vertical="center" readingOrder="1"/>
    </xf>
    <xf numFmtId="0" fontId="6" fillId="33" borderId="1" xfId="51">
      <alignment horizontal="left"/>
    </xf>
    <xf numFmtId="0" fontId="3" fillId="34" borderId="5" xfId="36" applyFont="1"/>
    <xf numFmtId="3" fontId="1" fillId="34" borderId="2" xfId="52">
      <alignment horizontal="right"/>
    </xf>
    <xf numFmtId="164" fontId="1" fillId="34" borderId="2" xfId="53">
      <alignment horizontal="right"/>
    </xf>
    <xf numFmtId="4" fontId="1" fillId="34" borderId="2" xfId="54">
      <alignment horizontal="right"/>
    </xf>
    <xf numFmtId="3" fontId="7" fillId="34" borderId="2" xfId="55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5" xr:uid="{00000000-0005-0000-0000-000023000000}"/>
    <cellStyle name="fa_data_standard_0_grouped" xfId="52" xr:uid="{00000000-0005-0000-0000-000024000000}"/>
    <cellStyle name="fa_data_standard_1_grouped" xfId="53" xr:uid="{00000000-0005-0000-0000-000025000000}"/>
    <cellStyle name="fa_data_standard_2_grouped" xfId="54" xr:uid="{00000000-0005-0000-0000-000026000000}"/>
    <cellStyle name="fa_footer_italic" xfId="34" xr:uid="{00000000-0005-0000-0000-000027000000}"/>
    <cellStyle name="fa_row_header_bold" xfId="35" xr:uid="{00000000-0005-0000-0000-000028000000}"/>
    <cellStyle name="fa_row_header_standard" xfId="36" xr:uid="{00000000-0005-0000-0000-000029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/>
  </sheetViews>
  <sheetFormatPr defaultRowHeight="15"/>
  <cols>
    <col min="1" max="1" width="35.140625" customWidth="1"/>
    <col min="2" max="2" width="0" hidden="1" customWidth="1"/>
    <col min="3" max="12" width="11.8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>
      <c r="A6" s="6" t="s">
        <v>23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6" t="s">
        <v>24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0" t="s">
        <v>25</v>
      </c>
      <c r="B8" s="10" t="s">
        <v>26</v>
      </c>
      <c r="C8" s="12">
        <f>_xll.BDH("TMUS US Equity","WIRELESS_REVENUE","FY 2013","FY 2013","Currency=USD","Period=FY","BEST_FPERIOD_OVERRIDE=FY","FILING_STATUS=MR","SCALING_FORMAT=MLN","Sort=A","Dates=H","DateFormat=P","Fill=—","Direction=H","UseDPDF=Y")</f>
        <v>24420</v>
      </c>
      <c r="D8" s="12">
        <f>_xll.BDH("TMUS US Equity","WIRELESS_REVENUE","FY 2014","FY 2014","Currency=USD","Period=FY","BEST_FPERIOD_OVERRIDE=FY","FILING_STATUS=MR","SCALING_FORMAT=MLN","Sort=A","Dates=H","DateFormat=P","Fill=—","Direction=H","UseDPDF=Y")</f>
        <v>29564</v>
      </c>
      <c r="E8" s="12">
        <f>_xll.BDH("TMUS US Equity","WIRELESS_REVENUE","FY 2015","FY 2015","Currency=USD","Period=FY","BEST_FPERIOD_OVERRIDE=FY","FILING_STATUS=MR","SCALING_FORMAT=MLN","Sort=A","Dates=H","DateFormat=P","Fill=—","Direction=H","UseDPDF=Y")</f>
        <v>32053</v>
      </c>
      <c r="F8" s="12">
        <f>_xll.BDH("TMUS US Equity","WIRELESS_REVENUE","FY 2016","FY 2016","Currency=USD","Period=FY","BEST_FPERIOD_OVERRIDE=FY","FILING_STATUS=MR","SCALING_FORMAT=MLN","Sort=A","Dates=H","DateFormat=P","Fill=—","Direction=H","UseDPDF=Y")</f>
        <v>37242</v>
      </c>
      <c r="G8" s="12">
        <f>_xll.BDH("TMUS US Equity","WIRELESS_REVENUE","FY 2017","FY 2017","Currency=USD","Period=FY","BEST_FPERIOD_OVERRIDE=FY","FILING_STATUS=MR","SCALING_FORMAT=MLN","Sort=A","Dates=H","DateFormat=P","Fill=—","Direction=H","UseDPDF=Y")</f>
        <v>40604</v>
      </c>
      <c r="H8" s="12">
        <f>_xll.BDH("TMUS US Equity","WIRELESS_REVENUE","FY 2018","FY 2018","Currency=USD","Period=FY","BEST_FPERIOD_OVERRIDE=FY","FILING_STATUS=MR","SCALING_FORMAT=MLN","Sort=A","Dates=H","DateFormat=P","Fill=—","Direction=H","UseDPDF=Y")</f>
        <v>43310</v>
      </c>
      <c r="I8" s="12">
        <f>_xll.BDH("TMUS US Equity","WIRELESS_REVENUE","FY 2019","FY 2019","Currency=USD","Period=FY","BEST_FPERIOD_OVERRIDE=FY","FILING_STATUS=MR","SCALING_FORMAT=MLN","Sort=A","Dates=H","DateFormat=P","Fill=—","Direction=H","UseDPDF=Y")</f>
        <v>44998</v>
      </c>
      <c r="J8" s="12">
        <f>_xll.BDH("TMUS US Equity","WIRELESS_REVENUE","FY 2020","FY 2020","Currency=USD","Period=FY","BEST_FPERIOD_OVERRIDE=FY","FILING_STATUS=MR","SCALING_FORMAT=MLN","Sort=A","Dates=H","DateFormat=P","Fill=—","Direction=H","UseDPDF=Y")</f>
        <v>68397</v>
      </c>
      <c r="K8" s="12">
        <f>_xll.BDH("TMUS US Equity","WIRELESS_REVENUE","FY 2021","FY 2021","Currency=USD","Period=FY","BEST_FPERIOD_OVERRIDE=FY","FILING_STATUS=MR","SCALING_FORMAT=MLN","Sort=A","Dates=H","DateFormat=P","Fill=—","Direction=H","UseDPDF=Y")</f>
        <v>80118</v>
      </c>
      <c r="L8" s="12">
        <f>_xll.BDH("TMUS US Equity","WIRELESS_REVENUE","FY 2022","FY 2022","Currency=USD","Period=FY","BEST_FPERIOD_OVERRIDE=FY","FILING_STATUS=MR","SCALING_FORMAT=MLN","Sort=A","Dates=H","DateFormat=P","Fill=—","Direction=H","UseDPDF=Y")</f>
        <v>79571</v>
      </c>
    </row>
    <row r="9" spans="1:12">
      <c r="A9" s="10" t="s">
        <v>27</v>
      </c>
      <c r="B9" s="10" t="s">
        <v>28</v>
      </c>
      <c r="C9" s="12">
        <f>_xll.BDH("TMUS US Equity","CELLULAR_SERVICE_REVENUE","FY 2013","FY 2013","Currency=USD","Period=FY","BEST_FPERIOD_OVERRIDE=FY","FILING_STATUS=MR","SCALING_FORMAT=MLN","Sort=A","Dates=H","DateFormat=P","Fill=—","Direction=H","UseDPDF=Y")</f>
        <v>19068</v>
      </c>
      <c r="D9" s="12">
        <f>_xll.BDH("TMUS US Equity","CELLULAR_SERVICE_REVENUE","FY 2014","FY 2014","Currency=USD","Period=FY","BEST_FPERIOD_OVERRIDE=FY","FILING_STATUS=MR","SCALING_FORMAT=MLN","Sort=A","Dates=H","DateFormat=P","Fill=—","Direction=H","UseDPDF=Y")</f>
        <v>22375</v>
      </c>
      <c r="E9" s="12">
        <f>_xll.BDH("TMUS US Equity","CELLULAR_SERVICE_REVENUE","FY 2015","FY 2015","Currency=USD","Period=FY","BEST_FPERIOD_OVERRIDE=FY","FILING_STATUS=MR","SCALING_FORMAT=MLN","Sort=A","Dates=H","DateFormat=P","Fill=—","Direction=H","UseDPDF=Y")</f>
        <v>24821</v>
      </c>
      <c r="F9" s="12">
        <f>_xll.BDH("TMUS US Equity","CELLULAR_SERVICE_REVENUE","FY 2016","FY 2016","Currency=USD","Period=FY","BEST_FPERIOD_OVERRIDE=FY","FILING_STATUS=MR","SCALING_FORMAT=MLN","Sort=A","Dates=H","DateFormat=P","Fill=—","Direction=H","UseDPDF=Y")</f>
        <v>27844</v>
      </c>
      <c r="G9" s="12">
        <f>_xll.BDH("TMUS US Equity","CELLULAR_SERVICE_REVENUE","FY 2017","FY 2017","Currency=USD","Period=FY","BEST_FPERIOD_OVERRIDE=FY","FILING_STATUS=MR","SCALING_FORMAT=MLN","Sort=A","Dates=H","DateFormat=P","Fill=—","Direction=H","UseDPDF=Y")</f>
        <v>30160</v>
      </c>
      <c r="H9" s="12">
        <f>_xll.BDH("TMUS US Equity","CELLULAR_SERVICE_REVENUE","FY 2018","FY 2018","Currency=USD","Period=FY","BEST_FPERIOD_OVERRIDE=FY","FILING_STATUS=MR","SCALING_FORMAT=MLN","Sort=A","Dates=H","DateFormat=P","Fill=—","Direction=H","UseDPDF=Y")</f>
        <v>31992</v>
      </c>
      <c r="I9" s="12">
        <f>_xll.BDH("TMUS US Equity","CELLULAR_SERVICE_REVENUE","FY 2019","FY 2019","Currency=USD","Period=FY","BEST_FPERIOD_OVERRIDE=FY","FILING_STATUS=MR","SCALING_FORMAT=MLN","Sort=A","Dates=H","DateFormat=P","Fill=—","Direction=H","UseDPDF=Y")</f>
        <v>33994</v>
      </c>
      <c r="J9" s="12">
        <f>_xll.BDH("TMUS US Equity","CELLULAR_SERVICE_REVENUE","FY 2020","FY 2020","Currency=USD","Period=FY","BEST_FPERIOD_OVERRIDE=FY","FILING_STATUS=MR","SCALING_FORMAT=MLN","Sort=A","Dates=H","DateFormat=P","Fill=—","Direction=H","UseDPDF=Y")</f>
        <v>50395</v>
      </c>
      <c r="K9" s="12">
        <f>_xll.BDH("TMUS US Equity","CELLULAR_SERVICE_REVENUE","FY 2021","FY 2021","Currency=USD","Period=FY","BEST_FPERIOD_OVERRIDE=FY","FILING_STATUS=MR","SCALING_FORMAT=MLN","Sort=A","Dates=H","DateFormat=P","Fill=—","Direction=H","UseDPDF=Y")</f>
        <v>58369</v>
      </c>
      <c r="L9" s="12">
        <f>_xll.BDH("TMUS US Equity","CELLULAR_SERVICE_REVENUE","FY 2022","FY 2022","Currency=USD","Period=FY","BEST_FPERIOD_OVERRIDE=FY","FILING_STATUS=MR","SCALING_FORMAT=MLN","Sort=A","Dates=H","DateFormat=P","Fill=—","Direction=H","UseDPDF=Y")</f>
        <v>61323</v>
      </c>
    </row>
    <row r="10" spans="1:12">
      <c r="A10" s="10" t="s">
        <v>29</v>
      </c>
      <c r="B10" s="10" t="s">
        <v>30</v>
      </c>
      <c r="C10" s="12">
        <f>_xll.BDH("TMUS US Equity","EQUIP_REVENUES_CELLULAR_TELECOM","FY 2013","FY 2013","Currency=USD","Period=FY","BEST_FPERIOD_OVERRIDE=FY","FILING_STATUS=MR","SCALING_FORMAT=MLN","Sort=A","Dates=H","DateFormat=P","Fill=—","Direction=H","UseDPDF=Y")</f>
        <v>5033</v>
      </c>
      <c r="D10" s="12">
        <f>_xll.BDH("TMUS US Equity","EQUIP_REVENUES_CELLULAR_TELECOM","FY 2014","FY 2014","Currency=USD","Period=FY","BEST_FPERIOD_OVERRIDE=FY","FILING_STATUS=MR","SCALING_FORMAT=MLN","Sort=A","Dates=H","DateFormat=P","Fill=—","Direction=H","UseDPDF=Y")</f>
        <v>6789</v>
      </c>
      <c r="E10" s="12">
        <f>_xll.BDH("TMUS US Equity","EQUIP_REVENUES_CELLULAR_TELECOM","FY 2015","FY 2015","Currency=USD","Period=FY","BEST_FPERIOD_OVERRIDE=FY","FILING_STATUS=MR","SCALING_FORMAT=MLN","Sort=A","Dates=H","DateFormat=P","Fill=—","Direction=H","UseDPDF=Y")</f>
        <v>6718</v>
      </c>
      <c r="F10" s="12">
        <f>_xll.BDH("TMUS US Equity","EQUIP_REVENUES_CELLULAR_TELECOM","FY 2016","FY 2016","Currency=USD","Period=FY","BEST_FPERIOD_OVERRIDE=FY","FILING_STATUS=MR","SCALING_FORMAT=MLN","Sort=A","Dates=H","DateFormat=P","Fill=—","Direction=H","UseDPDF=Y")</f>
        <v>8727</v>
      </c>
      <c r="G10" s="12">
        <f>_xll.BDH("TMUS US Equity","EQUIP_REVENUES_CELLULAR_TELECOM","FY 2017","FY 2017","Currency=USD","Period=FY","BEST_FPERIOD_OVERRIDE=FY","FILING_STATUS=MR","SCALING_FORMAT=MLN","Sort=A","Dates=H","DateFormat=P","Fill=—","Direction=H","UseDPDF=Y")</f>
        <v>9375</v>
      </c>
      <c r="H10" s="12">
        <f>_xll.BDH("TMUS US Equity","EQUIP_REVENUES_CELLULAR_TELECOM","FY 2018","FY 2018","Currency=USD","Period=FY","BEST_FPERIOD_OVERRIDE=FY","FILING_STATUS=MR","SCALING_FORMAT=MLN","Sort=A","Dates=H","DateFormat=P","Fill=—","Direction=H","UseDPDF=Y")</f>
        <v>10009</v>
      </c>
      <c r="I10" s="12">
        <f>_xll.BDH("TMUS US Equity","EQUIP_REVENUES_CELLULAR_TELECOM","FY 2019","FY 2019","Currency=USD","Period=FY","BEST_FPERIOD_OVERRIDE=FY","FILING_STATUS=MR","SCALING_FORMAT=MLN","Sort=A","Dates=H","DateFormat=P","Fill=—","Direction=H","UseDPDF=Y")</f>
        <v>9840</v>
      </c>
      <c r="J10" s="12">
        <f>_xll.BDH("TMUS US Equity","EQUIP_REVENUES_CELLULAR_TELECOM","FY 2020","FY 2020","Currency=USD","Period=FY","BEST_FPERIOD_OVERRIDE=FY","FILING_STATUS=MR","SCALING_FORMAT=MLN","Sort=A","Dates=H","DateFormat=P","Fill=—","Direction=H","UseDPDF=Y")</f>
        <v>17312</v>
      </c>
      <c r="K10" s="12">
        <f>_xll.BDH("TMUS US Equity","EQUIP_REVENUES_CELLULAR_TELECOM","FY 2021","FY 2021","Currency=USD","Period=FY","BEST_FPERIOD_OVERRIDE=FY","FILING_STATUS=MR","SCALING_FORMAT=MLN","Sort=A","Dates=H","DateFormat=P","Fill=—","Direction=H","UseDPDF=Y")</f>
        <v>20727</v>
      </c>
      <c r="L10" s="12">
        <f>_xll.BDH("TMUS US Equity","EQUIP_REVENUES_CELLULAR_TELECOM","FY 2022","FY 2022","Currency=USD","Period=FY","BEST_FPERIOD_OVERRIDE=FY","FILING_STATUS=MR","SCALING_FORMAT=MLN","Sort=A","Dates=H","DateFormat=P","Fill=—","Direction=H","UseDPDF=Y")</f>
        <v>17130</v>
      </c>
    </row>
    <row r="11" spans="1:12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>
      <c r="A12" s="6" t="s">
        <v>31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>
      <c r="A13" s="10" t="s">
        <v>32</v>
      </c>
      <c r="B13" s="10" t="s">
        <v>33</v>
      </c>
      <c r="C13" s="12">
        <f>_xll.BDH("TMUS US Equity","NUMBER_OF_CELLULAR_SUBSCRIBERS","FY 2013","FY 2013","Currency=USD","Period=FY","BEST_FPERIOD_OVERRIDE=FY","FILING_STATUS=MR","Sort=A","Dates=H","DateFormat=P","Fill=—","Direction=H","UseDPDF=Y")</f>
        <v>46684</v>
      </c>
      <c r="D13" s="12">
        <f>_xll.BDH("TMUS US Equity","NUMBER_OF_CELLULAR_SUBSCRIBERS","FY 2014","FY 2014","Currency=USD","Period=FY","BEST_FPERIOD_OVERRIDE=FY","FILING_STATUS=MR","Sort=A","Dates=H","DateFormat=P","Fill=—","Direction=H","UseDPDF=Y")</f>
        <v>55018</v>
      </c>
      <c r="E13" s="12">
        <f>_xll.BDH("TMUS US Equity","NUMBER_OF_CELLULAR_SUBSCRIBERS","FY 2015","FY 2015","Currency=USD","Period=FY","BEST_FPERIOD_OVERRIDE=FY","FILING_STATUS=MR","Sort=A","Dates=H","DateFormat=P","Fill=—","Direction=H","UseDPDF=Y")</f>
        <v>63282</v>
      </c>
      <c r="F13" s="12">
        <f>_xll.BDH("TMUS US Equity","NUMBER_OF_CELLULAR_SUBSCRIBERS","FY 2016","FY 2016","Currency=USD","Period=FY","BEST_FPERIOD_OVERRIDE=FY","FILING_STATUS=MR","Sort=A","Dates=H","DateFormat=P","Fill=—","Direction=H","UseDPDF=Y")</f>
        <v>71455</v>
      </c>
      <c r="G13" s="12">
        <f>_xll.BDH("TMUS US Equity","NUMBER_OF_CELLULAR_SUBSCRIBERS","FY 2017","FY 2017","Currency=USD","Period=FY","BEST_FPERIOD_OVERRIDE=FY","FILING_STATUS=MR","Sort=A","Dates=H","DateFormat=P","Fill=—","Direction=H","UseDPDF=Y")</f>
        <v>72585</v>
      </c>
      <c r="H13" s="12">
        <f>_xll.BDH("TMUS US Equity","NUMBER_OF_CELLULAR_SUBSCRIBERS","FY 2018","FY 2018","Currency=USD","Period=FY","BEST_FPERIOD_OVERRIDE=FY","FILING_STATUS=MR","Sort=A","Dates=H","DateFormat=P","Fill=—","Direction=H","UseDPDF=Y")</f>
        <v>79651</v>
      </c>
      <c r="I13" s="12">
        <f>_xll.BDH("TMUS US Equity","NUMBER_OF_CELLULAR_SUBSCRIBERS","FY 2019","FY 2019","Currency=USD","Period=FY","BEST_FPERIOD_OVERRIDE=FY","FILING_STATUS=MR","Sort=A","Dates=H","DateFormat=P","Fill=—","Direction=H","UseDPDF=Y")</f>
        <v>86046</v>
      </c>
      <c r="J13" s="12">
        <f>_xll.BDH("TMUS US Equity","NUMBER_OF_CELLULAR_SUBSCRIBERS","FY 2020","FY 2020","Currency=USD","Period=FY","BEST_FPERIOD_OVERRIDE=FY","FILING_STATUS=MR","Sort=A","Dates=H","DateFormat=P","Fill=—","Direction=H","UseDPDF=Y")</f>
        <v>102064</v>
      </c>
      <c r="K13" s="12">
        <f>_xll.BDH("TMUS US Equity","NUMBER_OF_CELLULAR_SUBSCRIBERS","FY 2021","FY 2021","Currency=USD","Period=FY","BEST_FPERIOD_OVERRIDE=FY","FILING_STATUS=MR","Sort=A","Dates=H","DateFormat=P","Fill=—","Direction=H","UseDPDF=Y")</f>
        <v>108719</v>
      </c>
      <c r="L13" s="12">
        <f>_xll.BDH("TMUS US Equity","NUMBER_OF_CELLULAR_SUBSCRIBERS","FY 2022","FY 2022","Currency=USD","Period=FY","BEST_FPERIOD_OVERRIDE=FY","FILING_STATUS=MR","Sort=A","Dates=H","DateFormat=P","Fill=—","Direction=H","UseDPDF=Y")</f>
        <v>113598</v>
      </c>
    </row>
    <row r="14" spans="1:12">
      <c r="A14" s="10" t="s">
        <v>34</v>
      </c>
      <c r="B14" s="10" t="s">
        <v>35</v>
      </c>
      <c r="C14" s="12">
        <f>_xll.BDH("TMUS US Equity","TOTAL_WIRELESS_SUBSCRIBERS_PPD","FY 2013","FY 2013","Currency=USD","Period=FY","BEST_FPERIOD_OVERRIDE=FY","FILING_STATUS=MR","Sort=A","Dates=H","DateFormat=P","Fill=—","Direction=H","UseDPDF=Y")</f>
        <v>22299</v>
      </c>
      <c r="D14" s="12">
        <f>_xll.BDH("TMUS US Equity","TOTAL_WIRELESS_SUBSCRIBERS_PPD","FY 2014","FY 2014","Currency=USD","Period=FY","BEST_FPERIOD_OVERRIDE=FY","FILING_STATUS=MR","Sort=A","Dates=H","DateFormat=P","Fill=—","Direction=H","UseDPDF=Y")</f>
        <v>27185</v>
      </c>
      <c r="E14" s="12">
        <f>_xll.BDH("TMUS US Equity","TOTAL_WIRELESS_SUBSCRIBERS_PPD","FY 2015","FY 2015","Currency=USD","Period=FY","BEST_FPERIOD_OVERRIDE=FY","FILING_STATUS=MR","Sort=A","Dates=H","DateFormat=P","Fill=—","Direction=H","UseDPDF=Y")</f>
        <v>31695</v>
      </c>
      <c r="F14" s="12">
        <f>_xll.BDH("TMUS US Equity","TOTAL_WIRELESS_SUBSCRIBERS_PPD","FY 2016","FY 2016","Currency=USD","Period=FY","BEST_FPERIOD_OVERRIDE=FY","FILING_STATUS=MR","Sort=A","Dates=H","DateFormat=P","Fill=—","Direction=H","UseDPDF=Y")</f>
        <v>34427</v>
      </c>
      <c r="G14" s="12">
        <f>_xll.BDH("TMUS US Equity","TOTAL_WIRELESS_SUBSCRIBERS_PPD","FY 2017","FY 2017","Currency=USD","Period=FY","BEST_FPERIOD_OVERRIDE=FY","FILING_STATUS=MR","Sort=A","Dates=H","DateFormat=P","Fill=—","Direction=H","UseDPDF=Y")</f>
        <v>38047</v>
      </c>
      <c r="H14" s="12">
        <f>_xll.BDH("TMUS US Equity","TOTAL_WIRELESS_SUBSCRIBERS_PPD","FY 2018","FY 2018","Currency=USD","Period=FY","BEST_FPERIOD_OVERRIDE=FY","FILING_STATUS=MR","Sort=A","Dates=H","DateFormat=P","Fill=—","Direction=H","UseDPDF=Y")</f>
        <v>42519</v>
      </c>
      <c r="I14" s="12">
        <f>_xll.BDH("TMUS US Equity","TOTAL_WIRELESS_SUBSCRIBERS_PPD","FY 2019","FY 2019","Currency=USD","Period=FY","BEST_FPERIOD_OVERRIDE=FY","FILING_STATUS=MR","Sort=A","Dates=H","DateFormat=P","Fill=—","Direction=H","UseDPDF=Y")</f>
        <v>47034</v>
      </c>
      <c r="J14" s="12">
        <f>_xll.BDH("TMUS US Equity","TOTAL_WIRELESS_SUBSCRIBERS_PPD","FY 2020","FY 2020","Currency=USD","Period=FY","BEST_FPERIOD_OVERRIDE=FY","FILING_STATUS=MR","Sort=A","Dates=H","DateFormat=P","Fill=—","Direction=H","UseDPDF=Y")</f>
        <v>81350</v>
      </c>
      <c r="K14" s="12">
        <f>_xll.BDH("TMUS US Equity","TOTAL_WIRELESS_SUBSCRIBERS_PPD","FY 2021","FY 2021","Currency=USD","Period=FY","BEST_FPERIOD_OVERRIDE=FY","FILING_STATUS=MR","Sort=A","Dates=H","DateFormat=P","Fill=—","Direction=H","UseDPDF=Y")</f>
        <v>87663</v>
      </c>
      <c r="L14" s="12">
        <f>_xll.BDH("TMUS US Equity","TOTAL_WIRELESS_SUBSCRIBERS_PPD","FY 2022","FY 2022","Currency=USD","Period=FY","BEST_FPERIOD_OVERRIDE=FY","FILING_STATUS=MR","Sort=A","Dates=H","DateFormat=P","Fill=—","Direction=H","UseDPDF=Y")</f>
        <v>92232</v>
      </c>
    </row>
    <row r="15" spans="1:12">
      <c r="A15" s="10" t="s">
        <v>36</v>
      </c>
      <c r="B15" s="10" t="s">
        <v>37</v>
      </c>
      <c r="C15" s="12">
        <f>_xll.BDH("TMUS US Equity","TOTAL_WIRELESS_SUBSCRIBERS_PREPD","FY 2013","FY 2013","Currency=USD","Period=FY","BEST_FPERIOD_OVERRIDE=FY","FILING_STATUS=MR","Sort=A","Dates=H","DateFormat=P","Fill=—","Direction=H","UseDPDF=Y")</f>
        <v>15072</v>
      </c>
      <c r="D15" s="12">
        <f>_xll.BDH("TMUS US Equity","TOTAL_WIRELESS_SUBSCRIBERS_PREPD","FY 2014","FY 2014","Currency=USD","Period=FY","BEST_FPERIOD_OVERRIDE=FY","FILING_STATUS=MR","Sort=A","Dates=H","DateFormat=P","Fill=—","Direction=H","UseDPDF=Y")</f>
        <v>16316</v>
      </c>
      <c r="E15" s="12">
        <f>_xll.BDH("TMUS US Equity","TOTAL_WIRELESS_SUBSCRIBERS_PREPD","FY 2015","FY 2015","Currency=USD","Period=FY","BEST_FPERIOD_OVERRIDE=FY","FILING_STATUS=MR","Sort=A","Dates=H","DateFormat=P","Fill=—","Direction=H","UseDPDF=Y")</f>
        <v>17631</v>
      </c>
      <c r="F15" s="12">
        <f>_xll.BDH("TMUS US Equity","TOTAL_WIRELESS_SUBSCRIBERS_PREPD","FY 2016","FY 2016","Currency=USD","Period=FY","BEST_FPERIOD_OVERRIDE=FY","FILING_STATUS=MR","Sort=A","Dates=H","DateFormat=P","Fill=—","Direction=H","UseDPDF=Y")</f>
        <v>19813</v>
      </c>
      <c r="G15" s="12">
        <f>_xll.BDH("TMUS US Equity","TOTAL_WIRELESS_SUBSCRIBERS_PREPD","FY 2017","FY 2017","Currency=USD","Period=FY","BEST_FPERIOD_OVERRIDE=FY","FILING_STATUS=MR","Sort=A","Dates=H","DateFormat=P","Fill=—","Direction=H","UseDPDF=Y")</f>
        <v>20668</v>
      </c>
      <c r="H15" s="12">
        <f>_xll.BDH("TMUS US Equity","TOTAL_WIRELESS_SUBSCRIBERS_PREPD","FY 2018","FY 2018","Currency=USD","Period=FY","BEST_FPERIOD_OVERRIDE=FY","FILING_STATUS=MR","Sort=A","Dates=H","DateFormat=P","Fill=—","Direction=H","UseDPDF=Y")</f>
        <v>21137</v>
      </c>
      <c r="I15" s="12">
        <f>_xll.BDH("TMUS US Equity","TOTAL_WIRELESS_SUBSCRIBERS_PREPD","FY 2019","FY 2019","Currency=USD","Period=FY","BEST_FPERIOD_OVERRIDE=FY","FILING_STATUS=MR","Sort=A","Dates=H","DateFormat=P","Fill=—","Direction=H","UseDPDF=Y")</f>
        <v>20860</v>
      </c>
      <c r="J15" s="12">
        <f>_xll.BDH("TMUS US Equity","TOTAL_WIRELESS_SUBSCRIBERS_PREPD","FY 2020","FY 2020","Currency=USD","Period=FY","BEST_FPERIOD_OVERRIDE=FY","FILING_STATUS=MR","Sort=A","Dates=H","DateFormat=P","Fill=—","Direction=H","UseDPDF=Y")</f>
        <v>20714</v>
      </c>
      <c r="K15" s="12">
        <f>_xll.BDH("TMUS US Equity","TOTAL_WIRELESS_SUBSCRIBERS_PREPD","FY 2021","FY 2021","Currency=USD","Period=FY","BEST_FPERIOD_OVERRIDE=FY","FILING_STATUS=MR","Sort=A","Dates=H","DateFormat=P","Fill=—","Direction=H","UseDPDF=Y")</f>
        <v>21056</v>
      </c>
      <c r="L15" s="12">
        <f>_xll.BDH("TMUS US Equity","TOTAL_WIRELESS_SUBSCRIBERS_PREPD","FY 2022","FY 2022","Currency=USD","Period=FY","BEST_FPERIOD_OVERRIDE=FY","FILING_STATUS=MR","Sort=A","Dates=H","DateFormat=P","Fill=—","Direction=H","UseDPDF=Y")</f>
        <v>21366</v>
      </c>
    </row>
    <row r="16" spans="1:12">
      <c r="A16" s="10" t="s">
        <v>38</v>
      </c>
      <c r="B16" s="10" t="s">
        <v>39</v>
      </c>
      <c r="C16" s="12">
        <f>_xll.BDH("TMUS US Equity","AVERAGE_WIRELESS_SUBSCRIBERS","FY 2013","FY 2013","Currency=USD","Period=FY","BEST_FPERIOD_OVERRIDE=FY","FILING_STATUS=MR","Sort=A","Dates=H","DateFormat=P","Fill=—","Direction=H","UseDPDF=Y")</f>
        <v>27785.361499999999</v>
      </c>
      <c r="D16" s="12">
        <f>_xll.BDH("TMUS US Equity","AVERAGE_WIRELESS_SUBSCRIBERS","FY 2014","FY 2014","Currency=USD","Period=FY","BEST_FPERIOD_OVERRIDE=FY","FILING_STATUS=MR","Sort=A","Dates=H","DateFormat=P","Fill=—","Direction=H","UseDPDF=Y")</f>
        <v>50851</v>
      </c>
      <c r="E16" s="12">
        <f>_xll.BDH("TMUS US Equity","AVERAGE_WIRELESS_SUBSCRIBERS","FY 2015","FY 2015","Currency=USD","Period=FY","BEST_FPERIOD_OVERRIDE=FY","FILING_STATUS=MR","Sort=A","Dates=H","DateFormat=P","Fill=—","Direction=H","UseDPDF=Y")</f>
        <v>59150</v>
      </c>
      <c r="F16" s="12">
        <f>_xll.BDH("TMUS US Equity","AVERAGE_WIRELESS_SUBSCRIBERS","FY 2016","FY 2016","Currency=USD","Period=FY","BEST_FPERIOD_OVERRIDE=FY","FILING_STATUS=MR","Sort=A","Dates=H","DateFormat=P","Fill=—","Direction=H","UseDPDF=Y")</f>
        <v>67368.5</v>
      </c>
      <c r="G16" s="12">
        <f>_xll.BDH("TMUS US Equity","AVERAGE_WIRELESS_SUBSCRIBERS","FY 2017","FY 2017","Currency=USD","Period=FY","BEST_FPERIOD_OVERRIDE=FY","FILING_STATUS=MR","Sort=A","Dates=H","DateFormat=P","Fill=—","Direction=H","UseDPDF=Y")</f>
        <v>72020</v>
      </c>
      <c r="H16" s="12">
        <f>_xll.BDH("TMUS US Equity","AVERAGE_WIRELESS_SUBSCRIBERS","FY 2018","FY 2018","Currency=USD","Period=FY","BEST_FPERIOD_OVERRIDE=FY","FILING_STATUS=MR","Sort=A","Dates=H","DateFormat=P","Fill=—","Direction=H","UseDPDF=Y")</f>
        <v>76118</v>
      </c>
      <c r="I16" s="12">
        <f>_xll.BDH("TMUS US Equity","AVERAGE_WIRELESS_SUBSCRIBERS","FY 2019","FY 2019","Currency=USD","Period=FY","BEST_FPERIOD_OVERRIDE=FY","FILING_STATUS=MR","Sort=A","Dates=H","DateFormat=P","Fill=—","Direction=H","UseDPDF=Y")</f>
        <v>82848.5</v>
      </c>
      <c r="J16" s="12">
        <f>_xll.BDH("TMUS US Equity","AVERAGE_WIRELESS_SUBSCRIBERS","FY 2020","FY 2020","Currency=USD","Period=FY","BEST_FPERIOD_OVERRIDE=FY","FILING_STATUS=MR","Sort=A","Dates=H","DateFormat=P","Fill=—","Direction=H","UseDPDF=Y")</f>
        <v>94055</v>
      </c>
      <c r="K16" s="12">
        <f>_xll.BDH("TMUS US Equity","AVERAGE_WIRELESS_SUBSCRIBERS","FY 2021","FY 2021","Currency=USD","Period=FY","BEST_FPERIOD_OVERRIDE=FY","FILING_STATUS=MR","Sort=A","Dates=H","DateFormat=P","Fill=—","Direction=H","UseDPDF=Y")</f>
        <v>105391.5</v>
      </c>
      <c r="L16" s="12">
        <f>_xll.BDH("TMUS US Equity","AVERAGE_WIRELESS_SUBSCRIBERS","FY 2022","FY 2022","Currency=USD","Period=FY","BEST_FPERIOD_OVERRIDE=FY","FILING_STATUS=MR","Sort=A","Dates=H","DateFormat=P","Fill=—","Direction=H","UseDPDF=Y")</f>
        <v>111158.5</v>
      </c>
    </row>
    <row r="17" spans="1:12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6" t="s">
        <v>40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0" t="s">
        <v>41</v>
      </c>
      <c r="B19" s="10" t="s">
        <v>42</v>
      </c>
      <c r="C19" s="12">
        <f>_xll.BDH("TMUS US Equity","CELLULAR_NET_SUBSCRIBER_ADDITION","FY 2013","FY 2013","Currency=USD","Period=FY","BEST_FPERIOD_OVERRIDE=FY","FILING_STATUS=MR","Sort=A","Dates=H","DateFormat=P","Fill=—","Direction=H","UseDPDF=Y")</f>
        <v>4377</v>
      </c>
      <c r="D19" s="12">
        <f>_xll.BDH("TMUS US Equity","CELLULAR_NET_SUBSCRIBER_ADDITION","FY 2014","FY 2014","Currency=USD","Period=FY","BEST_FPERIOD_OVERRIDE=FY","FILING_STATUS=MR","Sort=A","Dates=H","DateFormat=P","Fill=—","Direction=H","UseDPDF=Y")</f>
        <v>8334</v>
      </c>
      <c r="E19" s="12">
        <f>_xll.BDH("TMUS US Equity","CELLULAR_NET_SUBSCRIBER_ADDITION","FY 2015","FY 2015","Currency=USD","Period=FY","BEST_FPERIOD_OVERRIDE=FY","FILING_STATUS=MR","Sort=A","Dates=H","DateFormat=P","Fill=—","Direction=H","UseDPDF=Y")</f>
        <v>8264</v>
      </c>
      <c r="F19" s="12">
        <f>_xll.BDH("TMUS US Equity","CELLULAR_NET_SUBSCRIBER_ADDITION","FY 2016","FY 2016","Currency=USD","Period=FY","BEST_FPERIOD_OVERRIDE=FY","FILING_STATUS=MR","Sort=A","Dates=H","DateFormat=P","Fill=—","Direction=H","UseDPDF=Y")</f>
        <v>8173</v>
      </c>
      <c r="G19" s="12">
        <f>_xll.BDH("TMUS US Equity","CELLULAR_NET_SUBSCRIBER_ADDITION","FY 2017","FY 2017","Currency=USD","Period=FY","BEST_FPERIOD_OVERRIDE=FY","FILING_STATUS=MR","Sort=A","Dates=H","DateFormat=P","Fill=—","Direction=H","UseDPDF=Y")</f>
        <v>5658</v>
      </c>
      <c r="H19" s="12">
        <f>_xll.BDH("TMUS US Equity","CELLULAR_NET_SUBSCRIBER_ADDITION","FY 2018","FY 2018","Currency=USD","Period=FY","BEST_FPERIOD_OVERRIDE=FY","FILING_STATUS=MR","Sort=A","Dates=H","DateFormat=P","Fill=—","Direction=H","UseDPDF=Y")</f>
        <v>7044</v>
      </c>
      <c r="I19" s="12">
        <f>_xll.BDH("TMUS US Equity","CELLULAR_NET_SUBSCRIBER_ADDITION","FY 2019","FY 2019","Currency=USD","Period=FY","BEST_FPERIOD_OVERRIDE=FY","FILING_STATUS=MR","Sort=A","Dates=H","DateFormat=P","Fill=—","Direction=H","UseDPDF=Y")</f>
        <v>7011</v>
      </c>
      <c r="J19" s="12">
        <f>_xll.BDH("TMUS US Equity","CELLULAR_NET_SUBSCRIBER_ADDITION","FY 2020","FY 2020","Currency=USD","Period=FY","BEST_FPERIOD_OVERRIDE=FY","FILING_STATUS=MR","Sort=A","Dates=H","DateFormat=P","Fill=—","Direction=H","UseDPDF=Y")</f>
        <v>5631</v>
      </c>
      <c r="K19" s="12">
        <f>_xll.BDH("TMUS US Equity","CELLULAR_NET_SUBSCRIBER_ADDITION","FY 2021","FY 2021","Currency=USD","Period=FY","BEST_FPERIOD_OVERRIDE=FY","FILING_STATUS=MR","Sort=A","Dates=H","DateFormat=P","Fill=—","Direction=H","UseDPDF=Y")</f>
        <v>5837</v>
      </c>
      <c r="L19" s="12">
        <f>_xll.BDH("TMUS US Equity","CELLULAR_NET_SUBSCRIBER_ADDITION","FY 2022","FY 2022","Currency=USD","Period=FY","BEST_FPERIOD_OVERRIDE=FY","FILING_STATUS=MR","Sort=A","Dates=H","DateFormat=P","Fill=—","Direction=H","UseDPDF=Y")</f>
        <v>6757</v>
      </c>
    </row>
    <row r="20" spans="1:12">
      <c r="A20" s="10" t="s">
        <v>43</v>
      </c>
      <c r="B20" s="10" t="s">
        <v>44</v>
      </c>
      <c r="C20" s="12">
        <f>_xll.BDH("TMUS US Equity","ORGANIC_NET_ADDS","FY 2013","FY 2013","Currency=USD","Period=FY","BEST_FPERIOD_OVERRIDE=FY","FILING_STATUS=MR","Sort=A","Dates=H","DateFormat=P","Fill=—","Direction=H","UseDPDF=Y")</f>
        <v>4377</v>
      </c>
      <c r="D20" s="12">
        <f>_xll.BDH("TMUS US Equity","ORGANIC_NET_ADDS","FY 2014","FY 2014","Currency=USD","Period=FY","BEST_FPERIOD_OVERRIDE=FY","FILING_STATUS=MR","Sort=A","Dates=H","DateFormat=P","Fill=—","Direction=H","UseDPDF=Y")</f>
        <v>8334</v>
      </c>
      <c r="E20" s="12">
        <f>_xll.BDH("TMUS US Equity","ORGANIC_NET_ADDS","FY 2015","FY 2015","Currency=USD","Period=FY","BEST_FPERIOD_OVERRIDE=FY","FILING_STATUS=MR","Sort=A","Dates=H","DateFormat=P","Fill=—","Direction=H","UseDPDF=Y")</f>
        <v>8264</v>
      </c>
      <c r="F20" s="12">
        <f>_xll.BDH("TMUS US Equity","ORGANIC_NET_ADDS","FY 2016","FY 2016","Currency=USD","Period=FY","BEST_FPERIOD_OVERRIDE=FY","FILING_STATUS=MR","Sort=A","Dates=H","DateFormat=P","Fill=—","Direction=H","UseDPDF=Y")</f>
        <v>8173</v>
      </c>
      <c r="G20" s="12">
        <f>_xll.BDH("TMUS US Equity","ORGANIC_NET_ADDS","FY 2017","FY 2017","Currency=USD","Period=FY","BEST_FPERIOD_OVERRIDE=FY","FILING_STATUS=MR","Sort=A","Dates=H","DateFormat=P","Fill=—","Direction=H","UseDPDF=Y")</f>
        <v>5658</v>
      </c>
      <c r="H20" s="12">
        <f>_xll.BDH("TMUS US Equity","ORGANIC_NET_ADDS","FY 2018","FY 2018","Currency=USD","Period=FY","BEST_FPERIOD_OVERRIDE=FY","FILING_STATUS=MR","Sort=A","Dates=H","DateFormat=P","Fill=—","Direction=H","UseDPDF=Y")</f>
        <v>7044</v>
      </c>
      <c r="I20" s="12">
        <f>_xll.BDH("TMUS US Equity","ORGANIC_NET_ADDS","FY 2019","FY 2019","Currency=USD","Period=FY","BEST_FPERIOD_OVERRIDE=FY","FILING_STATUS=MR","Sort=A","Dates=H","DateFormat=P","Fill=—","Direction=H","UseDPDF=Y")</f>
        <v>7011</v>
      </c>
      <c r="J20" s="12">
        <f>_xll.BDH("TMUS US Equity","ORGANIC_NET_ADDS","FY 2020","FY 2020","Currency=USD","Period=FY","BEST_FPERIOD_OVERRIDE=FY","FILING_STATUS=MR","Sort=A","Dates=H","DateFormat=P","Fill=—","Direction=H","UseDPDF=Y")</f>
        <v>5631</v>
      </c>
      <c r="K20" s="12">
        <f>_xll.BDH("TMUS US Equity","ORGANIC_NET_ADDS","FY 2021","FY 2021","Currency=USD","Period=FY","BEST_FPERIOD_OVERRIDE=FY","FILING_STATUS=MR","Sort=A","Dates=H","DateFormat=P","Fill=—","Direction=H","UseDPDF=Y")</f>
        <v>5837</v>
      </c>
      <c r="L20" s="12">
        <f>_xll.BDH("TMUS US Equity","ORGANIC_NET_ADDS","FY 2022","FY 2022","Currency=USD","Period=FY","BEST_FPERIOD_OVERRIDE=FY","FILING_STATUS=MR","Sort=A","Dates=H","DateFormat=P","Fill=—","Direction=H","UseDPDF=Y")</f>
        <v>6757</v>
      </c>
    </row>
    <row r="21" spans="1:12">
      <c r="A21" s="10" t="s">
        <v>45</v>
      </c>
      <c r="B21" s="10" t="s">
        <v>46</v>
      </c>
      <c r="C21" s="12">
        <f>_xll.BDH("TMUS US Equity","NET_WIRELESS_SUBSCRIBER_ADDS_PPD","FY 2013","FY 2013","Currency=USD","Period=FY","BEST_FPERIOD_OVERRIDE=FY","FILING_STATUS=MR","Sort=A","Dates=H","DateFormat=P","Fill=—","Direction=H","UseDPDF=Y")</f>
        <v>2006</v>
      </c>
      <c r="D21" s="12">
        <f>_xll.BDH("TMUS US Equity","NET_WIRELESS_SUBSCRIBER_ADDS_PPD","FY 2014","FY 2014","Currency=USD","Period=FY","BEST_FPERIOD_OVERRIDE=FY","FILING_STATUS=MR","Sort=A","Dates=H","DateFormat=P","Fill=—","Direction=H","UseDPDF=Y")</f>
        <v>4886</v>
      </c>
      <c r="E21" s="12">
        <f>_xll.BDH("TMUS US Equity","NET_WIRELESS_SUBSCRIBER_ADDS_PPD","FY 2015","FY 2015","Currency=USD","Period=FY","BEST_FPERIOD_OVERRIDE=FY","FILING_STATUS=MR","Sort=A","Dates=H","DateFormat=P","Fill=—","Direction=H","UseDPDF=Y")</f>
        <v>4510</v>
      </c>
      <c r="F21" s="12">
        <f>_xll.BDH("TMUS US Equity","NET_WIRELESS_SUBSCRIBER_ADDS_PPD","FY 2016","FY 2016","Currency=USD","Period=FY","BEST_FPERIOD_OVERRIDE=FY","FILING_STATUS=MR","Sort=A","Dates=H","DateFormat=P","Fill=—","Direction=H","UseDPDF=Y")</f>
        <v>4097</v>
      </c>
      <c r="G21" s="12">
        <f>_xll.BDH("TMUS US Equity","NET_WIRELESS_SUBSCRIBER_ADDS_PPD","FY 2017","FY 2017","Currency=USD","Period=FY","BEST_FPERIOD_OVERRIDE=FY","FILING_STATUS=MR","Sort=A","Dates=H","DateFormat=P","Fill=—","Direction=H","UseDPDF=Y")</f>
        <v>3620</v>
      </c>
      <c r="H21" s="12">
        <f>_xll.BDH("TMUS US Equity","NET_WIRELESS_SUBSCRIBER_ADDS_PPD","FY 2018","FY 2018","Currency=USD","Period=FY","BEST_FPERIOD_OVERRIDE=FY","FILING_STATUS=MR","Sort=A","Dates=H","DateFormat=P","Fill=—","Direction=H","UseDPDF=Y")</f>
        <v>4459</v>
      </c>
      <c r="I21" s="12">
        <f>_xll.BDH("TMUS US Equity","NET_WIRELESS_SUBSCRIBER_ADDS_PPD","FY 2019","FY 2019","Currency=USD","Period=FY","BEST_FPERIOD_OVERRIDE=FY","FILING_STATUS=MR","Sort=A","Dates=H","DateFormat=P","Fill=—","Direction=H","UseDPDF=Y")</f>
        <v>4515</v>
      </c>
      <c r="J21" s="12">
        <f>_xll.BDH("TMUS US Equity","NET_WIRELESS_SUBSCRIBER_ADDS_PPD","FY 2020","FY 2020","Currency=USD","Period=FY","BEST_FPERIOD_OVERRIDE=FY","FILING_STATUS=MR","Sort=A","Dates=H","DateFormat=P","Fill=—","Direction=H","UseDPDF=Y")</f>
        <v>5486</v>
      </c>
      <c r="K21" s="12">
        <f>_xll.BDH("TMUS US Equity","NET_WIRELESS_SUBSCRIBER_ADDS_PPD","FY 2021","FY 2021","Currency=USD","Period=FY","BEST_FPERIOD_OVERRIDE=FY","FILING_STATUS=MR","Sort=A","Dates=H","DateFormat=P","Fill=—","Direction=H","UseDPDF=Y")</f>
        <v>5495</v>
      </c>
      <c r="L21" s="12">
        <f>_xll.BDH("TMUS US Equity","NET_WIRELESS_SUBSCRIBER_ADDS_PPD","FY 2022","FY 2022","Currency=USD","Period=FY","BEST_FPERIOD_OVERRIDE=FY","FILING_STATUS=MR","Sort=A","Dates=H","DateFormat=P","Fill=—","Direction=H","UseDPDF=Y")</f>
        <v>6419</v>
      </c>
    </row>
    <row r="22" spans="1:12">
      <c r="A22" s="10" t="s">
        <v>47</v>
      </c>
      <c r="B22" s="10" t="s">
        <v>48</v>
      </c>
      <c r="C22" s="12">
        <f>_xll.BDH("TMUS US Equity","NET_WIRELESS_SUBSCR_ADDS_PREPD","FY 2013","FY 2013","Currency=USD","Period=FY","BEST_FPERIOD_OVERRIDE=FY","FILING_STATUS=MR","Sort=A","Dates=H","DateFormat=P","Fill=—","Direction=H","UseDPDF=Y")</f>
        <v>328</v>
      </c>
      <c r="D22" s="12">
        <f>_xll.BDH("TMUS US Equity","NET_WIRELESS_SUBSCR_ADDS_PREPD","FY 2014","FY 2014","Currency=USD","Period=FY","BEST_FPERIOD_OVERRIDE=FY","FILING_STATUS=MR","Sort=A","Dates=H","DateFormat=P","Fill=—","Direction=H","UseDPDF=Y")</f>
        <v>1244</v>
      </c>
      <c r="E22" s="12">
        <f>_xll.BDH("TMUS US Equity","NET_WIRELESS_SUBSCR_ADDS_PREPD","FY 2015","FY 2015","Currency=USD","Period=FY","BEST_FPERIOD_OVERRIDE=FY","FILING_STATUS=MR","Sort=A","Dates=H","DateFormat=P","Fill=—","Direction=H","UseDPDF=Y")</f>
        <v>1315</v>
      </c>
      <c r="F22" s="12">
        <f>_xll.BDH("TMUS US Equity","NET_WIRELESS_SUBSCR_ADDS_PREPD","FY 2016","FY 2016","Currency=USD","Period=FY","BEST_FPERIOD_OVERRIDE=FY","FILING_STATUS=MR","Sort=A","Dates=H","DateFormat=P","Fill=—","Direction=H","UseDPDF=Y")</f>
        <v>2508</v>
      </c>
      <c r="G22" s="12">
        <f>_xll.BDH("TMUS US Equity","NET_WIRELESS_SUBSCR_ADDS_PREPD","FY 2017","FY 2017","Currency=USD","Period=FY","BEST_FPERIOD_OVERRIDE=FY","FILING_STATUS=MR","Sort=A","Dates=H","DateFormat=P","Fill=—","Direction=H","UseDPDF=Y")</f>
        <v>855</v>
      </c>
      <c r="H22" s="12">
        <f>_xll.BDH("TMUS US Equity","NET_WIRELESS_SUBSCR_ADDS_PREPD","FY 2018","FY 2018","Currency=USD","Period=FY","BEST_FPERIOD_OVERRIDE=FY","FILING_STATUS=MR","Sort=A","Dates=H","DateFormat=P","Fill=—","Direction=H","UseDPDF=Y")</f>
        <v>460</v>
      </c>
      <c r="I22" s="12">
        <f>_xll.BDH("TMUS US Equity","NET_WIRELESS_SUBSCR_ADDS_PREPD","FY 2019","FY 2019","Currency=USD","Period=FY","BEST_FPERIOD_OVERRIDE=FY","FILING_STATUS=MR","Sort=A","Dates=H","DateFormat=P","Fill=—","Direction=H","UseDPDF=Y")</f>
        <v>339</v>
      </c>
      <c r="J22" s="12">
        <f>_xll.BDH("TMUS US Equity","NET_WIRELESS_SUBSCR_ADDS_PREPD","FY 2020","FY 2020","Currency=USD","Period=FY","BEST_FPERIOD_OVERRIDE=FY","FILING_STATUS=MR","Sort=A","Dates=H","DateFormat=P","Fill=—","Direction=H","UseDPDF=Y")</f>
        <v>145</v>
      </c>
      <c r="K22" s="12">
        <f>_xll.BDH("TMUS US Equity","NET_WIRELESS_SUBSCR_ADDS_PREPD","FY 2021","FY 2021","Currency=USD","Period=FY","BEST_FPERIOD_OVERRIDE=FY","FILING_STATUS=MR","Sort=A","Dates=H","DateFormat=P","Fill=—","Direction=H","UseDPDF=Y")</f>
        <v>342</v>
      </c>
      <c r="L22" s="12">
        <f>_xll.BDH("TMUS US Equity","NET_WIRELESS_SUBSCR_ADDS_PREPD","FY 2022","FY 2022","Currency=USD","Period=FY","BEST_FPERIOD_OVERRIDE=FY","FILING_STATUS=MR","Sort=A","Dates=H","DateFormat=P","Fill=—","Direction=H","UseDPDF=Y")</f>
        <v>338</v>
      </c>
    </row>
    <row r="23" spans="1:1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6" t="s">
        <v>49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>
      <c r="A25" s="10" t="s">
        <v>50</v>
      </c>
      <c r="B25" s="10" t="s">
        <v>51</v>
      </c>
      <c r="C25" s="13" t="str">
        <f>_xll.BDH("TMUS US Equity","TELECOM_CELLULAR_CHURN_RATE","FY 2013","FY 2013","Currency=USD","Period=FY","BEST_FPERIOD_OVERRIDE=FY","FILING_STATUS=MR","Sort=A","Dates=H","DateFormat=P","Fill=—","Direction=H","UseDPDF=Y")</f>
        <v>—</v>
      </c>
      <c r="D25" s="13">
        <f>_xll.BDH("TMUS US Equity","TELECOM_CELLULAR_CHURN_RATE","FY 2014","FY 2014","Currency=USD","Period=FY","BEST_FPERIOD_OVERRIDE=FY","FILING_STATUS=MR","Sort=A","Dates=H","DateFormat=P","Fill=—","Direction=H","UseDPDF=Y")</f>
        <v>1.7150000000000001</v>
      </c>
      <c r="E25" s="13" t="str">
        <f>_xll.BDH("TMUS US Equity","TELECOM_CELLULAR_CHURN_RATE","FY 2015","FY 2015","Currency=USD","Period=FY","BEST_FPERIOD_OVERRIDE=FY","FILING_STATUS=MR","Sort=A","Dates=H","DateFormat=P","Fill=—","Direction=H","UseDPDF=Y")</f>
        <v>—</v>
      </c>
      <c r="F25" s="13" t="str">
        <f>_xll.BDH("TMUS US Equity","TELECOM_CELLULAR_CHURN_RATE","FY 2016","FY 2016","Currency=USD","Period=FY","BEST_FPERIOD_OVERRIDE=FY","FILING_STATUS=MR","Sort=A","Dates=H","DateFormat=P","Fill=—","Direction=H","UseDPDF=Y")</f>
        <v>—</v>
      </c>
      <c r="G25" s="13" t="str">
        <f>_xll.BDH("TMUS US Equity","TELECOM_CELLULAR_CHURN_RATE","FY 2017","FY 2017","Currency=USD","Period=FY","BEST_FPERIOD_OVERRIDE=FY","FILING_STATUS=MR","Sort=A","Dates=H","DateFormat=P","Fill=—","Direction=H","UseDPDF=Y")</f>
        <v>—</v>
      </c>
      <c r="H25" s="13" t="str">
        <f>_xll.BDH("TMUS US Equity","TELECOM_CELLULAR_CHURN_RATE","FY 2018","FY 2018","Currency=USD","Period=FY","BEST_FPERIOD_OVERRIDE=FY","FILING_STATUS=MR","Sort=A","Dates=H","DateFormat=P","Fill=—","Direction=H","UseDPDF=Y")</f>
        <v>—</v>
      </c>
      <c r="I25" s="13" t="str">
        <f>_xll.BDH("TMUS US Equity","TELECOM_CELLULAR_CHURN_RATE","FY 2019","FY 2019","Currency=USD","Period=FY","BEST_FPERIOD_OVERRIDE=FY","FILING_STATUS=MR","Sort=A","Dates=H","DateFormat=P","Fill=—","Direction=H","UseDPDF=Y")</f>
        <v>—</v>
      </c>
      <c r="J25" s="13" t="str">
        <f>_xll.BDH("TMUS US Equity","TELECOM_CELLULAR_CHURN_RATE","FY 2020","FY 2020","Currency=USD","Period=FY","BEST_FPERIOD_OVERRIDE=FY","FILING_STATUS=MR","Sort=A","Dates=H","DateFormat=P","Fill=—","Direction=H","UseDPDF=Y")</f>
        <v>—</v>
      </c>
      <c r="K25" s="13">
        <f>_xll.BDH("TMUS US Equity","TELECOM_CELLULAR_CHURN_RATE","FY 2021","FY 2021","Currency=USD","Period=FY","BEST_FPERIOD_OVERRIDE=FY","FILING_STATUS=MR","Sort=A","Dates=H","DateFormat=P","Fill=—","Direction=H","UseDPDF=Y")</f>
        <v>0.98</v>
      </c>
      <c r="L25" s="13" t="str">
        <f>_xll.BDH("TMUS US Equity","TELECOM_CELLULAR_CHURN_RATE","FY 2022","FY 2022","Currency=USD","Period=FY","BEST_FPERIOD_OVERRIDE=FY","FILING_STATUS=MR","Sort=A","Dates=H","DateFormat=P","Fill=—","Direction=H","UseDPDF=Y")</f>
        <v>—</v>
      </c>
    </row>
    <row r="26" spans="1:12">
      <c r="A26" s="10" t="s">
        <v>52</v>
      </c>
      <c r="B26" s="10" t="s">
        <v>53</v>
      </c>
      <c r="C26" s="13">
        <f>_xll.BDH("TMUS US Equity","WIRELESS_POSTPAID_CHURN","FY 2013","FY 2013","Currency=USD","Period=FY","BEST_FPERIOD_OVERRIDE=FY","FILING_STATUS=MR","Sort=A","Dates=H","DateFormat=P","Fill=—","Direction=H","UseDPDF=Y")</f>
        <v>1.7</v>
      </c>
      <c r="D26" s="13">
        <f>_xll.BDH("TMUS US Equity","WIRELESS_POSTPAID_CHURN","FY 2014","FY 2014","Currency=USD","Period=FY","BEST_FPERIOD_OVERRIDE=FY","FILING_STATUS=MR","Sort=A","Dates=H","DateFormat=P","Fill=—","Direction=H","UseDPDF=Y")</f>
        <v>1.58</v>
      </c>
      <c r="E26" s="13">
        <f>_xll.BDH("TMUS US Equity","WIRELESS_POSTPAID_CHURN","FY 2015","FY 2015","Currency=USD","Period=FY","BEST_FPERIOD_OVERRIDE=FY","FILING_STATUS=MR","Sort=A","Dates=H","DateFormat=P","Fill=—","Direction=H","UseDPDF=Y")</f>
        <v>1.39</v>
      </c>
      <c r="F26" s="13">
        <f>_xll.BDH("TMUS US Equity","WIRELESS_POSTPAID_CHURN","FY 2016","FY 2016","Currency=USD","Period=FY","BEST_FPERIOD_OVERRIDE=FY","FILING_STATUS=MR","Sort=A","Dates=H","DateFormat=P","Fill=—","Direction=H","UseDPDF=Y")</f>
        <v>1.3</v>
      </c>
      <c r="G26" s="13">
        <f>_xll.BDH("TMUS US Equity","WIRELESS_POSTPAID_CHURN","FY 2017","FY 2017","Currency=USD","Period=FY","BEST_FPERIOD_OVERRIDE=FY","FILING_STATUS=MR","Sort=A","Dates=H","DateFormat=P","Fill=—","Direction=H","UseDPDF=Y")</f>
        <v>1.18</v>
      </c>
      <c r="H26" s="13">
        <f>_xll.BDH("TMUS US Equity","WIRELESS_POSTPAID_CHURN","FY 2018","FY 2018","Currency=USD","Period=FY","BEST_FPERIOD_OVERRIDE=FY","FILING_STATUS=MR","Sort=A","Dates=H","DateFormat=P","Fill=—","Direction=H","UseDPDF=Y")</f>
        <v>1.01</v>
      </c>
      <c r="I26" s="13">
        <f>_xll.BDH("TMUS US Equity","WIRELESS_POSTPAID_CHURN","FY 2019","FY 2019","Currency=USD","Period=FY","BEST_FPERIOD_OVERRIDE=FY","FILING_STATUS=MR","Sort=A","Dates=H","DateFormat=P","Fill=—","Direction=H","UseDPDF=Y")</f>
        <v>0.89</v>
      </c>
      <c r="J26" s="13">
        <f>_xll.BDH("TMUS US Equity","WIRELESS_POSTPAID_CHURN","FY 2020","FY 2020","Currency=USD","Period=FY","BEST_FPERIOD_OVERRIDE=FY","FILING_STATUS=MR","Sort=A","Dates=H","DateFormat=P","Fill=—","Direction=H","UseDPDF=Y")</f>
        <v>0.9</v>
      </c>
      <c r="K26" s="13">
        <f>_xll.BDH("TMUS US Equity","WIRELESS_POSTPAID_CHURN","FY 2021","FY 2021","Currency=USD","Period=FY","BEST_FPERIOD_OVERRIDE=FY","FILING_STATUS=MR","Sort=A","Dates=H","DateFormat=P","Fill=—","Direction=H","UseDPDF=Y")</f>
        <v>0.98</v>
      </c>
      <c r="L26" s="13">
        <f>_xll.BDH("TMUS US Equity","WIRELESS_POSTPAID_CHURN","FY 2022","FY 2022","Currency=USD","Period=FY","BEST_FPERIOD_OVERRIDE=FY","FILING_STATUS=MR","Sort=A","Dates=H","DateFormat=P","Fill=—","Direction=H","UseDPDF=Y")</f>
        <v>0.88</v>
      </c>
    </row>
    <row r="27" spans="1:12">
      <c r="A27" s="10" t="s">
        <v>54</v>
      </c>
      <c r="B27" s="10" t="s">
        <v>55</v>
      </c>
      <c r="C27" s="13">
        <f>_xll.BDH("TMUS US Equity","PREPAID_CHURN_RATE","FY 2013","FY 2013","Currency=USD","Period=FY","BEST_FPERIOD_OVERRIDE=FY","FILING_STATUS=MR","Sort=A","Dates=H","DateFormat=P","Fill=—","Direction=H","UseDPDF=Y")</f>
        <v>5.4</v>
      </c>
      <c r="D27" s="13">
        <f>_xll.BDH("TMUS US Equity","PREPAID_CHURN_RATE","FY 2014","FY 2014","Currency=USD","Period=FY","BEST_FPERIOD_OVERRIDE=FY","FILING_STATUS=MR","Sort=A","Dates=H","DateFormat=P","Fill=—","Direction=H","UseDPDF=Y")</f>
        <v>4.76</v>
      </c>
      <c r="E27" s="13">
        <f>_xll.BDH("TMUS US Equity","PREPAID_CHURN_RATE","FY 2015","FY 2015","Currency=USD","Period=FY","BEST_FPERIOD_OVERRIDE=FY","FILING_STATUS=MR","Sort=A","Dates=H","DateFormat=P","Fill=—","Direction=H","UseDPDF=Y")</f>
        <v>4.45</v>
      </c>
      <c r="F27" s="13">
        <f>_xll.BDH("TMUS US Equity","PREPAID_CHURN_RATE","FY 2016","FY 2016","Currency=USD","Period=FY","BEST_FPERIOD_OVERRIDE=FY","FILING_STATUS=MR","Sort=A","Dates=H","DateFormat=P","Fill=—","Direction=H","UseDPDF=Y")</f>
        <v>3.88</v>
      </c>
      <c r="G27" s="13">
        <f>_xll.BDH("TMUS US Equity","PREPAID_CHURN_RATE","FY 2017","FY 2017","Currency=USD","Period=FY","BEST_FPERIOD_OVERRIDE=FY","FILING_STATUS=MR","Sort=A","Dates=H","DateFormat=P","Fill=—","Direction=H","UseDPDF=Y")</f>
        <v>4.04</v>
      </c>
      <c r="H27" s="13">
        <f>_xll.BDH("TMUS US Equity","PREPAID_CHURN_RATE","FY 2018","FY 2018","Currency=USD","Period=FY","BEST_FPERIOD_OVERRIDE=FY","FILING_STATUS=MR","Sort=A","Dates=H","DateFormat=P","Fill=—","Direction=H","UseDPDF=Y")</f>
        <v>3.96</v>
      </c>
      <c r="I27" s="13">
        <f>_xll.BDH("TMUS US Equity","PREPAID_CHURN_RATE","FY 2019","FY 2019","Currency=USD","Period=FY","BEST_FPERIOD_OVERRIDE=FY","FILING_STATUS=MR","Sort=A","Dates=H","DateFormat=P","Fill=—","Direction=H","UseDPDF=Y")</f>
        <v>3.82</v>
      </c>
      <c r="J27" s="13">
        <f>_xll.BDH("TMUS US Equity","PREPAID_CHURN_RATE","FY 2020","FY 2020","Currency=USD","Period=FY","BEST_FPERIOD_OVERRIDE=FY","FILING_STATUS=MR","Sort=A","Dates=H","DateFormat=P","Fill=—","Direction=H","UseDPDF=Y")</f>
        <v>3.03</v>
      </c>
      <c r="K27" s="13">
        <f>_xll.BDH("TMUS US Equity","PREPAID_CHURN_RATE","FY 2021","FY 2021","Currency=USD","Period=FY","BEST_FPERIOD_OVERRIDE=FY","FILING_STATUS=MR","Sort=A","Dates=H","DateFormat=P","Fill=—","Direction=H","UseDPDF=Y")</f>
        <v>2.83</v>
      </c>
      <c r="L27" s="13">
        <f>_xll.BDH("TMUS US Equity","PREPAID_CHURN_RATE","FY 2022","FY 2022","Currency=USD","Period=FY","BEST_FPERIOD_OVERRIDE=FY","FILING_STATUS=MR","Sort=A","Dates=H","DateFormat=P","Fill=—","Direction=H","UseDPDF=Y")</f>
        <v>2.77</v>
      </c>
    </row>
    <row r="28" spans="1:12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>
      <c r="A29" s="6" t="s">
        <v>56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10" t="s">
        <v>57</v>
      </c>
      <c r="B30" s="10" t="s">
        <v>58</v>
      </c>
      <c r="C30" s="13">
        <f>_xll.BDH("TMUS US Equity","AVG_REVENUE_PER_CELL_SUBSCRIBER","FY 2013","FY 2013","Currency=USD","Period=FY","BEST_FPERIOD_OVERRIDE=FY","FILING_STATUS=MR","Sort=A","Dates=H","DateFormat=P","Fill=—","Direction=H","UseDPDF=Y")</f>
        <v>50.12</v>
      </c>
      <c r="D30" s="13">
        <f>_xll.BDH("TMUS US Equity","AVG_REVENUE_PER_CELL_SUBSCRIBER","FY 2014","FY 2014","Currency=USD","Period=FY","BEST_FPERIOD_OVERRIDE=FY","FILING_STATUS=MR","Sort=A","Dates=H","DateFormat=P","Fill=—","Direction=H","UseDPDF=Y")</f>
        <v>36.67</v>
      </c>
      <c r="E30" s="13">
        <f>_xll.BDH("TMUS US Equity","AVG_REVENUE_PER_CELL_SUBSCRIBER","FY 2015","FY 2015","Currency=USD","Period=FY","BEST_FPERIOD_OVERRIDE=FY","FILING_STATUS=MR","Sort=A","Dates=H","DateFormat=P","Fill=—","Direction=H","UseDPDF=Y")</f>
        <v>34.97</v>
      </c>
      <c r="F30" s="13">
        <f>_xll.BDH("TMUS US Equity","AVG_REVENUE_PER_CELL_SUBSCRIBER","FY 2016","FY 2016","Currency=USD","Period=FY","BEST_FPERIOD_OVERRIDE=FY","FILING_STATUS=MR","Sort=A","Dates=H","DateFormat=P","Fill=—","Direction=H","UseDPDF=Y")</f>
        <v>35.57</v>
      </c>
      <c r="G30" s="13">
        <f>_xll.BDH("TMUS US Equity","AVG_REVENUE_PER_CELL_SUBSCRIBER","FY 2017","FY 2017","Currency=USD","Period=FY","BEST_FPERIOD_OVERRIDE=FY","FILING_STATUS=MR","Sort=A","Dates=H","DateFormat=P","Fill=—","Direction=H","UseDPDF=Y")</f>
        <v>43.25</v>
      </c>
      <c r="H30" s="13">
        <f>_xll.BDH("TMUS US Equity","AVG_REVENUE_PER_CELL_SUBSCRIBER","FY 2018","FY 2018","Currency=USD","Period=FY","BEST_FPERIOD_OVERRIDE=FY","FILING_STATUS=MR","Sort=A","Dates=H","DateFormat=P","Fill=—","Direction=H","UseDPDF=Y")</f>
        <v>42.46</v>
      </c>
      <c r="I30" s="13">
        <f>_xll.BDH("TMUS US Equity","AVG_REVENUE_PER_CELL_SUBSCRIBER","FY 2019","FY 2019","Currency=USD","Period=FY","BEST_FPERIOD_OVERRIDE=FY","FILING_STATUS=MR","Sort=A","Dates=H","DateFormat=P","Fill=—","Direction=H","UseDPDF=Y")</f>
        <v>41.994999999999997</v>
      </c>
      <c r="J30" s="13">
        <f>_xll.BDH("TMUS US Equity","AVG_REVENUE_PER_CELL_SUBSCRIBER","FY 2020","FY 2020","Currency=USD","Period=FY","BEST_FPERIOD_OVERRIDE=FY","FILING_STATUS=MR","Sort=A","Dates=H","DateFormat=P","Fill=—","Direction=H","UseDPDF=Y")</f>
        <v>42.93</v>
      </c>
      <c r="K30" s="13">
        <f>_xll.BDH("TMUS US Equity","AVG_REVENUE_PER_CELL_SUBSCRIBER","FY 2021","FY 2021","Currency=USD","Period=FY","BEST_FPERIOD_OVERRIDE=FY","FILING_STATUS=MR","Sort=A","Dates=H","DateFormat=P","Fill=—","Direction=H","UseDPDF=Y")</f>
        <v>47.75</v>
      </c>
      <c r="L30" s="13">
        <f>_xll.BDH("TMUS US Equity","AVG_REVENUE_PER_CELL_SUBSCRIBER","FY 2022","FY 2022","Currency=USD","Period=FY","BEST_FPERIOD_OVERRIDE=FY","FILING_STATUS=MR","Sort=A","Dates=H","DateFormat=P","Fill=—","Direction=H","UseDPDF=Y")</f>
        <v>45.35</v>
      </c>
    </row>
    <row r="31" spans="1:12">
      <c r="A31" s="10" t="s">
        <v>59</v>
      </c>
      <c r="B31" s="10" t="s">
        <v>60</v>
      </c>
      <c r="C31" s="13">
        <f>_xll.BDH("TMUS US Equity","POSTPAID_ARPU","FY 2013","FY 2013","Currency=USD","Period=FY","BEST_FPERIOD_OVERRIDE=FY","FILING_STATUS=MR","Sort=A","Dates=H","DateFormat=P","Fill=—","Direction=H","UseDPDF=Y")</f>
        <v>52.6</v>
      </c>
      <c r="D31" s="13">
        <f>_xll.BDH("TMUS US Equity","POSTPAID_ARPU","FY 2014","FY 2014","Currency=USD","Period=FY","BEST_FPERIOD_OVERRIDE=FY","FILING_STATUS=MR","Sort=A","Dates=H","DateFormat=P","Fill=—","Direction=H","UseDPDF=Y")</f>
        <v>49.44</v>
      </c>
      <c r="E31" s="13">
        <f>_xll.BDH("TMUS US Equity","POSTPAID_ARPU","FY 2015","FY 2015","Currency=USD","Period=FY","BEST_FPERIOD_OVERRIDE=FY","FILING_STATUS=MR","Sort=A","Dates=H","DateFormat=P","Fill=—","Direction=H","UseDPDF=Y")</f>
        <v>47.68</v>
      </c>
      <c r="F31" s="13">
        <f>_xll.BDH("TMUS US Equity","POSTPAID_ARPU","FY 2016","FY 2016","Currency=USD","Period=FY","BEST_FPERIOD_OVERRIDE=FY","FILING_STATUS=MR","Sort=A","Dates=H","DateFormat=P","Fill=—","Direction=H","UseDPDF=Y")</f>
        <v>47.47</v>
      </c>
      <c r="G31" s="13">
        <f>_xll.BDH("TMUS US Equity","POSTPAID_ARPU","FY 2017","FY 2017","Currency=USD","Period=FY","BEST_FPERIOD_OVERRIDE=FY","FILING_STATUS=MR","Sort=A","Dates=H","DateFormat=P","Fill=—","Direction=H","UseDPDF=Y")</f>
        <v>46.97</v>
      </c>
      <c r="H31" s="13">
        <f>_xll.BDH("TMUS US Equity","POSTPAID_ARPU","FY 2018","FY 2018","Currency=USD","Period=FY","BEST_FPERIOD_OVERRIDE=FY","FILING_STATUS=MR","Sort=A","Dates=H","DateFormat=P","Fill=—","Direction=H","UseDPDF=Y")</f>
        <v>46.4</v>
      </c>
      <c r="I31" s="13">
        <f>_xll.BDH("TMUS US Equity","POSTPAID_ARPU","FY 2019","FY 2019","Currency=USD","Period=FY","BEST_FPERIOD_OVERRIDE=FY","FILING_STATUS=MR","Sort=A","Dates=H","DateFormat=P","Fill=—","Direction=H","UseDPDF=Y")</f>
        <v>46.04</v>
      </c>
      <c r="J31" s="13">
        <f>_xll.BDH("TMUS US Equity","POSTPAID_ARPU","FY 2020","FY 2020","Currency=USD","Period=FY","BEST_FPERIOD_OVERRIDE=FY","FILING_STATUS=MR","Sort=A","Dates=H","DateFormat=P","Fill=—","Direction=H","UseDPDF=Y")</f>
        <v>47.74</v>
      </c>
      <c r="K31" s="13">
        <f>_xll.BDH("TMUS US Equity","POSTPAID_ARPU","FY 2021","FY 2021","Currency=USD","Period=FY","BEST_FPERIOD_OVERRIDE=FY","FILING_STATUS=MR","Sort=A","Dates=H","DateFormat=P","Fill=—","Direction=H","UseDPDF=Y")</f>
        <v>47.75</v>
      </c>
      <c r="L31" s="13">
        <f>_xll.BDH("TMUS US Equity","POSTPAID_ARPU","FY 2022","FY 2022","Currency=USD","Period=FY","BEST_FPERIOD_OVERRIDE=FY","FILING_STATUS=MR","Sort=A","Dates=H","DateFormat=P","Fill=—","Direction=H","UseDPDF=Y")</f>
        <v>48.78</v>
      </c>
    </row>
    <row r="32" spans="1:12">
      <c r="A32" s="10" t="s">
        <v>61</v>
      </c>
      <c r="B32" s="10" t="s">
        <v>62</v>
      </c>
      <c r="C32" s="13">
        <f>_xll.BDH("TMUS US Equity","PREPAID_ARPU","FY 2013","FY 2013","Currency=USD","Period=FY","BEST_FPERIOD_OVERRIDE=FY","FILING_STATUS=MR","Sort=A","Dates=H","DateFormat=P","Fill=—","Direction=H","UseDPDF=Y")</f>
        <v>34.590000000000003</v>
      </c>
      <c r="D32" s="13">
        <f>_xll.BDH("TMUS US Equity","PREPAID_ARPU","FY 2014","FY 2014","Currency=USD","Period=FY","BEST_FPERIOD_OVERRIDE=FY","FILING_STATUS=MR","Sort=A","Dates=H","DateFormat=P","Fill=—","Direction=H","UseDPDF=Y")</f>
        <v>37.1</v>
      </c>
      <c r="E32" s="13">
        <f>_xll.BDH("TMUS US Equity","PREPAID_ARPU","FY 2015","FY 2015","Currency=USD","Period=FY","BEST_FPERIOD_OVERRIDE=FY","FILING_STATUS=MR","Sort=A","Dates=H","DateFormat=P","Fill=—","Direction=H","UseDPDF=Y")</f>
        <v>37.68</v>
      </c>
      <c r="F32" s="13">
        <f>_xll.BDH("TMUS US Equity","PREPAID_ARPU","FY 2016","FY 2016","Currency=USD","Period=FY","BEST_FPERIOD_OVERRIDE=FY","FILING_STATUS=MR","Sort=A","Dates=H","DateFormat=P","Fill=—","Direction=H","UseDPDF=Y")</f>
        <v>37.92</v>
      </c>
      <c r="G32" s="13">
        <f>_xll.BDH("TMUS US Equity","PREPAID_ARPU","FY 2017","FY 2017","Currency=USD","Period=FY","BEST_FPERIOD_OVERRIDE=FY","FILING_STATUS=MR","Sort=A","Dates=H","DateFormat=P","Fill=—","Direction=H","UseDPDF=Y")</f>
        <v>38.69</v>
      </c>
      <c r="H32" s="13">
        <f>_xll.BDH("TMUS US Equity","PREPAID_ARPU","FY 2018","FY 2018","Currency=USD","Period=FY","BEST_FPERIOD_OVERRIDE=FY","FILING_STATUS=MR","Sort=A","Dates=H","DateFormat=P","Fill=—","Direction=H","UseDPDF=Y")</f>
        <v>38.53</v>
      </c>
      <c r="I32" s="13">
        <f>_xll.BDH("TMUS US Equity","PREPAID_ARPU","FY 2019","FY 2019","Currency=USD","Period=FY","BEST_FPERIOD_OVERRIDE=FY","FILING_STATUS=MR","Sort=A","Dates=H","DateFormat=P","Fill=—","Direction=H","UseDPDF=Y")</f>
        <v>37.950000000000003</v>
      </c>
      <c r="J32" s="13">
        <f>_xll.BDH("TMUS US Equity","PREPAID_ARPU","FY 2020","FY 2020","Currency=USD","Period=FY","BEST_FPERIOD_OVERRIDE=FY","FILING_STATUS=MR","Sort=A","Dates=H","DateFormat=P","Fill=—","Direction=H","UseDPDF=Y")</f>
        <v>38.119999999999997</v>
      </c>
      <c r="K32" s="13">
        <f>_xll.BDH("TMUS US Equity","PREPAID_ARPU","FY 2021","FY 2021","Currency=USD","Period=FY","BEST_FPERIOD_OVERRIDE=FY","FILING_STATUS=MR","Sort=A","Dates=H","DateFormat=P","Fill=—","Direction=H","UseDPDF=Y")</f>
        <v>38.79</v>
      </c>
      <c r="L32" s="13">
        <f>_xll.BDH("TMUS US Equity","PREPAID_ARPU","FY 2022","FY 2022","Currency=USD","Period=FY","BEST_FPERIOD_OVERRIDE=FY","FILING_STATUS=MR","Sort=A","Dates=H","DateFormat=P","Fill=—","Direction=H","UseDPDF=Y")</f>
        <v>38.76</v>
      </c>
    </row>
    <row r="33" spans="1:1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>
      <c r="A34" s="6" t="s">
        <v>63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>
      <c r="A35" s="10" t="s">
        <v>64</v>
      </c>
      <c r="B35" s="10" t="s">
        <v>65</v>
      </c>
      <c r="C35" s="13">
        <f>_xll.BDH("TMUS US Equity","WIRELESS_SUBSCRIBER_ACQ_COST","FY 2013","FY 2013","Currency=USD","Period=FY","BEST_FPERIOD_OVERRIDE=FY","FILING_STATUS=MR","Sort=A","Dates=H","DateFormat=P","Fill=—","Direction=H","UseDPDF=Y")</f>
        <v>320</v>
      </c>
      <c r="D35" s="13" t="str">
        <f>_xll.BDH("TMUS US Equity","WIRELESS_SUBSCRIBER_ACQ_COST","FY 2014","FY 2014","Currency=USD","Period=FY","BEST_FPERIOD_OVERRIDE=FY","FILING_STATUS=MR","Sort=A","Dates=H","DateFormat=P","Fill=—","Direction=H","UseDPDF=Y")</f>
        <v>—</v>
      </c>
      <c r="E35" s="13" t="str">
        <f>_xll.BDH("TMUS US Equity","WIRELESS_SUBSCRIBER_ACQ_COST","FY 2015","FY 2015","Currency=USD","Period=FY","BEST_FPERIOD_OVERRIDE=FY","FILING_STATUS=MR","Sort=A","Dates=H","DateFormat=P","Fill=—","Direction=H","UseDPDF=Y")</f>
        <v>—</v>
      </c>
      <c r="F35" s="13" t="str">
        <f>_xll.BDH("TMUS US Equity","WIRELESS_SUBSCRIBER_ACQ_COST","FY 2016","FY 2016","Currency=USD","Period=FY","BEST_FPERIOD_OVERRIDE=FY","FILING_STATUS=MR","Sort=A","Dates=H","DateFormat=P","Fill=—","Direction=H","UseDPDF=Y")</f>
        <v>—</v>
      </c>
      <c r="G35" s="13" t="str">
        <f>_xll.BDH("TMUS US Equity","WIRELESS_SUBSCRIBER_ACQ_COST","FY 2017","FY 2017","Currency=USD","Period=FY","BEST_FPERIOD_OVERRIDE=FY","FILING_STATUS=MR","Sort=A","Dates=H","DateFormat=P","Fill=—","Direction=H","UseDPDF=Y")</f>
        <v>—</v>
      </c>
      <c r="H35" s="13" t="str">
        <f>_xll.BDH("TMUS US Equity","WIRELESS_SUBSCRIBER_ACQ_COST","FY 2018","FY 2018","Currency=USD","Period=FY","BEST_FPERIOD_OVERRIDE=FY","FILING_STATUS=MR","Sort=A","Dates=H","DateFormat=P","Fill=—","Direction=H","UseDPDF=Y")</f>
        <v>—</v>
      </c>
      <c r="I35" s="13" t="str">
        <f>_xll.BDH("TMUS US Equity","WIRELESS_SUBSCRIBER_ACQ_COST","FY 2019","FY 2019","Currency=USD","Period=FY","BEST_FPERIOD_OVERRIDE=FY","FILING_STATUS=MR","Sort=A","Dates=H","DateFormat=P","Fill=—","Direction=H","UseDPDF=Y")</f>
        <v>—</v>
      </c>
      <c r="J35" s="13" t="str">
        <f>_xll.BDH("TMUS US Equity","WIRELESS_SUBSCRIBER_ACQ_COST","FY 2020","FY 2020","Currency=USD","Period=FY","BEST_FPERIOD_OVERRIDE=FY","FILING_STATUS=MR","Sort=A","Dates=H","DateFormat=P","Fill=—","Direction=H","UseDPDF=Y")</f>
        <v>—</v>
      </c>
      <c r="K35" s="13" t="str">
        <f>_xll.BDH("TMUS US Equity","WIRELESS_SUBSCRIBER_ACQ_COST","FY 2021","FY 2021","Currency=USD","Period=FY","BEST_FPERIOD_OVERRIDE=FY","FILING_STATUS=MR","Sort=A","Dates=H","DateFormat=P","Fill=—","Direction=H","UseDPDF=Y")</f>
        <v>—</v>
      </c>
      <c r="L35" s="13" t="str">
        <f>_xll.BDH("TMUS US Equity","WIRELESS_SUBSCRIBER_ACQ_COST","FY 2022","FY 2022","Currency=USD","Period=FY","BEST_FPERIOD_OVERRIDE=FY","FILING_STATUS=MR","Sort=A","Dates=H","DateFormat=P","Fill=—","Direction=H","UseDPDF=Y")</f>
        <v>—</v>
      </c>
    </row>
    <row r="36" spans="1:12">
      <c r="A36" s="10" t="s">
        <v>66</v>
      </c>
      <c r="B36" s="10" t="s">
        <v>67</v>
      </c>
      <c r="C36" s="12">
        <f>_xll.BDH("TMUS US Equity","CONNECTED_DEVICE_SUBSCRIBERS","FY 2013","FY 2013","Currency=USD","Period=FY","BEST_FPERIOD_OVERRIDE=FY","FILING_STATUS=MR","Sort=A","Dates=H","DateFormat=P","Fill=—","Direction=H","UseDPDF=Y")</f>
        <v>3602</v>
      </c>
      <c r="D36" s="12" t="str">
        <f>_xll.BDH("TMUS US Equity","CONNECTED_DEVICE_SUBSCRIBERS","FY 2014","FY 2014","Currency=USD","Period=FY","BEST_FPERIOD_OVERRIDE=FY","FILING_STATUS=MR","Sort=A","Dates=H","DateFormat=P","Fill=—","Direction=H","UseDPDF=Y")</f>
        <v>—</v>
      </c>
      <c r="E36" s="12" t="str">
        <f>_xll.BDH("TMUS US Equity","CONNECTED_DEVICE_SUBSCRIBERS","FY 2015","FY 2015","Currency=USD","Period=FY","BEST_FPERIOD_OVERRIDE=FY","FILING_STATUS=MR","Sort=A","Dates=H","DateFormat=P","Fill=—","Direction=H","UseDPDF=Y")</f>
        <v>—</v>
      </c>
      <c r="F36" s="12" t="str">
        <f>_xll.BDH("TMUS US Equity","CONNECTED_DEVICE_SUBSCRIBERS","FY 2016","FY 2016","Currency=USD","Period=FY","BEST_FPERIOD_OVERRIDE=FY","FILING_STATUS=MR","Sort=A","Dates=H","DateFormat=P","Fill=—","Direction=H","UseDPDF=Y")</f>
        <v>—</v>
      </c>
      <c r="G36" s="12" t="str">
        <f>_xll.BDH("TMUS US Equity","CONNECTED_DEVICE_SUBSCRIBERS","FY 2017","FY 2017","Currency=USD","Period=FY","BEST_FPERIOD_OVERRIDE=FY","FILING_STATUS=MR","Sort=A","Dates=H","DateFormat=P","Fill=—","Direction=H","UseDPDF=Y")</f>
        <v>—</v>
      </c>
      <c r="H36" s="12" t="str">
        <f>_xll.BDH("TMUS US Equity","CONNECTED_DEVICE_SUBSCRIBERS","FY 2018","FY 2018","Currency=USD","Period=FY","BEST_FPERIOD_OVERRIDE=FY","FILING_STATUS=MR","Sort=A","Dates=H","DateFormat=P","Fill=—","Direction=H","UseDPDF=Y")</f>
        <v>—</v>
      </c>
      <c r="I36" s="12" t="str">
        <f>_xll.BDH("TMUS US Equity","CONNECTED_DEVICE_SUBSCRIBERS","FY 2019","FY 2019","Currency=USD","Period=FY","BEST_FPERIOD_OVERRIDE=FY","FILING_STATUS=MR","Sort=A","Dates=H","DateFormat=P","Fill=—","Direction=H","UseDPDF=Y")</f>
        <v>—</v>
      </c>
      <c r="J36" s="12" t="str">
        <f>_xll.BDH("TMUS US Equity","CONNECTED_DEVICE_SUBSCRIBERS","FY 2020","FY 2020","Currency=USD","Period=FY","BEST_FPERIOD_OVERRIDE=FY","FILING_STATUS=MR","Sort=A","Dates=H","DateFormat=P","Fill=—","Direction=H","UseDPDF=Y")</f>
        <v>—</v>
      </c>
      <c r="K36" s="12" t="str">
        <f>_xll.BDH("TMUS US Equity","CONNECTED_DEVICE_SUBSCRIBERS","FY 2021","FY 2021","Currency=USD","Period=FY","BEST_FPERIOD_OVERRIDE=FY","FILING_STATUS=MR","Sort=A","Dates=H","DateFormat=P","Fill=—","Direction=H","UseDPDF=Y")</f>
        <v>—</v>
      </c>
      <c r="L36" s="12" t="str">
        <f>_xll.BDH("TMUS US Equity","CONNECTED_DEVICE_SUBSCRIBERS","FY 2022","FY 2022","Currency=USD","Period=FY","BEST_FPERIOD_OVERRIDE=FY","FILING_STATUS=MR","Sort=A","Dates=H","DateFormat=P","Fill=—","Direction=H","UseDPDF=Y")</f>
        <v>—</v>
      </c>
    </row>
    <row r="37" spans="1:12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>
      <c r="A38" s="6" t="s">
        <v>68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>
      <c r="A39" s="10" t="s">
        <v>69</v>
      </c>
      <c r="B39" s="10" t="s">
        <v>70</v>
      </c>
      <c r="C39" s="12">
        <f>_xll.BDH("TMUS US Equity","COST_OF_SERVICE_CELLULAR_TELECOM","FY 2013","FY 2013","Currency=USD","Period=FY","BEST_FPERIOD_OVERRIDE=FY","FILING_STATUS=MR","SCALING_FORMAT=MLN","Sort=A","Dates=H","DateFormat=P","Fill=—","Direction=H","UseDPDF=Y")</f>
        <v>5279</v>
      </c>
      <c r="D39" s="12">
        <f>_xll.BDH("TMUS US Equity","COST_OF_SERVICE_CELLULAR_TELECOM","FY 2014","FY 2014","Currency=USD","Period=FY","BEST_FPERIOD_OVERRIDE=FY","FILING_STATUS=MR","SCALING_FORMAT=MLN","Sort=A","Dates=H","DateFormat=P","Fill=—","Direction=H","UseDPDF=Y")</f>
        <v>5788</v>
      </c>
      <c r="E39" s="12">
        <f>_xll.BDH("TMUS US Equity","COST_OF_SERVICE_CELLULAR_TELECOM","FY 2015","FY 2015","Currency=USD","Period=FY","BEST_FPERIOD_OVERRIDE=FY","FILING_STATUS=MR","SCALING_FORMAT=MLN","Sort=A","Dates=H","DateFormat=P","Fill=—","Direction=H","UseDPDF=Y")</f>
        <v>5554</v>
      </c>
      <c r="F39" s="12">
        <f>_xll.BDH("TMUS US Equity","COST_OF_SERVICE_CELLULAR_TELECOM","FY 2016","FY 2016","Currency=USD","Period=FY","BEST_FPERIOD_OVERRIDE=FY","FILING_STATUS=MR","SCALING_FORMAT=MLN","Sort=A","Dates=H","DateFormat=P","Fill=—","Direction=H","UseDPDF=Y")</f>
        <v>5731</v>
      </c>
      <c r="G39" s="12">
        <f>_xll.BDH("TMUS US Equity","COST_OF_SERVICE_CELLULAR_TELECOM","FY 2017","FY 2017","Currency=USD","Period=FY","BEST_FPERIOD_OVERRIDE=FY","FILING_STATUS=MR","SCALING_FORMAT=MLN","Sort=A","Dates=H","DateFormat=P","Fill=—","Direction=H","UseDPDF=Y")</f>
        <v>6100</v>
      </c>
      <c r="H39" s="12">
        <f>_xll.BDH("TMUS US Equity","COST_OF_SERVICE_CELLULAR_TELECOM","FY 2018","FY 2018","Currency=USD","Period=FY","BEST_FPERIOD_OVERRIDE=FY","FILING_STATUS=MR","SCALING_FORMAT=MLN","Sort=A","Dates=H","DateFormat=P","Fill=—","Direction=H","UseDPDF=Y")</f>
        <v>6307</v>
      </c>
      <c r="I39" s="12">
        <f>_xll.BDH("TMUS US Equity","COST_OF_SERVICE_CELLULAR_TELECOM","FY 2019","FY 2019","Currency=USD","Period=FY","BEST_FPERIOD_OVERRIDE=FY","FILING_STATUS=MR","SCALING_FORMAT=MLN","Sort=A","Dates=H","DateFormat=P","Fill=—","Direction=H","UseDPDF=Y")</f>
        <v>6622</v>
      </c>
      <c r="J39" s="12">
        <f>_xll.BDH("TMUS US Equity","COST_OF_SERVICE_CELLULAR_TELECOM","FY 2020","FY 2020","Currency=USD","Period=FY","BEST_FPERIOD_OVERRIDE=FY","FILING_STATUS=MR","SCALING_FORMAT=MLN","Sort=A","Dates=H","DateFormat=P","Fill=—","Direction=H","UseDPDF=Y")</f>
        <v>11878</v>
      </c>
      <c r="K39" s="12">
        <f>_xll.BDH("TMUS US Equity","COST_OF_SERVICE_CELLULAR_TELECOM","FY 2021","FY 2021","Currency=USD","Period=FY","BEST_FPERIOD_OVERRIDE=FY","FILING_STATUS=MR","SCALING_FORMAT=MLN","Sort=A","Dates=H","DateFormat=P","Fill=—","Direction=H","UseDPDF=Y")</f>
        <v>13934</v>
      </c>
      <c r="L39" s="12">
        <f>_xll.BDH("TMUS US Equity","COST_OF_SERVICE_CELLULAR_TELECOM","FY 2022","FY 2022","Currency=USD","Period=FY","BEST_FPERIOD_OVERRIDE=FY","FILING_STATUS=MR","SCALING_FORMAT=MLN","Sort=A","Dates=H","DateFormat=P","Fill=—","Direction=H","UseDPDF=Y")</f>
        <v>14666</v>
      </c>
    </row>
    <row r="40" spans="1:12">
      <c r="A40" s="10" t="s">
        <v>71</v>
      </c>
      <c r="B40" s="10" t="s">
        <v>72</v>
      </c>
      <c r="C40" s="12">
        <f>_xll.BDH("TMUS US Equity","COST_OF_EQUIPMENT_CELLULAR_TELEC","FY 2013","FY 2013","Currency=USD","Period=FY","BEST_FPERIOD_OVERRIDE=FY","FILING_STATUS=MR","SCALING_FORMAT=MLN","Sort=A","Dates=H","DateFormat=P","Fill=—","Direction=H","UseDPDF=Y")</f>
        <v>6976</v>
      </c>
      <c r="D40" s="12">
        <f>_xll.BDH("TMUS US Equity","COST_OF_EQUIPMENT_CELLULAR_TELEC","FY 2014","FY 2014","Currency=USD","Period=FY","BEST_FPERIOD_OVERRIDE=FY","FILING_STATUS=MR","SCALING_FORMAT=MLN","Sort=A","Dates=H","DateFormat=P","Fill=—","Direction=H","UseDPDF=Y")</f>
        <v>9621</v>
      </c>
      <c r="E40" s="12">
        <f>_xll.BDH("TMUS US Equity","COST_OF_EQUIPMENT_CELLULAR_TELEC","FY 2015","FY 2015","Currency=USD","Period=FY","BEST_FPERIOD_OVERRIDE=FY","FILING_STATUS=MR","SCALING_FORMAT=MLN","Sort=A","Dates=H","DateFormat=P","Fill=—","Direction=H","UseDPDF=Y")</f>
        <v>9344</v>
      </c>
      <c r="F40" s="12">
        <f>_xll.BDH("TMUS US Equity","COST_OF_EQUIPMENT_CELLULAR_TELEC","FY 2016","FY 2016","Currency=USD","Period=FY","BEST_FPERIOD_OVERRIDE=FY","FILING_STATUS=MR","SCALING_FORMAT=MLN","Sort=A","Dates=H","DateFormat=P","Fill=—","Direction=H","UseDPDF=Y")</f>
        <v>10819</v>
      </c>
      <c r="G40" s="12">
        <f>_xll.BDH("TMUS US Equity","COST_OF_EQUIPMENT_CELLULAR_TELEC","FY 2017","FY 2017","Currency=USD","Period=FY","BEST_FPERIOD_OVERRIDE=FY","FILING_STATUS=MR","SCALING_FORMAT=MLN","Sort=A","Dates=H","DateFormat=P","Fill=—","Direction=H","UseDPDF=Y")</f>
        <v>11608</v>
      </c>
      <c r="H40" s="12">
        <f>_xll.BDH("TMUS US Equity","COST_OF_EQUIPMENT_CELLULAR_TELEC","FY 2018","FY 2018","Currency=USD","Period=FY","BEST_FPERIOD_OVERRIDE=FY","FILING_STATUS=MR","SCALING_FORMAT=MLN","Sort=A","Dates=H","DateFormat=P","Fill=—","Direction=H","UseDPDF=Y")</f>
        <v>12047</v>
      </c>
      <c r="I40" s="12">
        <f>_xll.BDH("TMUS US Equity","COST_OF_EQUIPMENT_CELLULAR_TELEC","FY 2019","FY 2019","Currency=USD","Period=FY","BEST_FPERIOD_OVERRIDE=FY","FILING_STATUS=MR","SCALING_FORMAT=MLN","Sort=A","Dates=H","DateFormat=P","Fill=—","Direction=H","UseDPDF=Y")</f>
        <v>11899</v>
      </c>
      <c r="J40" s="12">
        <f>_xll.BDH("TMUS US Equity","COST_OF_EQUIPMENT_CELLULAR_TELEC","FY 2020","FY 2020","Currency=USD","Period=FY","BEST_FPERIOD_OVERRIDE=FY","FILING_STATUS=MR","SCALING_FORMAT=MLN","Sort=A","Dates=H","DateFormat=P","Fill=—","Direction=H","UseDPDF=Y")</f>
        <v>16388</v>
      </c>
      <c r="K40" s="12">
        <f>_xll.BDH("TMUS US Equity","COST_OF_EQUIPMENT_CELLULAR_TELEC","FY 2021","FY 2021","Currency=USD","Period=FY","BEST_FPERIOD_OVERRIDE=FY","FILING_STATUS=MR","SCALING_FORMAT=MLN","Sort=A","Dates=H","DateFormat=P","Fill=—","Direction=H","UseDPDF=Y")</f>
        <v>22671</v>
      </c>
      <c r="L40" s="12">
        <f>_xll.BDH("TMUS US Equity","COST_OF_EQUIPMENT_CELLULAR_TELEC","FY 2022","FY 2022","Currency=USD","Period=FY","BEST_FPERIOD_OVERRIDE=FY","FILING_STATUS=MR","SCALING_FORMAT=MLN","Sort=A","Dates=H","DateFormat=P","Fill=—","Direction=H","UseDPDF=Y")</f>
        <v>21540</v>
      </c>
    </row>
    <row r="41" spans="1:12">
      <c r="A41" s="10" t="s">
        <v>73</v>
      </c>
      <c r="B41" s="10" t="s">
        <v>73</v>
      </c>
      <c r="C41" s="12">
        <f>_xll.BDH("TMUS US Equity","EBITDA","FY 2013","FY 2013","Currency=USD","Period=FY","BEST_FPERIOD_OVERRIDE=FY","FILING_STATUS=MR","SCALING_FORMAT=MLN","FA_ADJUSTED=GAAP","Sort=A","Dates=H","DateFormat=P","Fill=—","Direction=H","UseDPDF=Y")</f>
        <v>4623</v>
      </c>
      <c r="D41" s="12">
        <f>_xll.BDH("TMUS US Equity","EBITDA","FY 2014","FY 2014","Currency=USD","Period=FY","BEST_FPERIOD_OVERRIDE=FY","FILING_STATUS=MR","SCALING_FORMAT=MLN","FA_ADJUSTED=GAAP","Sort=A","Dates=H","DateFormat=P","Fill=—","Direction=H","UseDPDF=Y")</f>
        <v>5828</v>
      </c>
      <c r="E41" s="12">
        <f>_xll.BDH("TMUS US Equity","EBITDA","FY 2015","FY 2015","Currency=USD","Period=FY","BEST_FPERIOD_OVERRIDE=FY","FILING_STATUS=MR","SCALING_FORMAT=MLN","FA_ADJUSTED=GAAP","Sort=A","Dates=H","DateFormat=P","Fill=—","Direction=H","UseDPDF=Y")</f>
        <v>6753</v>
      </c>
      <c r="F41" s="12">
        <f>_xll.BDH("TMUS US Equity","EBITDA","FY 2016","FY 2016","Currency=USD","Period=FY","BEST_FPERIOD_OVERRIDE=FY","FILING_STATUS=MR","SCALING_FORMAT=MLN","FA_ADJUSTED=GAAP","Sort=A","Dates=H","DateFormat=P","Fill=—","Direction=H","UseDPDF=Y")</f>
        <v>10293</v>
      </c>
      <c r="G41" s="12">
        <f>_xll.BDH("TMUS US Equity","EBITDA","FY 2017","FY 2017","Currency=USD","Period=FY","BEST_FPERIOD_OVERRIDE=FY","FILING_STATUS=MR","SCALING_FORMAT=MLN","FA_ADJUSTED=GAAP","Sort=A","Dates=H","DateFormat=P","Fill=—","Direction=H","UseDPDF=Y")</f>
        <v>10872</v>
      </c>
      <c r="H41" s="12">
        <f>_xll.BDH("TMUS US Equity","EBITDA","FY 2018","FY 2018","Currency=USD","Period=FY","BEST_FPERIOD_OVERRIDE=FY","FILING_STATUS=MR","SCALING_FORMAT=MLN","FA_ADJUSTED=GAAP","Sort=A","Dates=H","DateFormat=P","Fill=—","Direction=H","UseDPDF=Y")</f>
        <v>11795</v>
      </c>
      <c r="I41" s="12">
        <f>_xll.BDH("TMUS US Equity","EBITDA","FY 2019","FY 2019","Currency=USD","Period=FY","BEST_FPERIOD_OVERRIDE=FY","FILING_STATUS=MR","SCALING_FORMAT=MLN","FA_ADJUSTED=GAAP","Sort=A","Dates=H","DateFormat=P","Fill=—","Direction=H","UseDPDF=Y")</f>
        <v>14896</v>
      </c>
      <c r="J41" s="12">
        <f>_xll.BDH("TMUS US Equity","EBITDA","FY 2020","FY 2020","Currency=USD","Period=FY","BEST_FPERIOD_OVERRIDE=FY","FILING_STATUS=MR","SCALING_FORMAT=MLN","FA_ADJUSTED=GAAP","Sort=A","Dates=H","DateFormat=P","Fill=—","Direction=H","UseDPDF=Y")</f>
        <v>25225</v>
      </c>
      <c r="K41" s="12">
        <f>_xll.BDH("TMUS US Equity","EBITDA","FY 2021","FY 2021","Currency=USD","Period=FY","BEST_FPERIOD_OVERRIDE=FY","FILING_STATUS=MR","SCALING_FORMAT=MLN","FA_ADJUSTED=GAAP","Sort=A","Dates=H","DateFormat=P","Fill=—","Direction=H","UseDPDF=Y")</f>
        <v>29196</v>
      </c>
      <c r="L41" s="12">
        <f>_xll.BDH("TMUS US Equity","EBITDA","FY 2022","FY 2022","Currency=USD","Period=FY","BEST_FPERIOD_OVERRIDE=FY","FILING_STATUS=MR","SCALING_FORMAT=MLN","FA_ADJUSTED=GAAP","Sort=A","Dates=H","DateFormat=P","Fill=—","Direction=H","UseDPDF=Y")</f>
        <v>26708</v>
      </c>
    </row>
    <row r="42" spans="1:12">
      <c r="A42" s="10" t="s">
        <v>74</v>
      </c>
      <c r="B42" s="10" t="s">
        <v>75</v>
      </c>
      <c r="C42" s="12">
        <f>_xll.BDH("TMUS US Equity","ARD_OPERATING_INCOME","FY 2013","FY 2013","Currency=USD","Period=FY","BEST_FPERIOD_OVERRIDE=FY","FILING_STATUS=MR","SCALING_FORMAT=MLN","Sort=A","Dates=H","DateFormat=P","Fill=—","Direction=H","UseDPDF=Y")</f>
        <v>996</v>
      </c>
      <c r="D42" s="12">
        <f>_xll.BDH("TMUS US Equity","ARD_OPERATING_INCOME","FY 2014","FY 2014","Currency=USD","Period=FY","BEST_FPERIOD_OVERRIDE=FY","FILING_STATUS=MR","SCALING_FORMAT=MLN","Sort=A","Dates=H","DateFormat=P","Fill=—","Direction=H","UseDPDF=Y")</f>
        <v>1416</v>
      </c>
      <c r="E42" s="12">
        <f>_xll.BDH("TMUS US Equity","ARD_OPERATING_INCOME","FY 2015","FY 2015","Currency=USD","Period=FY","BEST_FPERIOD_OVERRIDE=FY","FILING_STATUS=MR","SCALING_FORMAT=MLN","Sort=A","Dates=H","DateFormat=P","Fill=—","Direction=H","UseDPDF=Y")</f>
        <v>2065</v>
      </c>
      <c r="F42" s="12">
        <f>_xll.BDH("TMUS US Equity","ARD_OPERATING_INCOME","FY 2016","FY 2016","Currency=USD","Period=FY","BEST_FPERIOD_OVERRIDE=FY","FILING_STATUS=MR","SCALING_FORMAT=MLN","Sort=A","Dates=H","DateFormat=P","Fill=—","Direction=H","UseDPDF=Y")</f>
        <v>4050</v>
      </c>
      <c r="G42" s="12">
        <f>_xll.BDH("TMUS US Equity","ARD_OPERATING_INCOME","FY 2017","FY 2017","Currency=USD","Period=FY","BEST_FPERIOD_OVERRIDE=FY","FILING_STATUS=MR","SCALING_FORMAT=MLN","Sort=A","Dates=H","DateFormat=P","Fill=—","Direction=H","UseDPDF=Y")</f>
        <v>4888</v>
      </c>
      <c r="H42" s="12">
        <f>_xll.BDH("TMUS US Equity","ARD_OPERATING_INCOME","FY 2018","FY 2018","Currency=USD","Period=FY","BEST_FPERIOD_OVERRIDE=FY","FILING_STATUS=MR","SCALING_FORMAT=MLN","Sort=A","Dates=H","DateFormat=P","Fill=—","Direction=H","UseDPDF=Y")</f>
        <v>5309</v>
      </c>
      <c r="I42" s="12">
        <f>_xll.BDH("TMUS US Equity","ARD_OPERATING_INCOME","FY 2019","FY 2019","Currency=USD","Period=FY","BEST_FPERIOD_OVERRIDE=FY","FILING_STATUS=MR","SCALING_FORMAT=MLN","Sort=A","Dates=H","DateFormat=P","Fill=—","Direction=H","UseDPDF=Y")</f>
        <v>5722</v>
      </c>
      <c r="J42" s="12">
        <f>_xll.BDH("TMUS US Equity","ARD_OPERATING_INCOME","FY 2020","FY 2020","Currency=USD","Period=FY","BEST_FPERIOD_OVERRIDE=FY","FILING_STATUS=MR","SCALING_FORMAT=MLN","Sort=A","Dates=H","DateFormat=P","Fill=—","Direction=H","UseDPDF=Y")</f>
        <v>6636</v>
      </c>
      <c r="K42" s="12">
        <f>_xll.BDH("TMUS US Equity","ARD_OPERATING_INCOME","FY 2021","FY 2021","Currency=USD","Period=FY","BEST_FPERIOD_OVERRIDE=FY","FILING_STATUS=MR","SCALING_FORMAT=MLN","Sort=A","Dates=H","DateFormat=P","Fill=—","Direction=H","UseDPDF=Y")</f>
        <v>6892</v>
      </c>
      <c r="L42" s="12">
        <f>_xll.BDH("TMUS US Equity","ARD_OPERATING_INCOME","FY 2022","FY 2022","Currency=USD","Period=FY","BEST_FPERIOD_OVERRIDE=FY","FILING_STATUS=MR","SCALING_FORMAT=MLN","Sort=A","Dates=H","DateFormat=P","Fill=—","Direction=H","UseDPDF=Y")</f>
        <v>6543</v>
      </c>
    </row>
    <row r="43" spans="1:12">
      <c r="A43" s="10" t="s">
        <v>76</v>
      </c>
      <c r="B43" s="10" t="s">
        <v>77</v>
      </c>
      <c r="C43" s="12">
        <f>_xll.BDH("TMUS US Equity","CF_CAP_EXPEND_PRPTY_ADD","FY 2013","FY 2013","Currency=USD","Period=FY","BEST_FPERIOD_OVERRIDE=FY","FILING_STATUS=MR","SCALING_FORMAT=MLN","Sort=A","Dates=H","DateFormat=P","Fill=—","Direction=H","UseDPDF=Y")</f>
        <v>-4025</v>
      </c>
      <c r="D43" s="12">
        <f>_xll.BDH("TMUS US Equity","CF_CAP_EXPEND_PRPTY_ADD","FY 2014","FY 2014","Currency=USD","Period=FY","BEST_FPERIOD_OVERRIDE=FY","FILING_STATUS=MR","SCALING_FORMAT=MLN","Sort=A","Dates=H","DateFormat=P","Fill=—","Direction=H","UseDPDF=Y")</f>
        <v>-4317</v>
      </c>
      <c r="E43" s="12">
        <f>_xll.BDH("TMUS US Equity","CF_CAP_EXPEND_PRPTY_ADD","FY 2015","FY 2015","Currency=USD","Period=FY","BEST_FPERIOD_OVERRIDE=FY","FILING_STATUS=MR","SCALING_FORMAT=MLN","Sort=A","Dates=H","DateFormat=P","Fill=—","Direction=H","UseDPDF=Y")</f>
        <v>-4724</v>
      </c>
      <c r="F43" s="12">
        <f>_xll.BDH("TMUS US Equity","CF_CAP_EXPEND_PRPTY_ADD","FY 2016","FY 2016","Currency=USD","Period=FY","BEST_FPERIOD_OVERRIDE=FY","FILING_STATUS=MR","SCALING_FORMAT=MLN","Sort=A","Dates=H","DateFormat=P","Fill=—","Direction=H","UseDPDF=Y")</f>
        <v>-4702</v>
      </c>
      <c r="G43" s="12">
        <f>_xll.BDH("TMUS US Equity","CF_CAP_EXPEND_PRPTY_ADD","FY 2017","FY 2017","Currency=USD","Period=FY","BEST_FPERIOD_OVERRIDE=FY","FILING_STATUS=MR","SCALING_FORMAT=MLN","Sort=A","Dates=H","DateFormat=P","Fill=—","Direction=H","UseDPDF=Y")</f>
        <v>-5237</v>
      </c>
      <c r="H43" s="12">
        <f>_xll.BDH("TMUS US Equity","CF_CAP_EXPEND_PRPTY_ADD","FY 2018","FY 2018","Currency=USD","Period=FY","BEST_FPERIOD_OVERRIDE=FY","FILING_STATUS=MR","SCALING_FORMAT=MLN","Sort=A","Dates=H","DateFormat=P","Fill=—","Direction=H","UseDPDF=Y")</f>
        <v>-5541</v>
      </c>
      <c r="I43" s="12">
        <f>_xll.BDH("TMUS US Equity","CF_CAP_EXPEND_PRPTY_ADD","FY 2019","FY 2019","Currency=USD","Period=FY","BEST_FPERIOD_OVERRIDE=FY","FILING_STATUS=MR","SCALING_FORMAT=MLN","Sort=A","Dates=H","DateFormat=P","Fill=—","Direction=H","UseDPDF=Y")</f>
        <v>-6391</v>
      </c>
      <c r="J43" s="12">
        <f>_xll.BDH("TMUS US Equity","CF_CAP_EXPEND_PRPTY_ADD","FY 2020","FY 2020","Currency=USD","Period=FY","BEST_FPERIOD_OVERRIDE=FY","FILING_STATUS=MR","SCALING_FORMAT=MLN","Sort=A","Dates=H","DateFormat=P","Fill=—","Direction=H","UseDPDF=Y")</f>
        <v>-11034</v>
      </c>
      <c r="K43" s="12">
        <f>_xll.BDH("TMUS US Equity","CF_CAP_EXPEND_PRPTY_ADD","FY 2021","FY 2021","Currency=USD","Period=FY","BEST_FPERIOD_OVERRIDE=FY","FILING_STATUS=MR","SCALING_FORMAT=MLN","Sort=A","Dates=H","DateFormat=P","Fill=—","Direction=H","UseDPDF=Y")</f>
        <v>-12326</v>
      </c>
      <c r="L43" s="12">
        <f>_xll.BDH("TMUS US Equity","CF_CAP_EXPEND_PRPTY_ADD","FY 2022","FY 2022","Currency=USD","Period=FY","BEST_FPERIOD_OVERRIDE=FY","FILING_STATUS=MR","SCALING_FORMAT=MLN","Sort=A","Dates=H","DateFormat=P","Fill=—","Direction=H","UseDPDF=Y")</f>
        <v>-13970</v>
      </c>
    </row>
    <row r="44" spans="1:12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>
      <c r="A45" s="6" t="s">
        <v>78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>
      <c r="A46" s="6" t="s">
        <v>24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>
      <c r="A48" s="6" t="s">
        <v>31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>
      <c r="A49" s="10" t="s">
        <v>79</v>
      </c>
      <c r="B49" s="10" t="s">
        <v>80</v>
      </c>
      <c r="C49" s="12" t="str">
        <f>_xll.BDH("TMUS US Equity","BROADBAND_HSI_SUBSCRIBERS","FY 2013","FY 2013","Currency=USD","Period=FY","BEST_FPERIOD_OVERRIDE=FY","FILING_STATUS=MR","Sort=A","Dates=H","DateFormat=P","Fill=—","Direction=H","UseDPDF=Y")</f>
        <v>—</v>
      </c>
      <c r="D49" s="12" t="str">
        <f>_xll.BDH("TMUS US Equity","BROADBAND_HSI_SUBSCRIBERS","FY 2014","FY 2014","Currency=USD","Period=FY","BEST_FPERIOD_OVERRIDE=FY","FILING_STATUS=MR","Sort=A","Dates=H","DateFormat=P","Fill=—","Direction=H","UseDPDF=Y")</f>
        <v>—</v>
      </c>
      <c r="E49" s="12" t="str">
        <f>_xll.BDH("TMUS US Equity","BROADBAND_HSI_SUBSCRIBERS","FY 2015","FY 2015","Currency=USD","Period=FY","BEST_FPERIOD_OVERRIDE=FY","FILING_STATUS=MR","Sort=A","Dates=H","DateFormat=P","Fill=—","Direction=H","UseDPDF=Y")</f>
        <v>—</v>
      </c>
      <c r="F49" s="12" t="str">
        <f>_xll.BDH("TMUS US Equity","BROADBAND_HSI_SUBSCRIBERS","FY 2016","FY 2016","Currency=USD","Period=FY","BEST_FPERIOD_OVERRIDE=FY","FILING_STATUS=MR","Sort=A","Dates=H","DateFormat=P","Fill=—","Direction=H","UseDPDF=Y")</f>
        <v>—</v>
      </c>
      <c r="G49" s="12" t="str">
        <f>_xll.BDH("TMUS US Equity","BROADBAND_HSI_SUBSCRIBERS","FY 2017","FY 2017","Currency=USD","Period=FY","BEST_FPERIOD_OVERRIDE=FY","FILING_STATUS=MR","Sort=A","Dates=H","DateFormat=P","Fill=—","Direction=H","UseDPDF=Y")</f>
        <v>—</v>
      </c>
      <c r="H49" s="12" t="str">
        <f>_xll.BDH("TMUS US Equity","BROADBAND_HSI_SUBSCRIBERS","FY 2018","FY 2018","Currency=USD","Period=FY","BEST_FPERIOD_OVERRIDE=FY","FILING_STATUS=MR","Sort=A","Dates=H","DateFormat=P","Fill=—","Direction=H","UseDPDF=Y")</f>
        <v>—</v>
      </c>
      <c r="I49" s="12" t="str">
        <f>_xll.BDH("TMUS US Equity","BROADBAND_HSI_SUBSCRIBERS","FY 2019","FY 2019","Currency=USD","Period=FY","BEST_FPERIOD_OVERRIDE=FY","FILING_STATUS=MR","Sort=A","Dates=H","DateFormat=P","Fill=—","Direction=H","UseDPDF=Y")</f>
        <v>—</v>
      </c>
      <c r="J49" s="12" t="str">
        <f>_xll.BDH("TMUS US Equity","BROADBAND_HSI_SUBSCRIBERS","FY 2020","FY 2020","Currency=USD","Period=FY","BEST_FPERIOD_OVERRIDE=FY","FILING_STATUS=MR","Sort=A","Dates=H","DateFormat=P","Fill=—","Direction=H","UseDPDF=Y")</f>
        <v>—</v>
      </c>
      <c r="K49" s="12">
        <f>_xll.BDH("TMUS US Equity","BROADBAND_HSI_SUBSCRIBERS","FY 2021","FY 2021","Currency=USD","Period=FY","BEST_FPERIOD_OVERRIDE=FY","FILING_STATUS=MR","Sort=A","Dates=H","DateFormat=P","Fill=—","Direction=H","UseDPDF=Y")</f>
        <v>646</v>
      </c>
      <c r="L49" s="12">
        <f>_xll.BDH("TMUS US Equity","BROADBAND_HSI_SUBSCRIBERS","FY 2022","FY 2022","Currency=USD","Period=FY","BEST_FPERIOD_OVERRIDE=FY","FILING_STATUS=MR","Sort=A","Dates=H","DateFormat=P","Fill=—","Direction=H","UseDPDF=Y")</f>
        <v>2646</v>
      </c>
    </row>
    <row r="50" spans="1:12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>
      <c r="A51" s="6" t="s">
        <v>40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>
      <c r="A52" s="10" t="s">
        <v>81</v>
      </c>
      <c r="B52" s="10" t="s">
        <v>82</v>
      </c>
      <c r="C52" s="13" t="str">
        <f>_xll.BDH("TMUS US Equity","BROADBAND_HSI_NET_SUBSCRIB_ADDS","FY 2013","FY 2013","Currency=USD","Period=FY","BEST_FPERIOD_OVERRIDE=FY","FILING_STATUS=MR","Sort=A","Dates=H","DateFormat=P","Fill=—","Direction=H","UseDPDF=Y")</f>
        <v>—</v>
      </c>
      <c r="D52" s="13" t="str">
        <f>_xll.BDH("TMUS US Equity","BROADBAND_HSI_NET_SUBSCRIB_ADDS","FY 2014","FY 2014","Currency=USD","Period=FY","BEST_FPERIOD_OVERRIDE=FY","FILING_STATUS=MR","Sort=A","Dates=H","DateFormat=P","Fill=—","Direction=H","UseDPDF=Y")</f>
        <v>—</v>
      </c>
      <c r="E52" s="13" t="str">
        <f>_xll.BDH("TMUS US Equity","BROADBAND_HSI_NET_SUBSCRIB_ADDS","FY 2015","FY 2015","Currency=USD","Period=FY","BEST_FPERIOD_OVERRIDE=FY","FILING_STATUS=MR","Sort=A","Dates=H","DateFormat=P","Fill=—","Direction=H","UseDPDF=Y")</f>
        <v>—</v>
      </c>
      <c r="F52" s="13" t="str">
        <f>_xll.BDH("TMUS US Equity","BROADBAND_HSI_NET_SUBSCRIB_ADDS","FY 2016","FY 2016","Currency=USD","Period=FY","BEST_FPERIOD_OVERRIDE=FY","FILING_STATUS=MR","Sort=A","Dates=H","DateFormat=P","Fill=—","Direction=H","UseDPDF=Y")</f>
        <v>—</v>
      </c>
      <c r="G52" s="13" t="str">
        <f>_xll.BDH("TMUS US Equity","BROADBAND_HSI_NET_SUBSCRIB_ADDS","FY 2017","FY 2017","Currency=USD","Period=FY","BEST_FPERIOD_OVERRIDE=FY","FILING_STATUS=MR","Sort=A","Dates=H","DateFormat=P","Fill=—","Direction=H","UseDPDF=Y")</f>
        <v>—</v>
      </c>
      <c r="H52" s="13" t="str">
        <f>_xll.BDH("TMUS US Equity","BROADBAND_HSI_NET_SUBSCRIB_ADDS","FY 2018","FY 2018","Currency=USD","Period=FY","BEST_FPERIOD_OVERRIDE=FY","FILING_STATUS=MR","Sort=A","Dates=H","DateFormat=P","Fill=—","Direction=H","UseDPDF=Y")</f>
        <v>—</v>
      </c>
      <c r="I52" s="13" t="str">
        <f>_xll.BDH("TMUS US Equity","BROADBAND_HSI_NET_SUBSCRIB_ADDS","FY 2019","FY 2019","Currency=USD","Period=FY","BEST_FPERIOD_OVERRIDE=FY","FILING_STATUS=MR","Sort=A","Dates=H","DateFormat=P","Fill=—","Direction=H","UseDPDF=Y")</f>
        <v>—</v>
      </c>
      <c r="J52" s="13" t="str">
        <f>_xll.BDH("TMUS US Equity","BROADBAND_HSI_NET_SUBSCRIB_ADDS","FY 2020","FY 2020","Currency=USD","Period=FY","BEST_FPERIOD_OVERRIDE=FY","FILING_STATUS=MR","Sort=A","Dates=H","DateFormat=P","Fill=—","Direction=H","UseDPDF=Y")</f>
        <v>—</v>
      </c>
      <c r="K52" s="13">
        <f>_xll.BDH("TMUS US Equity","BROADBAND_HSI_NET_SUBSCRIB_ADDS","FY 2021","FY 2021","Currency=USD","Period=FY","BEST_FPERIOD_OVERRIDE=FY","FILING_STATUS=MR","Sort=A","Dates=H","DateFormat=P","Fill=—","Direction=H","UseDPDF=Y")</f>
        <v>546000</v>
      </c>
      <c r="L52" s="13">
        <f>_xll.BDH("TMUS US Equity","BROADBAND_HSI_NET_SUBSCRIB_ADDS","FY 2022","FY 2022","Currency=USD","Period=FY","BEST_FPERIOD_OVERRIDE=FY","FILING_STATUS=MR","Sort=A","Dates=H","DateFormat=P","Fill=—","Direction=H","UseDPDF=Y")</f>
        <v>2000000</v>
      </c>
    </row>
    <row r="53" spans="1:12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>
      <c r="A54" s="6" t="s">
        <v>83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>
      <c r="A55" s="10" t="s">
        <v>84</v>
      </c>
      <c r="B55" s="10" t="s">
        <v>80</v>
      </c>
      <c r="C55" s="12" t="str">
        <f>_xll.BDH("TMUS US Equity","BROADBAND_HSI_SUBSCRIBERS","FY 2013","FY 2013","Currency=USD","Period=FY","BEST_FPERIOD_OVERRIDE=FY","FILING_STATUS=MR","Sort=A","Dates=H","DateFormat=P","Fill=—","Direction=H","UseDPDF=Y")</f>
        <v>—</v>
      </c>
      <c r="D55" s="12" t="str">
        <f>_xll.BDH("TMUS US Equity","BROADBAND_HSI_SUBSCRIBERS","FY 2014","FY 2014","Currency=USD","Period=FY","BEST_FPERIOD_OVERRIDE=FY","FILING_STATUS=MR","Sort=A","Dates=H","DateFormat=P","Fill=—","Direction=H","UseDPDF=Y")</f>
        <v>—</v>
      </c>
      <c r="E55" s="12" t="str">
        <f>_xll.BDH("TMUS US Equity","BROADBAND_HSI_SUBSCRIBERS","FY 2015","FY 2015","Currency=USD","Period=FY","BEST_FPERIOD_OVERRIDE=FY","FILING_STATUS=MR","Sort=A","Dates=H","DateFormat=P","Fill=—","Direction=H","UseDPDF=Y")</f>
        <v>—</v>
      </c>
      <c r="F55" s="12" t="str">
        <f>_xll.BDH("TMUS US Equity","BROADBAND_HSI_SUBSCRIBERS","FY 2016","FY 2016","Currency=USD","Period=FY","BEST_FPERIOD_OVERRIDE=FY","FILING_STATUS=MR","Sort=A","Dates=H","DateFormat=P","Fill=—","Direction=H","UseDPDF=Y")</f>
        <v>—</v>
      </c>
      <c r="G55" s="12" t="str">
        <f>_xll.BDH("TMUS US Equity","BROADBAND_HSI_SUBSCRIBERS","FY 2017","FY 2017","Currency=USD","Period=FY","BEST_FPERIOD_OVERRIDE=FY","FILING_STATUS=MR","Sort=A","Dates=H","DateFormat=P","Fill=—","Direction=H","UseDPDF=Y")</f>
        <v>—</v>
      </c>
      <c r="H55" s="12" t="str">
        <f>_xll.BDH("TMUS US Equity","BROADBAND_HSI_SUBSCRIBERS","FY 2018","FY 2018","Currency=USD","Period=FY","BEST_FPERIOD_OVERRIDE=FY","FILING_STATUS=MR","Sort=A","Dates=H","DateFormat=P","Fill=—","Direction=H","UseDPDF=Y")</f>
        <v>—</v>
      </c>
      <c r="I55" s="12" t="str">
        <f>_xll.BDH("TMUS US Equity","BROADBAND_HSI_SUBSCRIBERS","FY 2019","FY 2019","Currency=USD","Period=FY","BEST_FPERIOD_OVERRIDE=FY","FILING_STATUS=MR","Sort=A","Dates=H","DateFormat=P","Fill=—","Direction=H","UseDPDF=Y")</f>
        <v>—</v>
      </c>
      <c r="J55" s="12" t="str">
        <f>_xll.BDH("TMUS US Equity","BROADBAND_HSI_SUBSCRIBERS","FY 2020","FY 2020","Currency=USD","Period=FY","BEST_FPERIOD_OVERRIDE=FY","FILING_STATUS=MR","Sort=A","Dates=H","DateFormat=P","Fill=—","Direction=H","UseDPDF=Y")</f>
        <v>—</v>
      </c>
      <c r="K55" s="12">
        <f>_xll.BDH("TMUS US Equity","BROADBAND_HSI_SUBSCRIBERS","FY 2021","FY 2021","Currency=USD","Period=FY","BEST_FPERIOD_OVERRIDE=FY","FILING_STATUS=MR","Sort=A","Dates=H","DateFormat=P","Fill=—","Direction=H","UseDPDF=Y")</f>
        <v>646</v>
      </c>
      <c r="L55" s="12">
        <f>_xll.BDH("TMUS US Equity","BROADBAND_HSI_SUBSCRIBERS","FY 2022","FY 2022","Currency=USD","Period=FY","BEST_FPERIOD_OVERRIDE=FY","FILING_STATUS=MR","Sort=A","Dates=H","DateFormat=P","Fill=—","Direction=H","UseDPDF=Y")</f>
        <v>2646</v>
      </c>
    </row>
    <row r="56" spans="1:12">
      <c r="A56" s="10" t="s">
        <v>85</v>
      </c>
      <c r="B56" s="10" t="s">
        <v>82</v>
      </c>
      <c r="C56" s="13" t="str">
        <f>_xll.BDH("TMUS US Equity","BROADBAND_HSI_NET_SUBSCRIB_ADDS","FY 2013","FY 2013","Currency=USD","Period=FY","BEST_FPERIOD_OVERRIDE=FY","FILING_STATUS=MR","Sort=A","Dates=H","DateFormat=P","Fill=—","Direction=H","UseDPDF=Y")</f>
        <v>—</v>
      </c>
      <c r="D56" s="13" t="str">
        <f>_xll.BDH("TMUS US Equity","BROADBAND_HSI_NET_SUBSCRIB_ADDS","FY 2014","FY 2014","Currency=USD","Period=FY","BEST_FPERIOD_OVERRIDE=FY","FILING_STATUS=MR","Sort=A","Dates=H","DateFormat=P","Fill=—","Direction=H","UseDPDF=Y")</f>
        <v>—</v>
      </c>
      <c r="E56" s="13" t="str">
        <f>_xll.BDH("TMUS US Equity","BROADBAND_HSI_NET_SUBSCRIB_ADDS","FY 2015","FY 2015","Currency=USD","Period=FY","BEST_FPERIOD_OVERRIDE=FY","FILING_STATUS=MR","Sort=A","Dates=H","DateFormat=P","Fill=—","Direction=H","UseDPDF=Y")</f>
        <v>—</v>
      </c>
      <c r="F56" s="13" t="str">
        <f>_xll.BDH("TMUS US Equity","BROADBAND_HSI_NET_SUBSCRIB_ADDS","FY 2016","FY 2016","Currency=USD","Period=FY","BEST_FPERIOD_OVERRIDE=FY","FILING_STATUS=MR","Sort=A","Dates=H","DateFormat=P","Fill=—","Direction=H","UseDPDF=Y")</f>
        <v>—</v>
      </c>
      <c r="G56" s="13" t="str">
        <f>_xll.BDH("TMUS US Equity","BROADBAND_HSI_NET_SUBSCRIB_ADDS","FY 2017","FY 2017","Currency=USD","Period=FY","BEST_FPERIOD_OVERRIDE=FY","FILING_STATUS=MR","Sort=A","Dates=H","DateFormat=P","Fill=—","Direction=H","UseDPDF=Y")</f>
        <v>—</v>
      </c>
      <c r="H56" s="13" t="str">
        <f>_xll.BDH("TMUS US Equity","BROADBAND_HSI_NET_SUBSCRIB_ADDS","FY 2018","FY 2018","Currency=USD","Period=FY","BEST_FPERIOD_OVERRIDE=FY","FILING_STATUS=MR","Sort=A","Dates=H","DateFormat=P","Fill=—","Direction=H","UseDPDF=Y")</f>
        <v>—</v>
      </c>
      <c r="I56" s="13" t="str">
        <f>_xll.BDH("TMUS US Equity","BROADBAND_HSI_NET_SUBSCRIB_ADDS","FY 2019","FY 2019","Currency=USD","Period=FY","BEST_FPERIOD_OVERRIDE=FY","FILING_STATUS=MR","Sort=A","Dates=H","DateFormat=P","Fill=—","Direction=H","UseDPDF=Y")</f>
        <v>—</v>
      </c>
      <c r="J56" s="13" t="str">
        <f>_xll.BDH("TMUS US Equity","BROADBAND_HSI_NET_SUBSCRIB_ADDS","FY 2020","FY 2020","Currency=USD","Period=FY","BEST_FPERIOD_OVERRIDE=FY","FILING_STATUS=MR","Sort=A","Dates=H","DateFormat=P","Fill=—","Direction=H","UseDPDF=Y")</f>
        <v>—</v>
      </c>
      <c r="K56" s="13">
        <f>_xll.BDH("TMUS US Equity","BROADBAND_HSI_NET_SUBSCRIB_ADDS","FY 2021","FY 2021","Currency=USD","Period=FY","BEST_FPERIOD_OVERRIDE=FY","FILING_STATUS=MR","Sort=A","Dates=H","DateFormat=P","Fill=—","Direction=H","UseDPDF=Y")</f>
        <v>546000</v>
      </c>
      <c r="L56" s="13">
        <f>_xll.BDH("TMUS US Equity","BROADBAND_HSI_NET_SUBSCRIB_ADDS","FY 2022","FY 2022","Currency=USD","Period=FY","BEST_FPERIOD_OVERRIDE=FY","FILING_STATUS=MR","Sort=A","Dates=H","DateFormat=P","Fill=—","Direction=H","UseDPDF=Y")</f>
        <v>2000000</v>
      </c>
    </row>
    <row r="57" spans="1:12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>
      <c r="A58" s="6" t="s">
        <v>68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>
      <c r="A59" s="10" t="s">
        <v>86</v>
      </c>
      <c r="B59" s="10" t="s">
        <v>87</v>
      </c>
      <c r="C59" s="12">
        <f>_xll.BDH("TMUS US Equity","IS_COGS_TO_FE_AND_PP_AND_G","FY 2013","FY 2013","Currency=USD","Period=FY","BEST_FPERIOD_OVERRIDE=FY","FILING_STATUS=MR","SCALING_FORMAT=MLN","FA_ADJUSTED=GAAP","Sort=A","Dates=H","DateFormat=P","Fill=—","Direction=H","UseDPDF=Y")</f>
        <v>12255</v>
      </c>
      <c r="D59" s="12">
        <f>_xll.BDH("TMUS US Equity","IS_COGS_TO_FE_AND_PP_AND_G","FY 2014","FY 2014","Currency=USD","Period=FY","BEST_FPERIOD_OVERRIDE=FY","FILING_STATUS=MR","SCALING_FORMAT=MLN","FA_ADJUSTED=GAAP","Sort=A","Dates=H","DateFormat=P","Fill=—","Direction=H","UseDPDF=Y")</f>
        <v>15409</v>
      </c>
      <c r="E59" s="12">
        <f>_xll.BDH("TMUS US Equity","IS_COGS_TO_FE_AND_PP_AND_G","FY 2015","FY 2015","Currency=USD","Period=FY","BEST_FPERIOD_OVERRIDE=FY","FILING_STATUS=MR","SCALING_FORMAT=MLN","FA_ADJUSTED=GAAP","Sort=A","Dates=H","DateFormat=P","Fill=—","Direction=H","UseDPDF=Y")</f>
        <v>14898</v>
      </c>
      <c r="F59" s="12">
        <f>_xll.BDH("TMUS US Equity","IS_COGS_TO_FE_AND_PP_AND_G","FY 2016","FY 2016","Currency=USD","Period=FY","BEST_FPERIOD_OVERRIDE=FY","FILING_STATUS=MR","SCALING_FORMAT=MLN","FA_ADJUSTED=GAAP","Sort=A","Dates=H","DateFormat=P","Fill=—","Direction=H","UseDPDF=Y")</f>
        <v>16550</v>
      </c>
      <c r="G59" s="12">
        <f>_xll.BDH("TMUS US Equity","IS_COGS_TO_FE_AND_PP_AND_G","FY 2017","FY 2017","Currency=USD","Period=FY","BEST_FPERIOD_OVERRIDE=FY","FILING_STATUS=MR","SCALING_FORMAT=MLN","FA_ADJUSTED=GAAP","Sort=A","Dates=H","DateFormat=P","Fill=—","Direction=H","UseDPDF=Y")</f>
        <v>17708</v>
      </c>
      <c r="H59" s="12">
        <f>_xll.BDH("TMUS US Equity","IS_COGS_TO_FE_AND_PP_AND_G","FY 2018","FY 2018","Currency=USD","Period=FY","BEST_FPERIOD_OVERRIDE=FY","FILING_STATUS=MR","SCALING_FORMAT=MLN","FA_ADJUSTED=GAAP","Sort=A","Dates=H","DateFormat=P","Fill=—","Direction=H","UseDPDF=Y")</f>
        <v>18354</v>
      </c>
      <c r="I59" s="12">
        <f>_xll.BDH("TMUS US Equity","IS_COGS_TO_FE_AND_PP_AND_G","FY 2019","FY 2019","Currency=USD","Period=FY","BEST_FPERIOD_OVERRIDE=FY","FILING_STATUS=MR","SCALING_FORMAT=MLN","FA_ADJUSTED=GAAP","Sort=A","Dates=H","DateFormat=P","Fill=—","Direction=H","UseDPDF=Y")</f>
        <v>18521</v>
      </c>
      <c r="J59" s="12">
        <f>_xll.BDH("TMUS US Equity","IS_COGS_TO_FE_AND_PP_AND_G","FY 2020","FY 2020","Currency=USD","Period=FY","BEST_FPERIOD_OVERRIDE=FY","FILING_STATUS=MR","SCALING_FORMAT=MLN","FA_ADJUSTED=GAAP","Sort=A","Dates=H","DateFormat=P","Fill=—","Direction=H","UseDPDF=Y")</f>
        <v>28266</v>
      </c>
      <c r="K59" s="12">
        <f>_xll.BDH("TMUS US Equity","IS_COGS_TO_FE_AND_PP_AND_G","FY 2021","FY 2021","Currency=USD","Period=FY","BEST_FPERIOD_OVERRIDE=FY","FILING_STATUS=MR","SCALING_FORMAT=MLN","FA_ADJUSTED=GAAP","Sort=A","Dates=H","DateFormat=P","Fill=—","Direction=H","UseDPDF=Y")</f>
        <v>36605</v>
      </c>
      <c r="L59" s="12">
        <f>_xll.BDH("TMUS US Equity","IS_COGS_TO_FE_AND_PP_AND_G","FY 2022","FY 2022","Currency=USD","Period=FY","BEST_FPERIOD_OVERRIDE=FY","FILING_STATUS=MR","SCALING_FORMAT=MLN","FA_ADJUSTED=GAAP","Sort=A","Dates=H","DateFormat=P","Fill=—","Direction=H","UseDPDF=Y")</f>
        <v>36206</v>
      </c>
    </row>
    <row r="60" spans="1:12">
      <c r="A60" s="10" t="s">
        <v>88</v>
      </c>
      <c r="B60" s="10" t="s">
        <v>89</v>
      </c>
      <c r="C60" s="12">
        <f>_xll.BDH("TMUS US Equity","GROSS_PROFIT","FY 2013","FY 2013","Currency=USD","Period=FY","BEST_FPERIOD_OVERRIDE=FY","FILING_STATUS=MR","SCALING_FORMAT=MLN","FA_ADJUSTED=GAAP","Sort=A","Dates=H","DateFormat=P","Fill=—","Direction=H","UseDPDF=Y")</f>
        <v>12165</v>
      </c>
      <c r="D60" s="12">
        <f>_xll.BDH("TMUS US Equity","GROSS_PROFIT","FY 2014","FY 2014","Currency=USD","Period=FY","BEST_FPERIOD_OVERRIDE=FY","FILING_STATUS=MR","SCALING_FORMAT=MLN","FA_ADJUSTED=GAAP","Sort=A","Dates=H","DateFormat=P","Fill=—","Direction=H","UseDPDF=Y")</f>
        <v>14155</v>
      </c>
      <c r="E60" s="12">
        <f>_xll.BDH("TMUS US Equity","GROSS_PROFIT","FY 2015","FY 2015","Currency=USD","Period=FY","BEST_FPERIOD_OVERRIDE=FY","FILING_STATUS=MR","SCALING_FORMAT=MLN","FA_ADJUSTED=GAAP","Sort=A","Dates=H","DateFormat=P","Fill=—","Direction=H","UseDPDF=Y")</f>
        <v>17155</v>
      </c>
      <c r="F60" s="12">
        <f>_xll.BDH("TMUS US Equity","GROSS_PROFIT","FY 2016","FY 2016","Currency=USD","Period=FY","BEST_FPERIOD_OVERRIDE=FY","FILING_STATUS=MR","SCALING_FORMAT=MLN","FA_ADJUSTED=GAAP","Sort=A","Dates=H","DateFormat=P","Fill=—","Direction=H","UseDPDF=Y")</f>
        <v>20940</v>
      </c>
      <c r="G60" s="12">
        <f>_xll.BDH("TMUS US Equity","GROSS_PROFIT","FY 2017","FY 2017","Currency=USD","Period=FY","BEST_FPERIOD_OVERRIDE=FY","FILING_STATUS=MR","SCALING_FORMAT=MLN","FA_ADJUSTED=GAAP","Sort=A","Dates=H","DateFormat=P","Fill=—","Direction=H","UseDPDF=Y")</f>
        <v>22896</v>
      </c>
      <c r="H60" s="12">
        <f>_xll.BDH("TMUS US Equity","GROSS_PROFIT","FY 2018","FY 2018","Currency=USD","Period=FY","BEST_FPERIOD_OVERRIDE=FY","FILING_STATUS=MR","SCALING_FORMAT=MLN","FA_ADJUSTED=GAAP","Sort=A","Dates=H","DateFormat=P","Fill=—","Direction=H","UseDPDF=Y")</f>
        <v>24956</v>
      </c>
      <c r="I60" s="12">
        <f>_xll.BDH("TMUS US Equity","GROSS_PROFIT","FY 2019","FY 2019","Currency=USD","Period=FY","BEST_FPERIOD_OVERRIDE=FY","FILING_STATUS=MR","SCALING_FORMAT=MLN","FA_ADJUSTED=GAAP","Sort=A","Dates=H","DateFormat=P","Fill=—","Direction=H","UseDPDF=Y")</f>
        <v>26477</v>
      </c>
      <c r="J60" s="12">
        <f>_xll.BDH("TMUS US Equity","GROSS_PROFIT","FY 2020","FY 2020","Currency=USD","Period=FY","BEST_FPERIOD_OVERRIDE=FY","FILING_STATUS=MR","SCALING_FORMAT=MLN","FA_ADJUSTED=GAAP","Sort=A","Dates=H","DateFormat=P","Fill=—","Direction=H","UseDPDF=Y")</f>
        <v>40131</v>
      </c>
      <c r="K60" s="12">
        <f>_xll.BDH("TMUS US Equity","GROSS_PROFIT","FY 2021","FY 2021","Currency=USD","Period=FY","BEST_FPERIOD_OVERRIDE=FY","FILING_STATUS=MR","SCALING_FORMAT=MLN","FA_ADJUSTED=GAAP","Sort=A","Dates=H","DateFormat=P","Fill=—","Direction=H","UseDPDF=Y")</f>
        <v>43513</v>
      </c>
      <c r="L60" s="12">
        <f>_xll.BDH("TMUS US Equity","GROSS_PROFIT","FY 2022","FY 2022","Currency=USD","Period=FY","BEST_FPERIOD_OVERRIDE=FY","FILING_STATUS=MR","SCALING_FORMAT=MLN","FA_ADJUSTED=GAAP","Sort=A","Dates=H","DateFormat=P","Fill=—","Direction=H","UseDPDF=Y")</f>
        <v>43365</v>
      </c>
    </row>
    <row r="61" spans="1:12">
      <c r="A61" s="10" t="s">
        <v>73</v>
      </c>
      <c r="B61" s="10" t="s">
        <v>73</v>
      </c>
      <c r="C61" s="12">
        <f>_xll.BDH("TMUS US Equity","EBITDA","FY 2013","FY 2013","Currency=USD","Period=FY","BEST_FPERIOD_OVERRIDE=FY","FILING_STATUS=MR","SCALING_FORMAT=MLN","FA_ADJUSTED=GAAP","Sort=A","Dates=H","DateFormat=P","Fill=—","Direction=H","UseDPDF=Y")</f>
        <v>4623</v>
      </c>
      <c r="D61" s="12">
        <f>_xll.BDH("TMUS US Equity","EBITDA","FY 2014","FY 2014","Currency=USD","Period=FY","BEST_FPERIOD_OVERRIDE=FY","FILING_STATUS=MR","SCALING_FORMAT=MLN","FA_ADJUSTED=GAAP","Sort=A","Dates=H","DateFormat=P","Fill=—","Direction=H","UseDPDF=Y")</f>
        <v>5828</v>
      </c>
      <c r="E61" s="12">
        <f>_xll.BDH("TMUS US Equity","EBITDA","FY 2015","FY 2015","Currency=USD","Period=FY","BEST_FPERIOD_OVERRIDE=FY","FILING_STATUS=MR","SCALING_FORMAT=MLN","FA_ADJUSTED=GAAP","Sort=A","Dates=H","DateFormat=P","Fill=—","Direction=H","UseDPDF=Y")</f>
        <v>6753</v>
      </c>
      <c r="F61" s="12">
        <f>_xll.BDH("TMUS US Equity","EBITDA","FY 2016","FY 2016","Currency=USD","Period=FY","BEST_FPERIOD_OVERRIDE=FY","FILING_STATUS=MR","SCALING_FORMAT=MLN","FA_ADJUSTED=GAAP","Sort=A","Dates=H","DateFormat=P","Fill=—","Direction=H","UseDPDF=Y")</f>
        <v>10293</v>
      </c>
      <c r="G61" s="12">
        <f>_xll.BDH("TMUS US Equity","EBITDA","FY 2017","FY 2017","Currency=USD","Period=FY","BEST_FPERIOD_OVERRIDE=FY","FILING_STATUS=MR","SCALING_FORMAT=MLN","FA_ADJUSTED=GAAP","Sort=A","Dates=H","DateFormat=P","Fill=—","Direction=H","UseDPDF=Y")</f>
        <v>10872</v>
      </c>
      <c r="H61" s="12">
        <f>_xll.BDH("TMUS US Equity","EBITDA","FY 2018","FY 2018","Currency=USD","Period=FY","BEST_FPERIOD_OVERRIDE=FY","FILING_STATUS=MR","SCALING_FORMAT=MLN","FA_ADJUSTED=GAAP","Sort=A","Dates=H","DateFormat=P","Fill=—","Direction=H","UseDPDF=Y")</f>
        <v>11795</v>
      </c>
      <c r="I61" s="12">
        <f>_xll.BDH("TMUS US Equity","EBITDA","FY 2019","FY 2019","Currency=USD","Period=FY","BEST_FPERIOD_OVERRIDE=FY","FILING_STATUS=MR","SCALING_FORMAT=MLN","FA_ADJUSTED=GAAP","Sort=A","Dates=H","DateFormat=P","Fill=—","Direction=H","UseDPDF=Y")</f>
        <v>14896</v>
      </c>
      <c r="J61" s="12">
        <f>_xll.BDH("TMUS US Equity","EBITDA","FY 2020","FY 2020","Currency=USD","Period=FY","BEST_FPERIOD_OVERRIDE=FY","FILING_STATUS=MR","SCALING_FORMAT=MLN","FA_ADJUSTED=GAAP","Sort=A","Dates=H","DateFormat=P","Fill=—","Direction=H","UseDPDF=Y")</f>
        <v>25225</v>
      </c>
      <c r="K61" s="12">
        <f>_xll.BDH("TMUS US Equity","EBITDA","FY 2021","FY 2021","Currency=USD","Period=FY","BEST_FPERIOD_OVERRIDE=FY","FILING_STATUS=MR","SCALING_FORMAT=MLN","FA_ADJUSTED=GAAP","Sort=A","Dates=H","DateFormat=P","Fill=—","Direction=H","UseDPDF=Y")</f>
        <v>29196</v>
      </c>
      <c r="L61" s="12">
        <f>_xll.BDH("TMUS US Equity","EBITDA","FY 2022","FY 2022","Currency=USD","Period=FY","BEST_FPERIOD_OVERRIDE=FY","FILING_STATUS=MR","SCALING_FORMAT=MLN","FA_ADJUSTED=GAAP","Sort=A","Dates=H","DateFormat=P","Fill=—","Direction=H","UseDPDF=Y")</f>
        <v>26708</v>
      </c>
    </row>
    <row r="62" spans="1:12">
      <c r="A62" s="10" t="s">
        <v>90</v>
      </c>
      <c r="B62" s="10" t="s">
        <v>91</v>
      </c>
      <c r="C62" s="12">
        <f>_xll.BDH("TMUS US Equity","IS_OPER_INC","FY 2013","FY 2013","Currency=USD","Period=FY","BEST_FPERIOD_OVERRIDE=FY","FILING_STATUS=MR","SCALING_FORMAT=MLN","FA_ADJUSTED=GAAP","Sort=A","Dates=H","DateFormat=P","Fill=—","Direction=H","UseDPDF=Y")</f>
        <v>996</v>
      </c>
      <c r="D62" s="12">
        <f>_xll.BDH("TMUS US Equity","IS_OPER_INC","FY 2014","FY 2014","Currency=USD","Period=FY","BEST_FPERIOD_OVERRIDE=FY","FILING_STATUS=MR","SCALING_FORMAT=MLN","FA_ADJUSTED=GAAP","Sort=A","Dates=H","DateFormat=P","Fill=—","Direction=H","UseDPDF=Y")</f>
        <v>1416</v>
      </c>
      <c r="E62" s="12">
        <f>_xll.BDH("TMUS US Equity","IS_OPER_INC","FY 2015","FY 2015","Currency=USD","Period=FY","BEST_FPERIOD_OVERRIDE=FY","FILING_STATUS=MR","SCALING_FORMAT=MLN","FA_ADJUSTED=GAAP","Sort=A","Dates=H","DateFormat=P","Fill=—","Direction=H","UseDPDF=Y")</f>
        <v>2065</v>
      </c>
      <c r="F62" s="12">
        <f>_xll.BDH("TMUS US Equity","IS_OPER_INC","FY 2016","FY 2016","Currency=USD","Period=FY","BEST_FPERIOD_OVERRIDE=FY","FILING_STATUS=MR","SCALING_FORMAT=MLN","FA_ADJUSTED=GAAP","Sort=A","Dates=H","DateFormat=P","Fill=—","Direction=H","UseDPDF=Y")</f>
        <v>4050</v>
      </c>
      <c r="G62" s="12">
        <f>_xll.BDH("TMUS US Equity","IS_OPER_INC","FY 2017","FY 2017","Currency=USD","Period=FY","BEST_FPERIOD_OVERRIDE=FY","FILING_STATUS=MR","SCALING_FORMAT=MLN","FA_ADJUSTED=GAAP","Sort=A","Dates=H","DateFormat=P","Fill=—","Direction=H","UseDPDF=Y")</f>
        <v>4888</v>
      </c>
      <c r="H62" s="12">
        <f>_xll.BDH("TMUS US Equity","IS_OPER_INC","FY 2018","FY 2018","Currency=USD","Period=FY","BEST_FPERIOD_OVERRIDE=FY","FILING_STATUS=MR","SCALING_FORMAT=MLN","FA_ADJUSTED=GAAP","Sort=A","Dates=H","DateFormat=P","Fill=—","Direction=H","UseDPDF=Y")</f>
        <v>5309</v>
      </c>
      <c r="I62" s="12">
        <f>_xll.BDH("TMUS US Equity","IS_OPER_INC","FY 2019","FY 2019","Currency=USD","Period=FY","BEST_FPERIOD_OVERRIDE=FY","FILING_STATUS=MR","SCALING_FORMAT=MLN","FA_ADJUSTED=GAAP","Sort=A","Dates=H","DateFormat=P","Fill=—","Direction=H","UseDPDF=Y")</f>
        <v>5722</v>
      </c>
      <c r="J62" s="12">
        <f>_xll.BDH("TMUS US Equity","IS_OPER_INC","FY 2020","FY 2020","Currency=USD","Period=FY","BEST_FPERIOD_OVERRIDE=FY","FILING_STATUS=MR","SCALING_FORMAT=MLN","FA_ADJUSTED=GAAP","Sort=A","Dates=H","DateFormat=P","Fill=—","Direction=H","UseDPDF=Y")</f>
        <v>6636</v>
      </c>
      <c r="K62" s="12">
        <f>_xll.BDH("TMUS US Equity","IS_OPER_INC","FY 2021","FY 2021","Currency=USD","Period=FY","BEST_FPERIOD_OVERRIDE=FY","FILING_STATUS=MR","SCALING_FORMAT=MLN","FA_ADJUSTED=GAAP","Sort=A","Dates=H","DateFormat=P","Fill=—","Direction=H","UseDPDF=Y")</f>
        <v>6892</v>
      </c>
      <c r="L62" s="12">
        <f>_xll.BDH("TMUS US Equity","IS_OPER_INC","FY 2022","FY 2022","Currency=USD","Period=FY","BEST_FPERIOD_OVERRIDE=FY","FILING_STATUS=MR","SCALING_FORMAT=MLN","FA_ADJUSTED=GAAP","Sort=A","Dates=H","DateFormat=P","Fill=—","Direction=H","UseDPDF=Y")</f>
        <v>6543</v>
      </c>
    </row>
    <row r="63" spans="1:12">
      <c r="A63" s="10" t="s">
        <v>76</v>
      </c>
      <c r="B63" s="10" t="s">
        <v>77</v>
      </c>
      <c r="C63" s="12">
        <f>_xll.BDH("TMUS US Equity","CF_CAP_EXPEND_PRPTY_ADD","FY 2013","FY 2013","Currency=USD","Period=FY","BEST_FPERIOD_OVERRIDE=FY","FILING_STATUS=MR","SCALING_FORMAT=MLN","Sort=A","Dates=H","DateFormat=P","Fill=—","Direction=H","UseDPDF=Y")</f>
        <v>-4025</v>
      </c>
      <c r="D63" s="12">
        <f>_xll.BDH("TMUS US Equity","CF_CAP_EXPEND_PRPTY_ADD","FY 2014","FY 2014","Currency=USD","Period=FY","BEST_FPERIOD_OVERRIDE=FY","FILING_STATUS=MR","SCALING_FORMAT=MLN","Sort=A","Dates=H","DateFormat=P","Fill=—","Direction=H","UseDPDF=Y")</f>
        <v>-4317</v>
      </c>
      <c r="E63" s="12">
        <f>_xll.BDH("TMUS US Equity","CF_CAP_EXPEND_PRPTY_ADD","FY 2015","FY 2015","Currency=USD","Period=FY","BEST_FPERIOD_OVERRIDE=FY","FILING_STATUS=MR","SCALING_FORMAT=MLN","Sort=A","Dates=H","DateFormat=P","Fill=—","Direction=H","UseDPDF=Y")</f>
        <v>-4724</v>
      </c>
      <c r="F63" s="12">
        <f>_xll.BDH("TMUS US Equity","CF_CAP_EXPEND_PRPTY_ADD","FY 2016","FY 2016","Currency=USD","Period=FY","BEST_FPERIOD_OVERRIDE=FY","FILING_STATUS=MR","SCALING_FORMAT=MLN","Sort=A","Dates=H","DateFormat=P","Fill=—","Direction=H","UseDPDF=Y")</f>
        <v>-4702</v>
      </c>
      <c r="G63" s="12">
        <f>_xll.BDH("TMUS US Equity","CF_CAP_EXPEND_PRPTY_ADD","FY 2017","FY 2017","Currency=USD","Period=FY","BEST_FPERIOD_OVERRIDE=FY","FILING_STATUS=MR","SCALING_FORMAT=MLN","Sort=A","Dates=H","DateFormat=P","Fill=—","Direction=H","UseDPDF=Y")</f>
        <v>-5237</v>
      </c>
      <c r="H63" s="12">
        <f>_xll.BDH("TMUS US Equity","CF_CAP_EXPEND_PRPTY_ADD","FY 2018","FY 2018","Currency=USD","Period=FY","BEST_FPERIOD_OVERRIDE=FY","FILING_STATUS=MR","SCALING_FORMAT=MLN","Sort=A","Dates=H","DateFormat=P","Fill=—","Direction=H","UseDPDF=Y")</f>
        <v>-5541</v>
      </c>
      <c r="I63" s="12">
        <f>_xll.BDH("TMUS US Equity","CF_CAP_EXPEND_PRPTY_ADD","FY 2019","FY 2019","Currency=USD","Period=FY","BEST_FPERIOD_OVERRIDE=FY","FILING_STATUS=MR","SCALING_FORMAT=MLN","Sort=A","Dates=H","DateFormat=P","Fill=—","Direction=H","UseDPDF=Y")</f>
        <v>-6391</v>
      </c>
      <c r="J63" s="12">
        <f>_xll.BDH("TMUS US Equity","CF_CAP_EXPEND_PRPTY_ADD","FY 2020","FY 2020","Currency=USD","Period=FY","BEST_FPERIOD_OVERRIDE=FY","FILING_STATUS=MR","SCALING_FORMAT=MLN","Sort=A","Dates=H","DateFormat=P","Fill=—","Direction=H","UseDPDF=Y")</f>
        <v>-11034</v>
      </c>
      <c r="K63" s="12">
        <f>_xll.BDH("TMUS US Equity","CF_CAP_EXPEND_PRPTY_ADD","FY 2021","FY 2021","Currency=USD","Period=FY","BEST_FPERIOD_OVERRIDE=FY","FILING_STATUS=MR","SCALING_FORMAT=MLN","Sort=A","Dates=H","DateFormat=P","Fill=—","Direction=H","UseDPDF=Y")</f>
        <v>-12326</v>
      </c>
      <c r="L63" s="12">
        <f>_xll.BDH("TMUS US Equity","CF_CAP_EXPEND_PRPTY_ADD","FY 2022","FY 2022","Currency=USD","Period=FY","BEST_FPERIOD_OVERRIDE=FY","FILING_STATUS=MR","SCALING_FORMAT=MLN","Sort=A","Dates=H","DateFormat=P","Fill=—","Direction=H","UseDPDF=Y")</f>
        <v>-13970</v>
      </c>
    </row>
    <row r="64" spans="1:12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>
      <c r="A65" s="6" t="s">
        <v>92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>
      <c r="A66" s="10" t="s">
        <v>93</v>
      </c>
      <c r="B66" s="10" t="s">
        <v>94</v>
      </c>
      <c r="C66" s="13">
        <f>_xll.BDH("TMUS US Equity","GROSS_MARGIN","FY 2013","FY 2013","Currency=USD","Period=FY","BEST_FPERIOD_OVERRIDE=FY","FILING_STATUS=MR","FA_ADJUSTED=GAAP","Sort=A","Dates=H","DateFormat=P","Fill=—","Direction=H","UseDPDF=Y")</f>
        <v>49.8157</v>
      </c>
      <c r="D66" s="13">
        <f>_xll.BDH("TMUS US Equity","GROSS_MARGIN","FY 2014","FY 2014","Currency=USD","Period=FY","BEST_FPERIOD_OVERRIDE=FY","FILING_STATUS=MR","FA_ADJUSTED=GAAP","Sort=A","Dates=H","DateFormat=P","Fill=—","Direction=H","UseDPDF=Y")</f>
        <v>47.879199999999997</v>
      </c>
      <c r="E66" s="13">
        <f>_xll.BDH("TMUS US Equity","GROSS_MARGIN","FY 2015","FY 2015","Currency=USD","Period=FY","BEST_FPERIOD_OVERRIDE=FY","FILING_STATUS=MR","FA_ADJUSTED=GAAP","Sort=A","Dates=H","DateFormat=P","Fill=—","Direction=H","UseDPDF=Y")</f>
        <v>53.520699999999998</v>
      </c>
      <c r="F66" s="13">
        <f>_xll.BDH("TMUS US Equity","GROSS_MARGIN","FY 2016","FY 2016","Currency=USD","Period=FY","BEST_FPERIOD_OVERRIDE=FY","FILING_STATUS=MR","FA_ADJUSTED=GAAP","Sort=A","Dates=H","DateFormat=P","Fill=—","Direction=H","UseDPDF=Y")</f>
        <v>55.854900000000001</v>
      </c>
      <c r="G66" s="13">
        <f>_xll.BDH("TMUS US Equity","GROSS_MARGIN","FY 2017","FY 2017","Currency=USD","Period=FY","BEST_FPERIOD_OVERRIDE=FY","FILING_STATUS=MR","FA_ADJUSTED=GAAP","Sort=A","Dates=H","DateFormat=P","Fill=—","Direction=H","UseDPDF=Y")</f>
        <v>56.388500000000001</v>
      </c>
      <c r="H66" s="13">
        <f>_xll.BDH("TMUS US Equity","GROSS_MARGIN","FY 2018","FY 2018","Currency=USD","Period=FY","BEST_FPERIOD_OVERRIDE=FY","FILING_STATUS=MR","FA_ADJUSTED=GAAP","Sort=A","Dates=H","DateFormat=P","Fill=—","Direction=H","UseDPDF=Y")</f>
        <v>57.6218</v>
      </c>
      <c r="I66" s="13">
        <f>_xll.BDH("TMUS US Equity","GROSS_MARGIN","FY 2019","FY 2019","Currency=USD","Period=FY","BEST_FPERIOD_OVERRIDE=FY","FILING_STATUS=MR","FA_ADJUSTED=GAAP","Sort=A","Dates=H","DateFormat=P","Fill=—","Direction=H","UseDPDF=Y")</f>
        <v>58.840400000000002</v>
      </c>
      <c r="J66" s="13">
        <f>_xll.BDH("TMUS US Equity","GROSS_MARGIN","FY 2020","FY 2020","Currency=USD","Period=FY","BEST_FPERIOD_OVERRIDE=FY","FILING_STATUS=MR","FA_ADJUSTED=GAAP","Sort=A","Dates=H","DateFormat=P","Fill=—","Direction=H","UseDPDF=Y")</f>
        <v>58.6736</v>
      </c>
      <c r="K66" s="13">
        <f>_xll.BDH("TMUS US Equity","GROSS_MARGIN","FY 2021","FY 2021","Currency=USD","Period=FY","BEST_FPERIOD_OVERRIDE=FY","FILING_STATUS=MR","FA_ADJUSTED=GAAP","Sort=A","Dates=H","DateFormat=P","Fill=—","Direction=H","UseDPDF=Y")</f>
        <v>54.311100000000003</v>
      </c>
      <c r="L66" s="13">
        <f>_xll.BDH("TMUS US Equity","GROSS_MARGIN","FY 2022","FY 2022","Currency=USD","Period=FY","BEST_FPERIOD_OVERRIDE=FY","FILING_STATUS=MR","FA_ADJUSTED=GAAP","Sort=A","Dates=H","DateFormat=P","Fill=—","Direction=H","UseDPDF=Y")</f>
        <v>54.4985</v>
      </c>
    </row>
    <row r="67" spans="1:12">
      <c r="A67" s="10" t="s">
        <v>95</v>
      </c>
      <c r="B67" s="10" t="s">
        <v>96</v>
      </c>
      <c r="C67" s="13">
        <f>_xll.BDH("TMUS US Equity","EBITDA_TO_REVENUE","FY 2013","FY 2013","Currency=USD","Period=FY","BEST_FPERIOD_OVERRIDE=FY","FILING_STATUS=MR","FA_ADJUSTED=GAAP","Sort=A","Dates=H","DateFormat=P","Fill=—","Direction=H","UseDPDF=Y")</f>
        <v>18.9312</v>
      </c>
      <c r="D67" s="13">
        <f>_xll.BDH("TMUS US Equity","EBITDA_TO_REVENUE","FY 2014","FY 2014","Currency=USD","Period=FY","BEST_FPERIOD_OVERRIDE=FY","FILING_STATUS=MR","FA_ADJUSTED=GAAP","Sort=A","Dates=H","DateFormat=P","Fill=—","Direction=H","UseDPDF=Y")</f>
        <v>19.713200000000001</v>
      </c>
      <c r="E67" s="13">
        <f>_xll.BDH("TMUS US Equity","EBITDA_TO_REVENUE","FY 2015","FY 2015","Currency=USD","Period=FY","BEST_FPERIOD_OVERRIDE=FY","FILING_STATUS=MR","FA_ADJUSTED=GAAP","Sort=A","Dates=H","DateFormat=P","Fill=—","Direction=H","UseDPDF=Y")</f>
        <v>21.068200000000001</v>
      </c>
      <c r="F67" s="13">
        <f>_xll.BDH("TMUS US Equity","EBITDA_TO_REVENUE","FY 2016","FY 2016","Currency=USD","Period=FY","BEST_FPERIOD_OVERRIDE=FY","FILING_STATUS=MR","FA_ADJUSTED=GAAP","Sort=A","Dates=H","DateFormat=P","Fill=—","Direction=H","UseDPDF=Y")</f>
        <v>27.455300000000001</v>
      </c>
      <c r="G67" s="13">
        <f>_xll.BDH("TMUS US Equity","EBITDA_TO_REVENUE","FY 2017","FY 2017","Currency=USD","Period=FY","BEST_FPERIOD_OVERRIDE=FY","FILING_STATUS=MR","FA_ADJUSTED=GAAP","Sort=A","Dates=H","DateFormat=P","Fill=—","Direction=H","UseDPDF=Y")</f>
        <v>26.775700000000001</v>
      </c>
      <c r="H67" s="13">
        <f>_xll.BDH("TMUS US Equity","EBITDA_TO_REVENUE","FY 2018","FY 2018","Currency=USD","Period=FY","BEST_FPERIOD_OVERRIDE=FY","FILING_STATUS=MR","FA_ADJUSTED=GAAP","Sort=A","Dates=H","DateFormat=P","Fill=—","Direction=H","UseDPDF=Y")</f>
        <v>27.233899999999998</v>
      </c>
      <c r="I67" s="13">
        <f>_xll.BDH("TMUS US Equity","EBITDA_TO_REVENUE","FY 2019","FY 2019","Currency=USD","Period=FY","BEST_FPERIOD_OVERRIDE=FY","FILING_STATUS=MR","FA_ADJUSTED=GAAP","Sort=A","Dates=H","DateFormat=P","Fill=—","Direction=H","UseDPDF=Y")</f>
        <v>33.103700000000003</v>
      </c>
      <c r="J67" s="13">
        <f>_xll.BDH("TMUS US Equity","EBITDA_TO_REVENUE","FY 2020","FY 2020","Currency=USD","Period=FY","BEST_FPERIOD_OVERRIDE=FY","FILING_STATUS=MR","FA_ADJUSTED=GAAP","Sort=A","Dates=H","DateFormat=P","Fill=—","Direction=H","UseDPDF=Y")</f>
        <v>36.880299999999998</v>
      </c>
      <c r="K67" s="13">
        <f>_xll.BDH("TMUS US Equity","EBITDA_TO_REVENUE","FY 2021","FY 2021","Currency=USD","Period=FY","BEST_FPERIOD_OVERRIDE=FY","FILING_STATUS=MR","FA_ADJUSTED=GAAP","Sort=A","Dates=H","DateFormat=P","Fill=—","Direction=H","UseDPDF=Y")</f>
        <v>36.441200000000002</v>
      </c>
      <c r="L67" s="13">
        <f>_xll.BDH("TMUS US Equity","EBITDA_TO_REVENUE","FY 2022","FY 2022","Currency=USD","Period=FY","BEST_FPERIOD_OVERRIDE=FY","FILING_STATUS=MR","FA_ADJUSTED=GAAP","Sort=A","Dates=H","DateFormat=P","Fill=—","Direction=H","UseDPDF=Y")</f>
        <v>33.564999999999998</v>
      </c>
    </row>
    <row r="68" spans="1:12">
      <c r="A68" s="10" t="s">
        <v>97</v>
      </c>
      <c r="B68" s="10" t="s">
        <v>98</v>
      </c>
      <c r="C68" s="13">
        <f>_xll.BDH("TMUS US Equity","OPER_MARGIN","FY 2013","FY 2013","Currency=USD","Period=FY","BEST_FPERIOD_OVERRIDE=FY","FILING_STATUS=MR","FA_ADJUSTED=GAAP","Sort=A","Dates=H","DateFormat=P","Fill=—","Direction=H","UseDPDF=Y")</f>
        <v>4.0785999999999998</v>
      </c>
      <c r="D68" s="13">
        <f>_xll.BDH("TMUS US Equity","OPER_MARGIN","FY 2014","FY 2014","Currency=USD","Period=FY","BEST_FPERIOD_OVERRIDE=FY","FILING_STATUS=MR","FA_ADJUSTED=GAAP","Sort=A","Dates=H","DateFormat=P","Fill=—","Direction=H","UseDPDF=Y")</f>
        <v>4.7896000000000001</v>
      </c>
      <c r="E68" s="13">
        <f>_xll.BDH("TMUS US Equity","OPER_MARGIN","FY 2015","FY 2015","Currency=USD","Period=FY","BEST_FPERIOD_OVERRIDE=FY","FILING_STATUS=MR","FA_ADJUSTED=GAAP","Sort=A","Dates=H","DateFormat=P","Fill=—","Direction=H","UseDPDF=Y")</f>
        <v>6.4424999999999999</v>
      </c>
      <c r="F68" s="13">
        <f>_xll.BDH("TMUS US Equity","OPER_MARGIN","FY 2016","FY 2016","Currency=USD","Period=FY","BEST_FPERIOD_OVERRIDE=FY","FILING_STATUS=MR","FA_ADJUSTED=GAAP","Sort=A","Dates=H","DateFormat=P","Fill=—","Direction=H","UseDPDF=Y")</f>
        <v>10.802899999999999</v>
      </c>
      <c r="G68" s="13">
        <f>_xll.BDH("TMUS US Equity","OPER_MARGIN","FY 2017","FY 2017","Currency=USD","Period=FY","BEST_FPERIOD_OVERRIDE=FY","FILING_STATUS=MR","FA_ADJUSTED=GAAP","Sort=A","Dates=H","DateFormat=P","Fill=—","Direction=H","UseDPDF=Y")</f>
        <v>12.0382</v>
      </c>
      <c r="H68" s="13">
        <f>_xll.BDH("TMUS US Equity","OPER_MARGIN","FY 2018","FY 2018","Currency=USD","Period=FY","BEST_FPERIOD_OVERRIDE=FY","FILING_STATUS=MR","FA_ADJUSTED=GAAP","Sort=A","Dates=H","DateFormat=P","Fill=—","Direction=H","UseDPDF=Y")</f>
        <v>12.258100000000001</v>
      </c>
      <c r="I68" s="13">
        <f>_xll.BDH("TMUS US Equity","OPER_MARGIN","FY 2019","FY 2019","Currency=USD","Period=FY","BEST_FPERIOD_OVERRIDE=FY","FILING_STATUS=MR","FA_ADJUSTED=GAAP","Sort=A","Dates=H","DateFormat=P","Fill=—","Direction=H","UseDPDF=Y")</f>
        <v>12.716100000000001</v>
      </c>
      <c r="J68" s="13">
        <f>_xll.BDH("TMUS US Equity","OPER_MARGIN","FY 2020","FY 2020","Currency=USD","Period=FY","BEST_FPERIOD_OVERRIDE=FY","FILING_STATUS=MR","FA_ADJUSTED=GAAP","Sort=A","Dates=H","DateFormat=P","Fill=—","Direction=H","UseDPDF=Y")</f>
        <v>9.7021999999999995</v>
      </c>
      <c r="K68" s="13">
        <f>_xll.BDH("TMUS US Equity","OPER_MARGIN","FY 2021","FY 2021","Currency=USD","Period=FY","BEST_FPERIOD_OVERRIDE=FY","FILING_STATUS=MR","FA_ADJUSTED=GAAP","Sort=A","Dates=H","DateFormat=P","Fill=—","Direction=H","UseDPDF=Y")</f>
        <v>8.6022999999999996</v>
      </c>
      <c r="L68" s="13">
        <f>_xll.BDH("TMUS US Equity","OPER_MARGIN","FY 2022","FY 2022","Currency=USD","Period=FY","BEST_FPERIOD_OVERRIDE=FY","FILING_STATUS=MR","FA_ADJUSTED=GAAP","Sort=A","Dates=H","DateFormat=P","Fill=—","Direction=H","UseDPDF=Y")</f>
        <v>8.2227999999999994</v>
      </c>
    </row>
    <row r="69" spans="1:12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>
      <c r="A70" s="6" t="s">
        <v>99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>
      <c r="A71" s="10" t="s">
        <v>100</v>
      </c>
      <c r="B71" s="10" t="s">
        <v>101</v>
      </c>
      <c r="C71" s="12">
        <f>_xll.BDH("TMUS US Equity","SALES_REV_TURN","FY 2013","FY 2013","Currency=USD","Period=FY","BEST_FPERIOD_OVERRIDE=FY","FILING_STATUS=MR","SCALING_FORMAT=MLN","FA_ADJUSTED=GAAP","Sort=A","Dates=H","DateFormat=P","Fill=—","Direction=H","UseDPDF=Y")</f>
        <v>24420</v>
      </c>
      <c r="D71" s="12">
        <f>_xll.BDH("TMUS US Equity","SALES_REV_TURN","FY 2014","FY 2014","Currency=USD","Period=FY","BEST_FPERIOD_OVERRIDE=FY","FILING_STATUS=MR","SCALING_FORMAT=MLN","FA_ADJUSTED=GAAP","Sort=A","Dates=H","DateFormat=P","Fill=—","Direction=H","UseDPDF=Y")</f>
        <v>29564</v>
      </c>
      <c r="E71" s="12">
        <f>_xll.BDH("TMUS US Equity","SALES_REV_TURN","FY 2015","FY 2015","Currency=USD","Period=FY","BEST_FPERIOD_OVERRIDE=FY","FILING_STATUS=MR","SCALING_FORMAT=MLN","FA_ADJUSTED=GAAP","Sort=A","Dates=H","DateFormat=P","Fill=—","Direction=H","UseDPDF=Y")</f>
        <v>32053</v>
      </c>
      <c r="F71" s="12">
        <f>_xll.BDH("TMUS US Equity","SALES_REV_TURN","FY 2016","FY 2016","Currency=USD","Period=FY","BEST_FPERIOD_OVERRIDE=FY","FILING_STATUS=MR","SCALING_FORMAT=MLN","FA_ADJUSTED=GAAP","Sort=A","Dates=H","DateFormat=P","Fill=—","Direction=H","UseDPDF=Y")</f>
        <v>37490</v>
      </c>
      <c r="G71" s="12">
        <f>_xll.BDH("TMUS US Equity","SALES_REV_TURN","FY 2017","FY 2017","Currency=USD","Period=FY","BEST_FPERIOD_OVERRIDE=FY","FILING_STATUS=MR","SCALING_FORMAT=MLN","FA_ADJUSTED=GAAP","Sort=A","Dates=H","DateFormat=P","Fill=—","Direction=H","UseDPDF=Y")</f>
        <v>40604</v>
      </c>
      <c r="H71" s="12">
        <f>_xll.BDH("TMUS US Equity","SALES_REV_TURN","FY 2018","FY 2018","Currency=USD","Period=FY","BEST_FPERIOD_OVERRIDE=FY","FILING_STATUS=MR","SCALING_FORMAT=MLN","FA_ADJUSTED=GAAP","Sort=A","Dates=H","DateFormat=P","Fill=—","Direction=H","UseDPDF=Y")</f>
        <v>43310</v>
      </c>
      <c r="I71" s="12">
        <f>_xll.BDH("TMUS US Equity","SALES_REV_TURN","FY 2019","FY 2019","Currency=USD","Period=FY","BEST_FPERIOD_OVERRIDE=FY","FILING_STATUS=MR","SCALING_FORMAT=MLN","FA_ADJUSTED=GAAP","Sort=A","Dates=H","DateFormat=P","Fill=—","Direction=H","UseDPDF=Y")</f>
        <v>44998</v>
      </c>
      <c r="J71" s="12">
        <f>_xll.BDH("TMUS US Equity","SALES_REV_TURN","FY 2020","FY 2020","Currency=USD","Period=FY","BEST_FPERIOD_OVERRIDE=FY","FILING_STATUS=MR","SCALING_FORMAT=MLN","FA_ADJUSTED=GAAP","Sort=A","Dates=H","DateFormat=P","Fill=—","Direction=H","UseDPDF=Y")</f>
        <v>68397</v>
      </c>
      <c r="K71" s="12">
        <f>_xll.BDH("TMUS US Equity","SALES_REV_TURN","FY 2021","FY 2021","Currency=USD","Period=FY","BEST_FPERIOD_OVERRIDE=FY","FILING_STATUS=MR","SCALING_FORMAT=MLN","FA_ADJUSTED=GAAP","Sort=A","Dates=H","DateFormat=P","Fill=—","Direction=H","UseDPDF=Y")</f>
        <v>80118</v>
      </c>
      <c r="L71" s="12">
        <f>_xll.BDH("TMUS US Equity","SALES_REV_TURN","FY 2022","FY 2022","Currency=USD","Period=FY","BEST_FPERIOD_OVERRIDE=FY","FILING_STATUS=MR","SCALING_FORMAT=MLN","FA_ADJUSTED=GAAP","Sort=A","Dates=H","DateFormat=P","Fill=—","Direction=H","UseDPDF=Y")</f>
        <v>79571</v>
      </c>
    </row>
    <row r="72" spans="1:12">
      <c r="A72" s="10" t="s">
        <v>88</v>
      </c>
      <c r="B72" s="10" t="s">
        <v>89</v>
      </c>
      <c r="C72" s="12">
        <f>_xll.BDH("TMUS US Equity","GROSS_PROFIT","FY 2013","FY 2013","Currency=USD","Period=FY","BEST_FPERIOD_OVERRIDE=FY","FILING_STATUS=MR","SCALING_FORMAT=MLN","FA_ADJUSTED=GAAP","Sort=A","Dates=H","DateFormat=P","Fill=—","Direction=H","UseDPDF=Y")</f>
        <v>12165</v>
      </c>
      <c r="D72" s="12">
        <f>_xll.BDH("TMUS US Equity","GROSS_PROFIT","FY 2014","FY 2014","Currency=USD","Period=FY","BEST_FPERIOD_OVERRIDE=FY","FILING_STATUS=MR","SCALING_FORMAT=MLN","FA_ADJUSTED=GAAP","Sort=A","Dates=H","DateFormat=P","Fill=—","Direction=H","UseDPDF=Y")</f>
        <v>14155</v>
      </c>
      <c r="E72" s="12">
        <f>_xll.BDH("TMUS US Equity","GROSS_PROFIT","FY 2015","FY 2015","Currency=USD","Period=FY","BEST_FPERIOD_OVERRIDE=FY","FILING_STATUS=MR","SCALING_FORMAT=MLN","FA_ADJUSTED=GAAP","Sort=A","Dates=H","DateFormat=P","Fill=—","Direction=H","UseDPDF=Y")</f>
        <v>17155</v>
      </c>
      <c r="F72" s="12">
        <f>_xll.BDH("TMUS US Equity","GROSS_PROFIT","FY 2016","FY 2016","Currency=USD","Period=FY","BEST_FPERIOD_OVERRIDE=FY","FILING_STATUS=MR","SCALING_FORMAT=MLN","FA_ADJUSTED=GAAP","Sort=A","Dates=H","DateFormat=P","Fill=—","Direction=H","UseDPDF=Y")</f>
        <v>20940</v>
      </c>
      <c r="G72" s="12">
        <f>_xll.BDH("TMUS US Equity","GROSS_PROFIT","FY 2017","FY 2017","Currency=USD","Period=FY","BEST_FPERIOD_OVERRIDE=FY","FILING_STATUS=MR","SCALING_FORMAT=MLN","FA_ADJUSTED=GAAP","Sort=A","Dates=H","DateFormat=P","Fill=—","Direction=H","UseDPDF=Y")</f>
        <v>22896</v>
      </c>
      <c r="H72" s="12">
        <f>_xll.BDH("TMUS US Equity","GROSS_PROFIT","FY 2018","FY 2018","Currency=USD","Period=FY","BEST_FPERIOD_OVERRIDE=FY","FILING_STATUS=MR","SCALING_FORMAT=MLN","FA_ADJUSTED=GAAP","Sort=A","Dates=H","DateFormat=P","Fill=—","Direction=H","UseDPDF=Y")</f>
        <v>24956</v>
      </c>
      <c r="I72" s="12">
        <f>_xll.BDH("TMUS US Equity","GROSS_PROFIT","FY 2019","FY 2019","Currency=USD","Period=FY","BEST_FPERIOD_OVERRIDE=FY","FILING_STATUS=MR","SCALING_FORMAT=MLN","FA_ADJUSTED=GAAP","Sort=A","Dates=H","DateFormat=P","Fill=—","Direction=H","UseDPDF=Y")</f>
        <v>26477</v>
      </c>
      <c r="J72" s="12">
        <f>_xll.BDH("TMUS US Equity","GROSS_PROFIT","FY 2020","FY 2020","Currency=USD","Period=FY","BEST_FPERIOD_OVERRIDE=FY","FILING_STATUS=MR","SCALING_FORMAT=MLN","FA_ADJUSTED=GAAP","Sort=A","Dates=H","DateFormat=P","Fill=—","Direction=H","UseDPDF=Y")</f>
        <v>40131</v>
      </c>
      <c r="K72" s="12">
        <f>_xll.BDH("TMUS US Equity","GROSS_PROFIT","FY 2021","FY 2021","Currency=USD","Period=FY","BEST_FPERIOD_OVERRIDE=FY","FILING_STATUS=MR","SCALING_FORMAT=MLN","FA_ADJUSTED=GAAP","Sort=A","Dates=H","DateFormat=P","Fill=—","Direction=H","UseDPDF=Y")</f>
        <v>43513</v>
      </c>
      <c r="L72" s="12">
        <f>_xll.BDH("TMUS US Equity","GROSS_PROFIT","FY 2022","FY 2022","Currency=USD","Period=FY","BEST_FPERIOD_OVERRIDE=FY","FILING_STATUS=MR","SCALING_FORMAT=MLN","FA_ADJUSTED=GAAP","Sort=A","Dates=H","DateFormat=P","Fill=—","Direction=H","UseDPDF=Y")</f>
        <v>43365</v>
      </c>
    </row>
    <row r="73" spans="1:12">
      <c r="A73" s="10" t="s">
        <v>73</v>
      </c>
      <c r="B73" s="10" t="s">
        <v>73</v>
      </c>
      <c r="C73" s="12">
        <f>_xll.BDH("TMUS US Equity","EBITDA","FY 2013","FY 2013","Currency=USD","Period=FY","BEST_FPERIOD_OVERRIDE=FY","FILING_STATUS=MR","SCALING_FORMAT=MLN","FA_ADJUSTED=GAAP","Sort=A","Dates=H","DateFormat=P","Fill=—","Direction=H","UseDPDF=Y")</f>
        <v>4623</v>
      </c>
      <c r="D73" s="12">
        <f>_xll.BDH("TMUS US Equity","EBITDA","FY 2014","FY 2014","Currency=USD","Period=FY","BEST_FPERIOD_OVERRIDE=FY","FILING_STATUS=MR","SCALING_FORMAT=MLN","FA_ADJUSTED=GAAP","Sort=A","Dates=H","DateFormat=P","Fill=—","Direction=H","UseDPDF=Y")</f>
        <v>5828</v>
      </c>
      <c r="E73" s="12">
        <f>_xll.BDH("TMUS US Equity","EBITDA","FY 2015","FY 2015","Currency=USD","Period=FY","BEST_FPERIOD_OVERRIDE=FY","FILING_STATUS=MR","SCALING_FORMAT=MLN","FA_ADJUSTED=GAAP","Sort=A","Dates=H","DateFormat=P","Fill=—","Direction=H","UseDPDF=Y")</f>
        <v>6753</v>
      </c>
      <c r="F73" s="12">
        <f>_xll.BDH("TMUS US Equity","EBITDA","FY 2016","FY 2016","Currency=USD","Period=FY","BEST_FPERIOD_OVERRIDE=FY","FILING_STATUS=MR","SCALING_FORMAT=MLN","FA_ADJUSTED=GAAP","Sort=A","Dates=H","DateFormat=P","Fill=—","Direction=H","UseDPDF=Y")</f>
        <v>10293</v>
      </c>
      <c r="G73" s="12">
        <f>_xll.BDH("TMUS US Equity","EBITDA","FY 2017","FY 2017","Currency=USD","Period=FY","BEST_FPERIOD_OVERRIDE=FY","FILING_STATUS=MR","SCALING_FORMAT=MLN","FA_ADJUSTED=GAAP","Sort=A","Dates=H","DateFormat=P","Fill=—","Direction=H","UseDPDF=Y")</f>
        <v>10872</v>
      </c>
      <c r="H73" s="12">
        <f>_xll.BDH("TMUS US Equity","EBITDA","FY 2018","FY 2018","Currency=USD","Period=FY","BEST_FPERIOD_OVERRIDE=FY","FILING_STATUS=MR","SCALING_FORMAT=MLN","FA_ADJUSTED=GAAP","Sort=A","Dates=H","DateFormat=P","Fill=—","Direction=H","UseDPDF=Y")</f>
        <v>11795</v>
      </c>
      <c r="I73" s="12">
        <f>_xll.BDH("TMUS US Equity","EBITDA","FY 2019","FY 2019","Currency=USD","Period=FY","BEST_FPERIOD_OVERRIDE=FY","FILING_STATUS=MR","SCALING_FORMAT=MLN","FA_ADJUSTED=GAAP","Sort=A","Dates=H","DateFormat=P","Fill=—","Direction=H","UseDPDF=Y")</f>
        <v>14896</v>
      </c>
      <c r="J73" s="12">
        <f>_xll.BDH("TMUS US Equity","EBITDA","FY 2020","FY 2020","Currency=USD","Period=FY","BEST_FPERIOD_OVERRIDE=FY","FILING_STATUS=MR","SCALING_FORMAT=MLN","FA_ADJUSTED=GAAP","Sort=A","Dates=H","DateFormat=P","Fill=—","Direction=H","UseDPDF=Y")</f>
        <v>25225</v>
      </c>
      <c r="K73" s="12">
        <f>_xll.BDH("TMUS US Equity","EBITDA","FY 2021","FY 2021","Currency=USD","Period=FY","BEST_FPERIOD_OVERRIDE=FY","FILING_STATUS=MR","SCALING_FORMAT=MLN","FA_ADJUSTED=GAAP","Sort=A","Dates=H","DateFormat=P","Fill=—","Direction=H","UseDPDF=Y")</f>
        <v>29196</v>
      </c>
      <c r="L73" s="12">
        <f>_xll.BDH("TMUS US Equity","EBITDA","FY 2022","FY 2022","Currency=USD","Period=FY","BEST_FPERIOD_OVERRIDE=FY","FILING_STATUS=MR","SCALING_FORMAT=MLN","FA_ADJUSTED=GAAP","Sort=A","Dates=H","DateFormat=P","Fill=—","Direction=H","UseDPDF=Y")</f>
        <v>26708</v>
      </c>
    </row>
    <row r="74" spans="1:12">
      <c r="A74" s="10" t="s">
        <v>90</v>
      </c>
      <c r="B74" s="10" t="s">
        <v>91</v>
      </c>
      <c r="C74" s="12">
        <f>_xll.BDH("TMUS US Equity","IS_OPER_INC","FY 2013","FY 2013","Currency=USD","Period=FY","BEST_FPERIOD_OVERRIDE=FY","FILING_STATUS=MR","SCALING_FORMAT=MLN","FA_ADJUSTED=GAAP","Sort=A","Dates=H","DateFormat=P","Fill=—","Direction=H","UseDPDF=Y")</f>
        <v>996</v>
      </c>
      <c r="D74" s="12">
        <f>_xll.BDH("TMUS US Equity","IS_OPER_INC","FY 2014","FY 2014","Currency=USD","Period=FY","BEST_FPERIOD_OVERRIDE=FY","FILING_STATUS=MR","SCALING_FORMAT=MLN","FA_ADJUSTED=GAAP","Sort=A","Dates=H","DateFormat=P","Fill=—","Direction=H","UseDPDF=Y")</f>
        <v>1416</v>
      </c>
      <c r="E74" s="12">
        <f>_xll.BDH("TMUS US Equity","IS_OPER_INC","FY 2015","FY 2015","Currency=USD","Period=FY","BEST_FPERIOD_OVERRIDE=FY","FILING_STATUS=MR","SCALING_FORMAT=MLN","FA_ADJUSTED=GAAP","Sort=A","Dates=H","DateFormat=P","Fill=—","Direction=H","UseDPDF=Y")</f>
        <v>2065</v>
      </c>
      <c r="F74" s="12">
        <f>_xll.BDH("TMUS US Equity","IS_OPER_INC","FY 2016","FY 2016","Currency=USD","Period=FY","BEST_FPERIOD_OVERRIDE=FY","FILING_STATUS=MR","SCALING_FORMAT=MLN","FA_ADJUSTED=GAAP","Sort=A","Dates=H","DateFormat=P","Fill=—","Direction=H","UseDPDF=Y")</f>
        <v>4050</v>
      </c>
      <c r="G74" s="12">
        <f>_xll.BDH("TMUS US Equity","IS_OPER_INC","FY 2017","FY 2017","Currency=USD","Period=FY","BEST_FPERIOD_OVERRIDE=FY","FILING_STATUS=MR","SCALING_FORMAT=MLN","FA_ADJUSTED=GAAP","Sort=A","Dates=H","DateFormat=P","Fill=—","Direction=H","UseDPDF=Y")</f>
        <v>4888</v>
      </c>
      <c r="H74" s="12">
        <f>_xll.BDH("TMUS US Equity","IS_OPER_INC","FY 2018","FY 2018","Currency=USD","Period=FY","BEST_FPERIOD_OVERRIDE=FY","FILING_STATUS=MR","SCALING_FORMAT=MLN","FA_ADJUSTED=GAAP","Sort=A","Dates=H","DateFormat=P","Fill=—","Direction=H","UseDPDF=Y")</f>
        <v>5309</v>
      </c>
      <c r="I74" s="12">
        <f>_xll.BDH("TMUS US Equity","IS_OPER_INC","FY 2019","FY 2019","Currency=USD","Period=FY","BEST_FPERIOD_OVERRIDE=FY","FILING_STATUS=MR","SCALING_FORMAT=MLN","FA_ADJUSTED=GAAP","Sort=A","Dates=H","DateFormat=P","Fill=—","Direction=H","UseDPDF=Y")</f>
        <v>5722</v>
      </c>
      <c r="J74" s="12">
        <f>_xll.BDH("TMUS US Equity","IS_OPER_INC","FY 2020","FY 2020","Currency=USD","Period=FY","BEST_FPERIOD_OVERRIDE=FY","FILING_STATUS=MR","SCALING_FORMAT=MLN","FA_ADJUSTED=GAAP","Sort=A","Dates=H","DateFormat=P","Fill=—","Direction=H","UseDPDF=Y")</f>
        <v>6636</v>
      </c>
      <c r="K74" s="12">
        <f>_xll.BDH("TMUS US Equity","IS_OPER_INC","FY 2021","FY 2021","Currency=USD","Period=FY","BEST_FPERIOD_OVERRIDE=FY","FILING_STATUS=MR","SCALING_FORMAT=MLN","FA_ADJUSTED=GAAP","Sort=A","Dates=H","DateFormat=P","Fill=—","Direction=H","UseDPDF=Y")</f>
        <v>6892</v>
      </c>
      <c r="L74" s="12">
        <f>_xll.BDH("TMUS US Equity","IS_OPER_INC","FY 2022","FY 2022","Currency=USD","Period=FY","BEST_FPERIOD_OVERRIDE=FY","FILING_STATUS=MR","SCALING_FORMAT=MLN","FA_ADJUSTED=GAAP","Sort=A","Dates=H","DateFormat=P","Fill=—","Direction=H","UseDPDF=Y")</f>
        <v>6543</v>
      </c>
    </row>
    <row r="75" spans="1:12">
      <c r="A75" s="10" t="s">
        <v>102</v>
      </c>
      <c r="B75" s="10" t="s">
        <v>103</v>
      </c>
      <c r="C75" s="12">
        <f>_xll.BDH("TMUS US Equity","NORMALIZED_INCOME","FY 2013","FY 2013","Currency=USD","Period=FY","BEST_FPERIOD_OVERRIDE=FY","FILING_STATUS=MR","SCALING_FORMAT=MLN","Sort=A","Dates=H","DateFormat=P","Fill=—","Direction=H","UseDPDF=Y")</f>
        <v>140.54050000000001</v>
      </c>
      <c r="D75" s="12">
        <f>_xll.BDH("TMUS US Equity","NORMALIZED_INCOME","FY 2014","FY 2014","Currency=USD","Period=FY","BEST_FPERIOD_OVERRIDE=FY","FILING_STATUS=MR","SCALING_FORMAT=MLN","Sort=A","Dates=H","DateFormat=P","Fill=—","Direction=H","UseDPDF=Y")</f>
        <v>-128.69999999999999</v>
      </c>
      <c r="E75" s="12">
        <f>_xll.BDH("TMUS US Equity","NORMALIZED_INCOME","FY 2015","FY 2015","Currency=USD","Period=FY","BEST_FPERIOD_OVERRIDE=FY","FILING_STATUS=MR","SCALING_FORMAT=MLN","Sort=A","Dates=H","DateFormat=P","Fill=—","Direction=H","UseDPDF=Y")</f>
        <v>816.45</v>
      </c>
      <c r="F75" s="12">
        <f>_xll.BDH("TMUS US Equity","NORMALIZED_INCOME","FY 2016","FY 2016","Currency=USD","Period=FY","BEST_FPERIOD_OVERRIDE=FY","FILING_STATUS=MR","SCALING_FORMAT=MLN","Sort=A","Dates=H","DateFormat=P","Fill=—","Direction=H","UseDPDF=Y")</f>
        <v>934.4</v>
      </c>
      <c r="G75" s="12">
        <f>_xll.BDH("TMUS US Equity","NORMALIZED_INCOME","FY 2017","FY 2017","Currency=USD","Period=FY","BEST_FPERIOD_OVERRIDE=FY","FILING_STATUS=MR","SCALING_FORMAT=MLN","Sort=A","Dates=H","DateFormat=P","Fill=—","Direction=H","UseDPDF=Y")</f>
        <v>2150.35</v>
      </c>
      <c r="H75" s="12">
        <f>_xll.BDH("TMUS US Equity","NORMALIZED_INCOME","FY 2018","FY 2018","Currency=USD","Period=FY","BEST_FPERIOD_OVERRIDE=FY","FILING_STATUS=MR","SCALING_FORMAT=MLN","Sort=A","Dates=H","DateFormat=P","Fill=—","Direction=H","UseDPDF=Y")</f>
        <v>2969</v>
      </c>
      <c r="I75" s="12">
        <f>_xll.BDH("TMUS US Equity","NORMALIZED_INCOME","FY 2019","FY 2019","Currency=USD","Period=FY","BEST_FPERIOD_OVERRIDE=FY","FILING_STATUS=MR","SCALING_FORMAT=MLN","Sort=A","Dates=H","DateFormat=P","Fill=—","Direction=H","UseDPDF=Y")</f>
        <v>3985.59</v>
      </c>
      <c r="J75" s="12">
        <f>_xll.BDH("TMUS US Equity","NORMALIZED_INCOME","FY 2020","FY 2020","Currency=USD","Period=FY","BEST_FPERIOD_OVERRIDE=FY","FILING_STATUS=MR","SCALING_FORMAT=MLN","Sort=A","Dates=H","DateFormat=P","Fill=—","Direction=H","UseDPDF=Y")</f>
        <v>5245.93</v>
      </c>
      <c r="K75" s="12">
        <f>_xll.BDH("TMUS US Equity","NORMALIZED_INCOME","FY 2021","FY 2021","Currency=USD","Period=FY","BEST_FPERIOD_OVERRIDE=FY","FILING_STATUS=MR","SCALING_FORMAT=MLN","Sort=A","Dates=H","DateFormat=P","Fill=—","Direction=H","UseDPDF=Y")</f>
        <v>5640.48</v>
      </c>
      <c r="L75" s="12">
        <f>_xll.BDH("TMUS US Equity","NORMALIZED_INCOME","FY 2022","FY 2022","Currency=USD","Period=FY","BEST_FPERIOD_OVERRIDE=FY","FILING_STATUS=MR","SCALING_FORMAT=MLN","Sort=A","Dates=H","DateFormat=P","Fill=—","Direction=H","UseDPDF=Y")</f>
        <v>8160.29</v>
      </c>
    </row>
    <row r="76" spans="1:12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>
      <c r="A77" s="6" t="s">
        <v>104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>
      <c r="A78" s="10" t="s">
        <v>105</v>
      </c>
      <c r="B78" s="10" t="s">
        <v>106</v>
      </c>
      <c r="C78" s="13">
        <f>_xll.BDH("TMUS US Equity","EQY_DPS","FY 2013","FY 2013","Currency=USD","Period=FY","BEST_FPERIOD_OVERRIDE=FY","FILING_STATUS=MR","Sort=A","Dates=H","DateFormat=P","Fill=—","Direction=H","UseDPDF=Y")</f>
        <v>0</v>
      </c>
      <c r="D78" s="13">
        <f>_xll.BDH("TMUS US Equity","EQY_DPS","FY 2014","FY 2014","Currency=USD","Period=FY","BEST_FPERIOD_OVERRIDE=FY","FILING_STATUS=MR","Sort=A","Dates=H","DateFormat=P","Fill=—","Direction=H","UseDPDF=Y")</f>
        <v>0</v>
      </c>
      <c r="E78" s="13">
        <f>_xll.BDH("TMUS US Equity","EQY_DPS","FY 2015","FY 2015","Currency=USD","Period=FY","BEST_FPERIOD_OVERRIDE=FY","FILING_STATUS=MR","Sort=A","Dates=H","DateFormat=P","Fill=—","Direction=H","UseDPDF=Y")</f>
        <v>0</v>
      </c>
      <c r="F78" s="13">
        <f>_xll.BDH("TMUS US Equity","EQY_DPS","FY 2016","FY 2016","Currency=USD","Period=FY","BEST_FPERIOD_OVERRIDE=FY","FILING_STATUS=MR","Sort=A","Dates=H","DateFormat=P","Fill=—","Direction=H","UseDPDF=Y")</f>
        <v>0</v>
      </c>
      <c r="G78" s="13">
        <f>_xll.BDH("TMUS US Equity","EQY_DPS","FY 2017","FY 2017","Currency=USD","Period=FY","BEST_FPERIOD_OVERRIDE=FY","FILING_STATUS=MR","Sort=A","Dates=H","DateFormat=P","Fill=—","Direction=H","UseDPDF=Y")</f>
        <v>0</v>
      </c>
      <c r="H78" s="13">
        <f>_xll.BDH("TMUS US Equity","EQY_DPS","FY 2018","FY 2018","Currency=USD","Period=FY","BEST_FPERIOD_OVERRIDE=FY","FILING_STATUS=MR","Sort=A","Dates=H","DateFormat=P","Fill=—","Direction=H","UseDPDF=Y")</f>
        <v>0</v>
      </c>
      <c r="I78" s="13">
        <f>_xll.BDH("TMUS US Equity","EQY_DPS","FY 2019","FY 2019","Currency=USD","Period=FY","BEST_FPERIOD_OVERRIDE=FY","FILING_STATUS=MR","Sort=A","Dates=H","DateFormat=P","Fill=—","Direction=H","UseDPDF=Y")</f>
        <v>0</v>
      </c>
      <c r="J78" s="13">
        <f>_xll.BDH("TMUS US Equity","EQY_DPS","FY 2020","FY 2020","Currency=USD","Period=FY","BEST_FPERIOD_OVERRIDE=FY","FILING_STATUS=MR","Sort=A","Dates=H","DateFormat=P","Fill=—","Direction=H","UseDPDF=Y")</f>
        <v>0</v>
      </c>
      <c r="K78" s="13">
        <f>_xll.BDH("TMUS US Equity","EQY_DPS","FY 2021","FY 2021","Currency=USD","Period=FY","BEST_FPERIOD_OVERRIDE=FY","FILING_STATUS=MR","Sort=A","Dates=H","DateFormat=P","Fill=—","Direction=H","UseDPDF=Y")</f>
        <v>0</v>
      </c>
      <c r="L78" s="13">
        <f>_xll.BDH("TMUS US Equity","EQY_DPS","FY 2022","FY 2022","Currency=USD","Period=FY","BEST_FPERIOD_OVERRIDE=FY","FILING_STATUS=MR","Sort=A","Dates=H","DateFormat=P","Fill=—","Direction=H","UseDPDF=Y")</f>
        <v>0</v>
      </c>
    </row>
    <row r="79" spans="1:12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>
      <c r="A80" s="6" t="s">
        <v>107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>
      <c r="A81" s="10" t="s">
        <v>108</v>
      </c>
      <c r="B81" s="10" t="s">
        <v>109</v>
      </c>
      <c r="C81" s="12">
        <f>_xll.BDH("TMUS US Equity","WORKING_CAPITAL","FY 2013","FY 2013","Currency=USD","Period=FY","BEST_FPERIOD_OVERRIDE=FY","FILING_STATUS=MR","SCALING_FORMAT=MLN","Sort=A","Dates=H","DateFormat=P","Fill=—","Direction=H","UseDPDF=Y")</f>
        <v>6420</v>
      </c>
      <c r="D81" s="12">
        <f>_xll.BDH("TMUS US Equity","WORKING_CAPITAL","FY 2014","FY 2014","Currency=USD","Period=FY","BEST_FPERIOD_OVERRIDE=FY","FILING_STATUS=MR","SCALING_FORMAT=MLN","Sort=A","Dates=H","DateFormat=P","Fill=—","Direction=H","UseDPDF=Y")</f>
        <v>5208</v>
      </c>
      <c r="E81" s="12">
        <f>_xll.BDH("TMUS US Equity","WORKING_CAPITAL","FY 2015","FY 2015","Currency=USD","Period=FY","BEST_FPERIOD_OVERRIDE=FY","FILING_STATUS=MR","SCALING_FORMAT=MLN","Sort=A","Dates=H","DateFormat=P","Fill=—","Direction=H","UseDPDF=Y")</f>
        <v>5362</v>
      </c>
      <c r="F81" s="12">
        <f>_xll.BDH("TMUS US Equity","WORKING_CAPITAL","FY 2016","FY 2016","Currency=USD","Period=FY","BEST_FPERIOD_OVERRIDE=FY","FILING_STATUS=MR","SCALING_FORMAT=MLN","Sort=A","Dates=H","DateFormat=P","Fill=—","Direction=H","UseDPDF=Y")</f>
        <v>5195</v>
      </c>
      <c r="G81" s="12">
        <f>_xll.BDH("TMUS US Equity","WORKING_CAPITAL","FY 2017","FY 2017","Currency=USD","Period=FY","BEST_FPERIOD_OVERRIDE=FY","FILING_STATUS=MR","SCALING_FORMAT=MLN","Sort=A","Dates=H","DateFormat=P","Fill=—","Direction=H","UseDPDF=Y")</f>
        <v>-2600</v>
      </c>
      <c r="H81" s="12">
        <f>_xll.BDH("TMUS US Equity","WORKING_CAPITAL","FY 2018","FY 2018","Currency=USD","Period=FY","BEST_FPERIOD_OVERRIDE=FY","FILING_STATUS=MR","SCALING_FORMAT=MLN","Sort=A","Dates=H","DateFormat=P","Fill=—","Direction=H","UseDPDF=Y")</f>
        <v>-1986</v>
      </c>
      <c r="I81" s="12">
        <f>_xll.BDH("TMUS US Equity","WORKING_CAPITAL","FY 2019","FY 2019","Currency=USD","Period=FY","BEST_FPERIOD_OVERRIDE=FY","FILING_STATUS=MR","SCALING_FORMAT=MLN","Sort=A","Dates=H","DateFormat=P","Fill=—","Direction=H","UseDPDF=Y")</f>
        <v>-3201</v>
      </c>
      <c r="J81" s="12">
        <f>_xll.BDH("TMUS US Equity","WORKING_CAPITAL","FY 2020","FY 2020","Currency=USD","Period=FY","BEST_FPERIOD_OVERRIDE=FY","FILING_STATUS=MR","SCALING_FORMAT=MLN","Sort=A","Dates=H","DateFormat=P","Fill=—","Direction=H","UseDPDF=Y")</f>
        <v>2182</v>
      </c>
      <c r="K81" s="12">
        <f>_xll.BDH("TMUS US Equity","WORKING_CAPITAL","FY 2021","FY 2021","Currency=USD","Period=FY","BEST_FPERIOD_OVERRIDE=FY","FILING_STATUS=MR","SCALING_FORMAT=MLN","Sort=A","Dates=H","DateFormat=P","Fill=—","Direction=H","UseDPDF=Y")</f>
        <v>-2608</v>
      </c>
      <c r="L81" s="12">
        <f>_xll.BDH("TMUS US Equity","WORKING_CAPITAL","FY 2022","FY 2022","Currency=USD","Period=FY","BEST_FPERIOD_OVERRIDE=FY","FILING_STATUS=MR","SCALING_FORMAT=MLN","Sort=A","Dates=H","DateFormat=P","Fill=—","Direction=H","UseDPDF=Y")</f>
        <v>-5675</v>
      </c>
    </row>
    <row r="82" spans="1:12">
      <c r="A82" s="10" t="s">
        <v>110</v>
      </c>
      <c r="B82" s="10" t="s">
        <v>111</v>
      </c>
      <c r="C82" s="12">
        <f>_xll.BDH("TMUS US Equity","CF_CASH_FROM_OPER","FY 2013","FY 2013","Currency=USD","Period=FY","BEST_FPERIOD_OVERRIDE=FY","FILING_STATUS=MR","SCALING_FORMAT=MLN","Sort=A","Dates=H","DateFormat=P","Fill=—","Direction=H","UseDPDF=Y")</f>
        <v>3545</v>
      </c>
      <c r="D82" s="12">
        <f>_xll.BDH("TMUS US Equity","CF_CASH_FROM_OPER","FY 2014","FY 2014","Currency=USD","Period=FY","BEST_FPERIOD_OVERRIDE=FY","FILING_STATUS=MR","SCALING_FORMAT=MLN","Sort=A","Dates=H","DateFormat=P","Fill=—","Direction=H","UseDPDF=Y")</f>
        <v>4146</v>
      </c>
      <c r="E82" s="12">
        <f>_xll.BDH("TMUS US Equity","CF_CASH_FROM_OPER","FY 2015","FY 2015","Currency=USD","Period=FY","BEST_FPERIOD_OVERRIDE=FY","FILING_STATUS=MR","SCALING_FORMAT=MLN","Sort=A","Dates=H","DateFormat=P","Fill=—","Direction=H","UseDPDF=Y")</f>
        <v>5414</v>
      </c>
      <c r="F82" s="12">
        <f>_xll.BDH("TMUS US Equity","CF_CASH_FROM_OPER","FY 2016","FY 2016","Currency=USD","Period=FY","BEST_FPERIOD_OVERRIDE=FY","FILING_STATUS=MR","SCALING_FORMAT=MLN","Sort=A","Dates=H","DateFormat=P","Fill=—","Direction=H","UseDPDF=Y")</f>
        <v>6135</v>
      </c>
      <c r="G82" s="12">
        <f>_xll.BDH("TMUS US Equity","CF_CASH_FROM_OPER","FY 2017","FY 2017","Currency=USD","Period=FY","BEST_FPERIOD_OVERRIDE=FY","FILING_STATUS=MR","SCALING_FORMAT=MLN","Sort=A","Dates=H","DateFormat=P","Fill=—","Direction=H","UseDPDF=Y")</f>
        <v>8150</v>
      </c>
      <c r="H82" s="12">
        <f>_xll.BDH("TMUS US Equity","CF_CASH_FROM_OPER","FY 2018","FY 2018","Currency=USD","Period=FY","BEST_FPERIOD_OVERRIDE=FY","FILING_STATUS=MR","SCALING_FORMAT=MLN","Sort=A","Dates=H","DateFormat=P","Fill=—","Direction=H","UseDPDF=Y")</f>
        <v>9305</v>
      </c>
      <c r="I82" s="12">
        <f>_xll.BDH("TMUS US Equity","CF_CASH_FROM_OPER","FY 2019","FY 2019","Currency=USD","Period=FY","BEST_FPERIOD_OVERRIDE=FY","FILING_STATUS=MR","SCALING_FORMAT=MLN","Sort=A","Dates=H","DateFormat=P","Fill=—","Direction=H","UseDPDF=Y")</f>
        <v>10700</v>
      </c>
      <c r="J82" s="12">
        <f>_xll.BDH("TMUS US Equity","CF_CASH_FROM_OPER","FY 2020","FY 2020","Currency=USD","Period=FY","BEST_FPERIOD_OVERRIDE=FY","FILING_STATUS=MR","SCALING_FORMAT=MLN","Sort=A","Dates=H","DateFormat=P","Fill=—","Direction=H","UseDPDF=Y")</f>
        <v>11774</v>
      </c>
      <c r="K82" s="12">
        <f>_xll.BDH("TMUS US Equity","CF_CASH_FROM_OPER","FY 2021","FY 2021","Currency=USD","Period=FY","BEST_FPERIOD_OVERRIDE=FY","FILING_STATUS=MR","SCALING_FORMAT=MLN","Sort=A","Dates=H","DateFormat=P","Fill=—","Direction=H","UseDPDF=Y")</f>
        <v>18048</v>
      </c>
      <c r="L82" s="12">
        <f>_xll.BDH("TMUS US Equity","CF_CASH_FROM_OPER","FY 2022","FY 2022","Currency=USD","Period=FY","BEST_FPERIOD_OVERRIDE=FY","FILING_STATUS=MR","SCALING_FORMAT=MLN","Sort=A","Dates=H","DateFormat=P","Fill=—","Direction=H","UseDPDF=Y")</f>
        <v>21617</v>
      </c>
    </row>
    <row r="83" spans="1:12">
      <c r="A83" s="10" t="s">
        <v>76</v>
      </c>
      <c r="B83" s="10" t="s">
        <v>77</v>
      </c>
      <c r="C83" s="12">
        <f>_xll.BDH("TMUS US Equity","CF_CAP_EXPEND_PRPTY_ADD","FY 2013","FY 2013","Currency=USD","Period=FY","BEST_FPERIOD_OVERRIDE=FY","FILING_STATUS=MR","SCALING_FORMAT=MLN","Sort=A","Dates=H","DateFormat=P","Fill=—","Direction=H","UseDPDF=Y")</f>
        <v>-4025</v>
      </c>
      <c r="D83" s="12">
        <f>_xll.BDH("TMUS US Equity","CF_CAP_EXPEND_PRPTY_ADD","FY 2014","FY 2014","Currency=USD","Period=FY","BEST_FPERIOD_OVERRIDE=FY","FILING_STATUS=MR","SCALING_FORMAT=MLN","Sort=A","Dates=H","DateFormat=P","Fill=—","Direction=H","UseDPDF=Y")</f>
        <v>-4317</v>
      </c>
      <c r="E83" s="12">
        <f>_xll.BDH("TMUS US Equity","CF_CAP_EXPEND_PRPTY_ADD","FY 2015","FY 2015","Currency=USD","Period=FY","BEST_FPERIOD_OVERRIDE=FY","FILING_STATUS=MR","SCALING_FORMAT=MLN","Sort=A","Dates=H","DateFormat=P","Fill=—","Direction=H","UseDPDF=Y")</f>
        <v>-4724</v>
      </c>
      <c r="F83" s="12">
        <f>_xll.BDH("TMUS US Equity","CF_CAP_EXPEND_PRPTY_ADD","FY 2016","FY 2016","Currency=USD","Period=FY","BEST_FPERIOD_OVERRIDE=FY","FILING_STATUS=MR","SCALING_FORMAT=MLN","Sort=A","Dates=H","DateFormat=P","Fill=—","Direction=H","UseDPDF=Y")</f>
        <v>-4702</v>
      </c>
      <c r="G83" s="12">
        <f>_xll.BDH("TMUS US Equity","CF_CAP_EXPEND_PRPTY_ADD","FY 2017","FY 2017","Currency=USD","Period=FY","BEST_FPERIOD_OVERRIDE=FY","FILING_STATUS=MR","SCALING_FORMAT=MLN","Sort=A","Dates=H","DateFormat=P","Fill=—","Direction=H","UseDPDF=Y")</f>
        <v>-5237</v>
      </c>
      <c r="H83" s="12">
        <f>_xll.BDH("TMUS US Equity","CF_CAP_EXPEND_PRPTY_ADD","FY 2018","FY 2018","Currency=USD","Period=FY","BEST_FPERIOD_OVERRIDE=FY","FILING_STATUS=MR","SCALING_FORMAT=MLN","Sort=A","Dates=H","DateFormat=P","Fill=—","Direction=H","UseDPDF=Y")</f>
        <v>-5541</v>
      </c>
      <c r="I83" s="12">
        <f>_xll.BDH("TMUS US Equity","CF_CAP_EXPEND_PRPTY_ADD","FY 2019","FY 2019","Currency=USD","Period=FY","BEST_FPERIOD_OVERRIDE=FY","FILING_STATUS=MR","SCALING_FORMAT=MLN","Sort=A","Dates=H","DateFormat=P","Fill=—","Direction=H","UseDPDF=Y")</f>
        <v>-6391</v>
      </c>
      <c r="J83" s="12">
        <f>_xll.BDH("TMUS US Equity","CF_CAP_EXPEND_PRPTY_ADD","FY 2020","FY 2020","Currency=USD","Period=FY","BEST_FPERIOD_OVERRIDE=FY","FILING_STATUS=MR","SCALING_FORMAT=MLN","Sort=A","Dates=H","DateFormat=P","Fill=—","Direction=H","UseDPDF=Y")</f>
        <v>-11034</v>
      </c>
      <c r="K83" s="12">
        <f>_xll.BDH("TMUS US Equity","CF_CAP_EXPEND_PRPTY_ADD","FY 2021","FY 2021","Currency=USD","Period=FY","BEST_FPERIOD_OVERRIDE=FY","FILING_STATUS=MR","SCALING_FORMAT=MLN","Sort=A","Dates=H","DateFormat=P","Fill=—","Direction=H","UseDPDF=Y")</f>
        <v>-12326</v>
      </c>
      <c r="L83" s="12">
        <f>_xll.BDH("TMUS US Equity","CF_CAP_EXPEND_PRPTY_ADD","FY 2022","FY 2022","Currency=USD","Period=FY","BEST_FPERIOD_OVERRIDE=FY","FILING_STATUS=MR","SCALING_FORMAT=MLN","Sort=A","Dates=H","DateFormat=P","Fill=—","Direction=H","UseDPDF=Y")</f>
        <v>-13970</v>
      </c>
    </row>
    <row r="84" spans="1:12">
      <c r="A84" s="10" t="s">
        <v>112</v>
      </c>
      <c r="B84" s="10" t="s">
        <v>113</v>
      </c>
      <c r="C84" s="12">
        <f>_xll.BDH("TMUS US Equity","CF_FREE_CASH_FLOW","FY 2013","FY 2013","Currency=USD","Period=FY","BEST_FPERIOD_OVERRIDE=FY","FILING_STATUS=MR","SCALING_FORMAT=MLN","Sort=A","Dates=H","DateFormat=P","Fill=—","Direction=H","UseDPDF=Y")</f>
        <v>-480</v>
      </c>
      <c r="D84" s="12">
        <f>_xll.BDH("TMUS US Equity","CF_FREE_CASH_FLOW","FY 2014","FY 2014","Currency=USD","Period=FY","BEST_FPERIOD_OVERRIDE=FY","FILING_STATUS=MR","SCALING_FORMAT=MLN","Sort=A","Dates=H","DateFormat=P","Fill=—","Direction=H","UseDPDF=Y")</f>
        <v>-171</v>
      </c>
      <c r="E84" s="12">
        <f>_xll.BDH("TMUS US Equity","CF_FREE_CASH_FLOW","FY 2015","FY 2015","Currency=USD","Period=FY","BEST_FPERIOD_OVERRIDE=FY","FILING_STATUS=MR","SCALING_FORMAT=MLN","Sort=A","Dates=H","DateFormat=P","Fill=—","Direction=H","UseDPDF=Y")</f>
        <v>690</v>
      </c>
      <c r="F84" s="12">
        <f>_xll.BDH("TMUS US Equity","CF_FREE_CASH_FLOW","FY 2016","FY 2016","Currency=USD","Period=FY","BEST_FPERIOD_OVERRIDE=FY","FILING_STATUS=MR","SCALING_FORMAT=MLN","Sort=A","Dates=H","DateFormat=P","Fill=—","Direction=H","UseDPDF=Y")</f>
        <v>1433</v>
      </c>
      <c r="G84" s="12">
        <f>_xll.BDH("TMUS US Equity","CF_FREE_CASH_FLOW","FY 2017","FY 2017","Currency=USD","Period=FY","BEST_FPERIOD_OVERRIDE=FY","FILING_STATUS=MR","SCALING_FORMAT=MLN","Sort=A","Dates=H","DateFormat=P","Fill=—","Direction=H","UseDPDF=Y")</f>
        <v>2913</v>
      </c>
      <c r="H84" s="12">
        <f>_xll.BDH("TMUS US Equity","CF_FREE_CASH_FLOW","FY 2018","FY 2018","Currency=USD","Period=FY","BEST_FPERIOD_OVERRIDE=FY","FILING_STATUS=MR","SCALING_FORMAT=MLN","Sort=A","Dates=H","DateFormat=P","Fill=—","Direction=H","UseDPDF=Y")</f>
        <v>3764</v>
      </c>
      <c r="I84" s="12">
        <f>_xll.BDH("TMUS US Equity","CF_FREE_CASH_FLOW","FY 2019","FY 2019","Currency=USD","Period=FY","BEST_FPERIOD_OVERRIDE=FY","FILING_STATUS=MR","SCALING_FORMAT=MLN","Sort=A","Dates=H","DateFormat=P","Fill=—","Direction=H","UseDPDF=Y")</f>
        <v>4309</v>
      </c>
      <c r="J84" s="12">
        <f>_xll.BDH("TMUS US Equity","CF_FREE_CASH_FLOW","FY 2020","FY 2020","Currency=USD","Period=FY","BEST_FPERIOD_OVERRIDE=FY","FILING_STATUS=MR","SCALING_FORMAT=MLN","Sort=A","Dates=H","DateFormat=P","Fill=—","Direction=H","UseDPDF=Y")</f>
        <v>740</v>
      </c>
      <c r="K84" s="12">
        <f>_xll.BDH("TMUS US Equity","CF_FREE_CASH_FLOW","FY 2021","FY 2021","Currency=USD","Period=FY","BEST_FPERIOD_OVERRIDE=FY","FILING_STATUS=MR","SCALING_FORMAT=MLN","Sort=A","Dates=H","DateFormat=P","Fill=—","Direction=H","UseDPDF=Y")</f>
        <v>5722</v>
      </c>
      <c r="L84" s="12">
        <f>_xll.BDH("TMUS US Equity","CF_FREE_CASH_FLOW","FY 2022","FY 2022","Currency=USD","Period=FY","BEST_FPERIOD_OVERRIDE=FY","FILING_STATUS=MR","SCALING_FORMAT=MLN","Sort=A","Dates=H","DateFormat=P","Fill=—","Direction=H","UseDPDF=Y")</f>
        <v>7647</v>
      </c>
    </row>
    <row r="85" spans="1:12">
      <c r="A85" s="10" t="s">
        <v>114</v>
      </c>
      <c r="B85" s="10" t="s">
        <v>115</v>
      </c>
      <c r="C85" s="13">
        <f>_xll.BDH("TMUS US Equity","FCF_PER_DIL_SHR","FY 2013","FY 2013","Currency=USD","Period=FY","BEST_FPERIOD_OVERRIDE=FY","FILING_STATUS=MR","Sort=A","Dates=H","DateFormat=P","Fill=—","Direction=H","UseDPDF=Y")</f>
        <v>-0.70779999999999998</v>
      </c>
      <c r="D85" s="13">
        <f>_xll.BDH("TMUS US Equity","FCF_PER_DIL_SHR","FY 2014","FY 2014","Currency=USD","Period=FY","BEST_FPERIOD_OVERRIDE=FY","FILING_STATUS=MR","Sort=A","Dates=H","DateFormat=P","Fill=—","Direction=H","UseDPDF=Y")</f>
        <v>-0.2092</v>
      </c>
      <c r="E85" s="13">
        <f>_xll.BDH("TMUS US Equity","FCF_PER_DIL_SHR","FY 2015","FY 2015","Currency=USD","Period=FY","BEST_FPERIOD_OVERRIDE=FY","FILING_STATUS=MR","Sort=A","Dates=H","DateFormat=P","Fill=—","Direction=H","UseDPDF=Y")</f>
        <v>0.83720000000000006</v>
      </c>
      <c r="F85" s="13">
        <f>_xll.BDH("TMUS US Equity","FCF_PER_DIL_SHR","FY 2016","FY 2016","Currency=USD","Period=FY","BEST_FPERIOD_OVERRIDE=FY","FILING_STATUS=MR","Sort=A","Dates=H","DateFormat=P","Fill=—","Direction=H","UseDPDF=Y")</f>
        <v>1.7170000000000001</v>
      </c>
      <c r="G85" s="13">
        <f>_xll.BDH("TMUS US Equity","FCF_PER_DIL_SHR","FY 2017","FY 2017","Currency=USD","Period=FY","BEST_FPERIOD_OVERRIDE=FY","FILING_STATUS=MR","Sort=A","Dates=H","DateFormat=P","Fill=—","Direction=H","UseDPDF=Y")</f>
        <v>3.3351999999999999</v>
      </c>
      <c r="H85" s="13">
        <f>_xll.BDH("TMUS US Equity","FCF_PER_DIL_SHR","FY 2018","FY 2018","Currency=USD","Period=FY","BEST_FPERIOD_OVERRIDE=FY","FILING_STATUS=MR","Sort=A","Dates=H","DateFormat=P","Fill=—","Direction=H","UseDPDF=Y")</f>
        <v>4.3773999999999997</v>
      </c>
      <c r="I85" s="13">
        <f>_xll.BDH("TMUS US Equity","FCF_PER_DIL_SHR","FY 2019","FY 2019","Currency=USD","Period=FY","BEST_FPERIOD_OVERRIDE=FY","FILING_STATUS=MR","Sort=A","Dates=H","DateFormat=P","Fill=—","Direction=H","UseDPDF=Y")</f>
        <v>4.9813000000000001</v>
      </c>
      <c r="J85" s="13">
        <f>_xll.BDH("TMUS US Equity","FCF_PER_DIL_SHR","FY 2020","FY 2020","Currency=USD","Period=FY","BEST_FPERIOD_OVERRIDE=FY","FILING_STATUS=MR","Sort=A","Dates=H","DateFormat=P","Fill=—","Direction=H","UseDPDF=Y")</f>
        <v>0.64080000000000004</v>
      </c>
      <c r="K85" s="13">
        <f>_xll.BDH("TMUS US Equity","FCF_PER_DIL_SHR","FY 2021","FY 2021","Currency=USD","Period=FY","BEST_FPERIOD_OVERRIDE=FY","FILING_STATUS=MR","Sort=A","Dates=H","DateFormat=P","Fill=—","Direction=H","UseDPDF=Y")</f>
        <v>4.5602</v>
      </c>
      <c r="L85" s="13">
        <f>_xll.BDH("TMUS US Equity","FCF_PER_DIL_SHR","FY 2022","FY 2022","Currency=USD","Period=FY","BEST_FPERIOD_OVERRIDE=FY","FILING_STATUS=MR","Sort=A","Dates=H","DateFormat=P","Fill=—","Direction=H","UseDPDF=Y")</f>
        <v>6.0914000000000001</v>
      </c>
    </row>
    <row r="86" spans="1:12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>
      <c r="A87" s="6" t="s">
        <v>116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>
      <c r="A88" s="10" t="s">
        <v>117</v>
      </c>
      <c r="B88" s="10" t="s">
        <v>118</v>
      </c>
      <c r="C88" s="13" t="str">
        <f>_xll.BDH("TMUS US Equity","TOTAL_MONTHLY_CHURN_RATE","FY 2013","FY 2013","Currency=USD","Period=FY","BEST_FPERIOD_OVERRIDE=FY","FILING_STATUS=MR","Sort=A","Dates=H","DateFormat=P","Fill=—","Direction=H","UseDPDF=Y")</f>
        <v>—</v>
      </c>
      <c r="D88" s="13" t="str">
        <f>_xll.BDH("TMUS US Equity","TOTAL_MONTHLY_CHURN_RATE","FY 2014","FY 2014","Currency=USD","Period=FY","BEST_FPERIOD_OVERRIDE=FY","FILING_STATUS=MR","Sort=A","Dates=H","DateFormat=P","Fill=—","Direction=H","UseDPDF=Y")</f>
        <v>—</v>
      </c>
      <c r="E88" s="13" t="str">
        <f>_xll.BDH("TMUS US Equity","TOTAL_MONTHLY_CHURN_RATE","FY 2015","FY 2015","Currency=USD","Period=FY","BEST_FPERIOD_OVERRIDE=FY","FILING_STATUS=MR","Sort=A","Dates=H","DateFormat=P","Fill=—","Direction=H","UseDPDF=Y")</f>
        <v>—</v>
      </c>
      <c r="F88" s="13" t="str">
        <f>_xll.BDH("TMUS US Equity","TOTAL_MONTHLY_CHURN_RATE","FY 2016","FY 2016","Currency=USD","Period=FY","BEST_FPERIOD_OVERRIDE=FY","FILING_STATUS=MR","Sort=A","Dates=H","DateFormat=P","Fill=—","Direction=H","UseDPDF=Y")</f>
        <v>—</v>
      </c>
      <c r="G88" s="13" t="str">
        <f>_xll.BDH("TMUS US Equity","TOTAL_MONTHLY_CHURN_RATE","FY 2017","FY 2017","Currency=USD","Period=FY","BEST_FPERIOD_OVERRIDE=FY","FILING_STATUS=MR","Sort=A","Dates=H","DateFormat=P","Fill=—","Direction=H","UseDPDF=Y")</f>
        <v>—</v>
      </c>
      <c r="H88" s="13" t="str">
        <f>_xll.BDH("TMUS US Equity","TOTAL_MONTHLY_CHURN_RATE","FY 2018","FY 2018","Currency=USD","Period=FY","BEST_FPERIOD_OVERRIDE=FY","FILING_STATUS=MR","Sort=A","Dates=H","DateFormat=P","Fill=—","Direction=H","UseDPDF=Y")</f>
        <v>—</v>
      </c>
      <c r="I88" s="13" t="str">
        <f>_xll.BDH("TMUS US Equity","TOTAL_MONTHLY_CHURN_RATE","FY 2019","FY 2019","Currency=USD","Period=FY","BEST_FPERIOD_OVERRIDE=FY","FILING_STATUS=MR","Sort=A","Dates=H","DateFormat=P","Fill=—","Direction=H","UseDPDF=Y")</f>
        <v>—</v>
      </c>
      <c r="J88" s="13" t="str">
        <f>_xll.BDH("TMUS US Equity","TOTAL_MONTHLY_CHURN_RATE","FY 2020","FY 2020","Currency=USD","Period=FY","BEST_FPERIOD_OVERRIDE=FY","FILING_STATUS=MR","Sort=A","Dates=H","DateFormat=P","Fill=—","Direction=H","UseDPDF=Y")</f>
        <v>—</v>
      </c>
      <c r="K88" s="13">
        <f>_xll.BDH("TMUS US Equity","TOTAL_MONTHLY_CHURN_RATE","FY 2021","FY 2021","Currency=USD","Period=FY","BEST_FPERIOD_OVERRIDE=FY","FILING_STATUS=MR","Sort=A","Dates=H","DateFormat=P","Fill=—","Direction=H","UseDPDF=Y")</f>
        <v>2.83</v>
      </c>
      <c r="L88" s="13" t="str">
        <f>_xll.BDH("TMUS US Equity","TOTAL_MONTHLY_CHURN_RATE","FY 2022","FY 2022","Currency=USD","Period=FY","BEST_FPERIOD_OVERRIDE=FY","FILING_STATUS=MR","Sort=A","Dates=H","DateFormat=P","Fill=—","Direction=H","UseDPDF=Y")</f>
        <v>—</v>
      </c>
    </row>
    <row r="89" spans="1:12">
      <c r="A89" s="7" t="s">
        <v>119</v>
      </c>
      <c r="B89" s="7"/>
      <c r="C89" s="7" t="s">
        <v>120</v>
      </c>
      <c r="D89" s="7"/>
      <c r="E89" s="7"/>
      <c r="F89" s="7"/>
      <c r="G89" s="7"/>
      <c r="H89" s="7"/>
      <c r="I89" s="7"/>
      <c r="J89" s="7"/>
      <c r="K89" s="7"/>
      <c r="L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/>
  <cp:revision/>
  <dcterms:created xsi:type="dcterms:W3CDTF">2013-04-03T15:49:21Z</dcterms:created>
  <dcterms:modified xsi:type="dcterms:W3CDTF">2023-12-05T00:28:51Z</dcterms:modified>
  <cp:category/>
  <cp:contentStatus/>
</cp:coreProperties>
</file>