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D4277371-EFC8-49DD-B421-965375DABF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loyee Data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H10" i="2"/>
  <c r="K8" i="2"/>
  <c r="I7" i="2"/>
  <c r="J10" i="2"/>
  <c r="E7" i="2"/>
  <c r="D6" i="2"/>
  <c r="G9" i="2"/>
  <c r="G10" i="2"/>
  <c r="D9" i="2"/>
  <c r="G8" i="2"/>
  <c r="E9" i="2"/>
  <c r="K6" i="2"/>
  <c r="I10" i="2"/>
  <c r="E6" i="2"/>
  <c r="H7" i="2"/>
  <c r="L10" i="2"/>
  <c r="F7" i="2"/>
  <c r="F6" i="2"/>
  <c r="G7" i="2"/>
  <c r="L8" i="2"/>
  <c r="K7" i="2"/>
  <c r="L7" i="2"/>
  <c r="K10" i="2"/>
  <c r="C6" i="2"/>
  <c r="C11" i="2"/>
  <c r="J7" i="2"/>
  <c r="F9" i="2"/>
  <c r="H11" i="2"/>
  <c r="J8" i="2"/>
  <c r="E10" i="2"/>
  <c r="E11" i="2"/>
  <c r="F10" i="2"/>
  <c r="D7" i="2"/>
  <c r="F11" i="2"/>
  <c r="H6" i="2"/>
  <c r="H8" i="2"/>
  <c r="C7" i="2"/>
  <c r="C8" i="2"/>
  <c r="C10" i="2"/>
  <c r="F8" i="2"/>
  <c r="L6" i="2"/>
  <c r="D8" i="2"/>
  <c r="D10" i="2"/>
  <c r="J11" i="2"/>
  <c r="I9" i="2"/>
  <c r="I11" i="2"/>
  <c r="J9" i="2"/>
  <c r="K9" i="2"/>
  <c r="G6" i="2"/>
  <c r="I6" i="2"/>
  <c r="L9" i="2"/>
  <c r="J6" i="2"/>
  <c r="D11" i="2"/>
  <c r="E8" i="2"/>
  <c r="K11" i="2"/>
  <c r="G11" i="2"/>
  <c r="I8" i="2"/>
  <c r="H9" i="2"/>
  <c r="L11" i="2"/>
</calcChain>
</file>

<file path=xl/sharedStrings.xml><?xml version="1.0" encoding="utf-8"?>
<sst xmlns="http://schemas.openxmlformats.org/spreadsheetml/2006/main" count="37" uniqueCount="37">
  <si>
    <t>Verizon Communications Inc (VZ US) - Employee Data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</si>
  <si>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</si>
  <si>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</si>
  <si>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</si>
  <si>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</si>
  <si>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</si>
  <si>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</si>
  <si>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</si>
  <si>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</si>
  <si>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</si>
  <si>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</si>
  <si>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</si>
  <si>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</si>
  <si>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</si>
  <si>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</si>
  <si>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</si>
  <si>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</si>
  <si>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</si>
  <si>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</si>
  <si>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</si>
  <si>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</si>
  <si>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</si>
  <si>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</si>
  <si>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Number of Employees</t>
  </si>
  <si>
    <t>NUM_OF_EMPLOYEES</t>
  </si>
  <si>
    <t>Employees - 1 Yr Growth</t>
  </si>
  <si>
    <t>EMPL_GROWTH</t>
  </si>
  <si>
    <t>Sales per Employee</t>
  </si>
  <si>
    <t>ACTUAL_SALES_PER_EMPL</t>
  </si>
  <si>
    <t>Actual Net Income per Employee</t>
  </si>
  <si>
    <t>ACTUAL_NET_INCOME_PER_EMPLOYEE</t>
  </si>
  <si>
    <t>Actual Assets per Employee</t>
  </si>
  <si>
    <t>ACTUAL_ASSETS_PER_EMPLOYEE</t>
  </si>
  <si>
    <t>Actual Cash Flow per Employee</t>
  </si>
  <si>
    <t>CASH_FLOW_PER_EMPLOYEE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</si>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</sst>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2">
    <xf numFmtId="0" fontId="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5" fillId="3" borderId="0" applyNumberFormat="0" applyBorder="0" applyAlignment="0" applyProtection="0"/>
    <xf numFmtId="0" fontId="2" fillId="33" borderId="0"/>
    <xf numFmtId="0" fontId="19" fillId="6" borderId="9" applyNumberFormat="0" applyAlignment="0" applyProtection="0"/>
    <xf numFmtId="0" fontId="21" fillId="7" borderId="12" applyNumberFormat="0" applyAlignment="0" applyProtection="0"/>
    <xf numFmtId="0" fontId="23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8" fillId="35" borderId="4" applyNumberFormat="0" applyAlignment="0" applyProtection="0"/>
    <xf numFmtId="0" fontId="7" fillId="34" borderId="5"/>
    <xf numFmtId="0" fontId="14" fillId="2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7" fillId="5" borderId="9" applyNumberFormat="0" applyAlignment="0" applyProtection="0"/>
    <xf numFmtId="0" fontId="20" fillId="0" borderId="11" applyNumberFormat="0" applyFill="0" applyAlignment="0" applyProtection="0"/>
    <xf numFmtId="0" fontId="16" fillId="4" borderId="0" applyNumberFormat="0" applyBorder="0" applyAlignment="0" applyProtection="0"/>
    <xf numFmtId="0" fontId="9" fillId="8" borderId="13" applyNumberFormat="0" applyFont="0" applyAlignment="0" applyProtection="0"/>
    <xf numFmtId="0" fontId="18" fillId="6" borderId="10" applyNumberFormat="0" applyAlignment="0" applyProtection="0"/>
    <xf numFmtId="0" fontId="10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4" fontId="1" fillId="34" borderId="2">
      <alignment horizontal="right"/>
    </xf>
  </cellStyleXfs>
  <cellXfs count="11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8" fillId="35" borderId="4" xfId="34"/>
    <xf numFmtId="0" fontId="4" fillId="33" borderId="15" xfId="49">
      <alignment horizontal="left" vertical="center" readingOrder="1"/>
    </xf>
    <xf numFmtId="0" fontId="6" fillId="33" borderId="1" xfId="50">
      <alignment horizontal="left"/>
    </xf>
    <xf numFmtId="0" fontId="3" fillId="34" borderId="5" xfId="35" applyFont="1"/>
    <xf numFmtId="4" fontId="1" fillId="34" borderId="2" xfId="51">
      <alignment horizontal="right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49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0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standard_2_grouped" xfId="51" xr:uid="{00000000-0005-0000-0000-000023000000}"/>
    <cellStyle name="fa_footer_italic" xfId="34" xr:uid="{00000000-0005-0000-0000-000024000000}"/>
    <cellStyle name="fa_row_header_standard" xfId="35" xr:uid="{00000000-0005-0000-0000-000025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Neutral" xfId="43" builtinId="28" customBuiltin="1"/>
    <cellStyle name="Normal" xfId="0" builtinId="0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8" t="s">
        <v>12</v>
      </c>
      <c r="B5" s="8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9" t="s">
        <v>23</v>
      </c>
      <c r="B6" s="9" t="s">
        <v>24</v>
      </c>
      <c r="C6" s="10">
        <f>_xll.BDH("VZ US Equity","NUM_OF_EMPLOYEES","FY 2013","FY 2013","Currency=USD","Period=FY","BEST_FPERIOD_OVERRIDE=FY","FILING_STATUS=MR","Sort=A","Dates=H","DateFormat=P","Fill=—","Direction=H","UseDPDF=Y")</f>
        <v>176800</v>
      </c>
      <c r="D6" s="10">
        <f>_xll.BDH("VZ US Equity","NUM_OF_EMPLOYEES","FY 2014","FY 2014","Currency=USD","Period=FY","BEST_FPERIOD_OVERRIDE=FY","FILING_STATUS=MR","Sort=A","Dates=H","DateFormat=P","Fill=—","Direction=H","UseDPDF=Y")</f>
        <v>177300</v>
      </c>
      <c r="E6" s="10">
        <f>_xll.BDH("VZ US Equity","NUM_OF_EMPLOYEES","FY 2015","FY 2015","Currency=USD","Period=FY","BEST_FPERIOD_OVERRIDE=FY","FILING_STATUS=MR","Sort=A","Dates=H","DateFormat=P","Fill=—","Direction=H","UseDPDF=Y")</f>
        <v>177700</v>
      </c>
      <c r="F6" s="10">
        <f>_xll.BDH("VZ US Equity","NUM_OF_EMPLOYEES","FY 2016","FY 2016","Currency=USD","Period=FY","BEST_FPERIOD_OVERRIDE=FY","FILING_STATUS=MR","Sort=A","Dates=H","DateFormat=P","Fill=—","Direction=H","UseDPDF=Y")</f>
        <v>160900</v>
      </c>
      <c r="G6" s="10">
        <f>_xll.BDH("VZ US Equity","NUM_OF_EMPLOYEES","FY 2017","FY 2017","Currency=USD","Period=FY","BEST_FPERIOD_OVERRIDE=FY","FILING_STATUS=MR","Sort=A","Dates=H","DateFormat=P","Fill=—","Direction=H","UseDPDF=Y")</f>
        <v>155400</v>
      </c>
      <c r="H6" s="10">
        <f>_xll.BDH("VZ US Equity","NUM_OF_EMPLOYEES","FY 2018","FY 2018","Currency=USD","Period=FY","BEST_FPERIOD_OVERRIDE=FY","FILING_STATUS=MR","Sort=A","Dates=H","DateFormat=P","Fill=—","Direction=H","UseDPDF=Y")</f>
        <v>144500</v>
      </c>
      <c r="I6" s="10">
        <f>_xll.BDH("VZ US Equity","NUM_OF_EMPLOYEES","FY 2019","FY 2019","Currency=USD","Period=FY","BEST_FPERIOD_OVERRIDE=FY","FILING_STATUS=MR","Sort=A","Dates=H","DateFormat=P","Fill=—","Direction=H","UseDPDF=Y")</f>
        <v>135000</v>
      </c>
      <c r="J6" s="10">
        <f>_xll.BDH("VZ US Equity","NUM_OF_EMPLOYEES","FY 2020","FY 2020","Currency=USD","Period=FY","BEST_FPERIOD_OVERRIDE=FY","FILING_STATUS=MR","Sort=A","Dates=H","DateFormat=P","Fill=—","Direction=H","UseDPDF=Y")</f>
        <v>132200</v>
      </c>
      <c r="K6" s="10">
        <f>_xll.BDH("VZ US Equity","NUM_OF_EMPLOYEES","FY 2021","FY 2021","Currency=USD","Period=FY","BEST_FPERIOD_OVERRIDE=FY","FILING_STATUS=MR","Sort=A","Dates=H","DateFormat=P","Fill=—","Direction=H","UseDPDF=Y")</f>
        <v>118400</v>
      </c>
      <c r="L6" s="10">
        <f>_xll.BDH("VZ US Equity","NUM_OF_EMPLOYEES","FY 2022","FY 2022","Currency=USD","Period=FY","BEST_FPERIOD_OVERRIDE=FY","FILING_STATUS=MR","Sort=A","Dates=H","DateFormat=P","Fill=—","Direction=H","UseDPDF=Y")</f>
        <v>117100</v>
      </c>
    </row>
    <row r="7" spans="1:12">
      <c r="A7" s="9" t="s">
        <v>25</v>
      </c>
      <c r="B7" s="9" t="s">
        <v>26</v>
      </c>
      <c r="C7" s="10">
        <f>_xll.BDH("VZ US Equity","EMPL_GROWTH","FY 2013","FY 2013","Currency=USD","Period=FY","BEST_FPERIOD_OVERRIDE=FY","FILING_STATUS=MR","Sort=A","Dates=H","DateFormat=P","Fill=—","Direction=H","UseDPDF=Y")</f>
        <v>-3.5987</v>
      </c>
      <c r="D7" s="10">
        <f>_xll.BDH("VZ US Equity","EMPL_GROWTH","FY 2014","FY 2014","Currency=USD","Period=FY","BEST_FPERIOD_OVERRIDE=FY","FILING_STATUS=MR","Sort=A","Dates=H","DateFormat=P","Fill=—","Direction=H","UseDPDF=Y")</f>
        <v>0.2828</v>
      </c>
      <c r="E7" s="10">
        <f>_xll.BDH("VZ US Equity","EMPL_GROWTH","FY 2015","FY 2015","Currency=USD","Period=FY","BEST_FPERIOD_OVERRIDE=FY","FILING_STATUS=MR","Sort=A","Dates=H","DateFormat=P","Fill=—","Direction=H","UseDPDF=Y")</f>
        <v>0.22559999999999999</v>
      </c>
      <c r="F7" s="10">
        <f>_xll.BDH("VZ US Equity","EMPL_GROWTH","FY 2016","FY 2016","Currency=USD","Period=FY","BEST_FPERIOD_OVERRIDE=FY","FILING_STATUS=MR","Sort=A","Dates=H","DateFormat=P","Fill=—","Direction=H","UseDPDF=Y")</f>
        <v>-9.4541000000000004</v>
      </c>
      <c r="G7" s="10">
        <f>_xll.BDH("VZ US Equity","EMPL_GROWTH","FY 2017","FY 2017","Currency=USD","Period=FY","BEST_FPERIOD_OVERRIDE=FY","FILING_STATUS=MR","Sort=A","Dates=H","DateFormat=P","Fill=—","Direction=H","UseDPDF=Y")</f>
        <v>-3.4182999999999999</v>
      </c>
      <c r="H7" s="10">
        <f>_xll.BDH("VZ US Equity","EMPL_GROWTH","FY 2018","FY 2018","Currency=USD","Period=FY","BEST_FPERIOD_OVERRIDE=FY","FILING_STATUS=MR","Sort=A","Dates=H","DateFormat=P","Fill=—","Direction=H","UseDPDF=Y")</f>
        <v>-7.0141999999999998</v>
      </c>
      <c r="I7" s="10">
        <f>_xll.BDH("VZ US Equity","EMPL_GROWTH","FY 2019","FY 2019","Currency=USD","Period=FY","BEST_FPERIOD_OVERRIDE=FY","FILING_STATUS=MR","Sort=A","Dates=H","DateFormat=P","Fill=—","Direction=H","UseDPDF=Y")</f>
        <v>-6.5743999999999998</v>
      </c>
      <c r="J7" s="10">
        <f>_xll.BDH("VZ US Equity","EMPL_GROWTH","FY 2020","FY 2020","Currency=USD","Period=FY","BEST_FPERIOD_OVERRIDE=FY","FILING_STATUS=MR","Sort=A","Dates=H","DateFormat=P","Fill=—","Direction=H","UseDPDF=Y")</f>
        <v>-2.0741000000000001</v>
      </c>
      <c r="K7" s="10">
        <f>_xll.BDH("VZ US Equity","EMPL_GROWTH","FY 2021","FY 2021","Currency=USD","Period=FY","BEST_FPERIOD_OVERRIDE=FY","FILING_STATUS=MR","Sort=A","Dates=H","DateFormat=P","Fill=—","Direction=H","UseDPDF=Y")</f>
        <v>-10.438700000000001</v>
      </c>
      <c r="L7" s="10">
        <f>_xll.BDH("VZ US Equity","EMPL_GROWTH","FY 2022","FY 2022","Currency=USD","Period=FY","BEST_FPERIOD_OVERRIDE=FY","FILING_STATUS=MR","Sort=A","Dates=H","DateFormat=P","Fill=—","Direction=H","UseDPDF=Y")</f>
        <v>-1.0980000000000001</v>
      </c>
    </row>
    <row r="8" spans="1:12">
      <c r="A8" s="9" t="s">
        <v>27</v>
      </c>
      <c r="B8" s="9" t="s">
        <v>28</v>
      </c>
      <c r="C8" s="10">
        <f>_xll.BDH("VZ US Equity","ACTUAL_SALES_PER_EMPL","FY 2013","FY 2013","Currency=USD","Period=FY","BEST_FPERIOD_OVERRIDE=FY","FILING_STATUS=MR","FA_ADJUSTED=GAAP","Sort=A","Dates=H","DateFormat=P","Fill=—","Direction=H","UseDPDF=Y")</f>
        <v>681843.89139999996</v>
      </c>
      <c r="D8" s="10">
        <f>_xll.BDH("VZ US Equity","ACTUAL_SALES_PER_EMPL","FY 2014","FY 2014","Currency=USD","Period=FY","BEST_FPERIOD_OVERRIDE=FY","FILING_STATUS=MR","FA_ADJUSTED=GAAP","Sort=A","Dates=H","DateFormat=P","Fill=—","Direction=H","UseDPDF=Y")</f>
        <v>716745.62890000001</v>
      </c>
      <c r="E8" s="10">
        <f>_xll.BDH("VZ US Equity","ACTUAL_SALES_PER_EMPL","FY 2015","FY 2015","Currency=USD","Period=FY","BEST_FPERIOD_OVERRIDE=FY","FILING_STATUS=MR","FA_ADJUSTED=GAAP","Sort=A","Dates=H","DateFormat=P","Fill=—","Direction=H","UseDPDF=Y")</f>
        <v>740686.55039999995</v>
      </c>
      <c r="F8" s="10">
        <f>_xll.BDH("VZ US Equity","ACTUAL_SALES_PER_EMPL","FY 2016","FY 2016","Currency=USD","Period=FY","BEST_FPERIOD_OVERRIDE=FY","FILING_STATUS=MR","FA_ADJUSTED=GAAP","Sort=A","Dates=H","DateFormat=P","Fill=—","Direction=H","UseDPDF=Y")</f>
        <v>782970.78929999995</v>
      </c>
      <c r="G8" s="10">
        <f>_xll.BDH("VZ US Equity","ACTUAL_SALES_PER_EMPL","FY 2017","FY 2017","Currency=USD","Period=FY","BEST_FPERIOD_OVERRIDE=FY","FILING_STATUS=MR","FA_ADJUSTED=GAAP","Sort=A","Dates=H","DateFormat=P","Fill=—","Direction=H","UseDPDF=Y")</f>
        <v>811029.60100000002</v>
      </c>
      <c r="H8" s="10">
        <f>_xll.BDH("VZ US Equity","ACTUAL_SALES_PER_EMPL","FY 2018","FY 2018","Currency=USD","Period=FY","BEST_FPERIOD_OVERRIDE=FY","FILING_STATUS=MR","FA_ADJUSTED=GAAP","Sort=A","Dates=H","DateFormat=P","Fill=—","Direction=H","UseDPDF=Y")</f>
        <v>905626.29760000005</v>
      </c>
      <c r="I8" s="10">
        <f>_xll.BDH("VZ US Equity","ACTUAL_SALES_PER_EMPL","FY 2019","FY 2019","Currency=USD","Period=FY","BEST_FPERIOD_OVERRIDE=FY","FILING_STATUS=MR","FA_ADJUSTED=GAAP","Sort=A","Dates=H","DateFormat=P","Fill=—","Direction=H","UseDPDF=Y")</f>
        <v>976800</v>
      </c>
      <c r="J8" s="10">
        <f>_xll.BDH("VZ US Equity","ACTUAL_SALES_PER_EMPL","FY 2020","FY 2020","Currency=USD","Period=FY","BEST_FPERIOD_OVERRIDE=FY","FILING_STATUS=MR","FA_ADJUSTED=GAAP","Sort=A","Dates=H","DateFormat=P","Fill=—","Direction=H","UseDPDF=Y")</f>
        <v>970438.72919999994</v>
      </c>
      <c r="K8" s="10">
        <f>_xll.BDH("VZ US Equity","ACTUAL_SALES_PER_EMPL","FY 2021","FY 2021","Currency=USD","Period=FY","BEST_FPERIOD_OVERRIDE=FY","FILING_STATUS=MR","FA_ADJUSTED=GAAP","Sort=A","Dates=H","DateFormat=P","Fill=—","Direction=H","UseDPDF=Y")</f>
        <v>1128488.1757</v>
      </c>
      <c r="L8" s="10">
        <f>_xll.BDH("VZ US Equity","ACTUAL_SALES_PER_EMPL","FY 2022","FY 2022","Currency=USD","Period=FY","BEST_FPERIOD_OVERRIDE=FY","FILING_STATUS=MR","FA_ADJUSTED=GAAP","Sort=A","Dates=H","DateFormat=P","Fill=—","Direction=H","UseDPDF=Y")</f>
        <v>1168531.1699000001</v>
      </c>
    </row>
    <row r="9" spans="1:12">
      <c r="A9" s="9" t="s">
        <v>29</v>
      </c>
      <c r="B9" s="9" t="s">
        <v>30</v>
      </c>
      <c r="C9" s="10">
        <f>_xll.BDH("VZ US Equity","ACTUAL_NET_INCOME_PER_EMPLOYEE","FY 2013","FY 2013","Currency=USD","Period=FY","BEST_FPERIOD_OVERRIDE=FY","FILING_STATUS=MR","FA_ADJUSTED=GAAP","Sort=A","Dates=H","DateFormat=P","Fill=—","Direction=H","UseDPDF=Y")</f>
        <v>65028.280500000001</v>
      </c>
      <c r="D9" s="10">
        <f>_xll.BDH("VZ US Equity","ACTUAL_NET_INCOME_PER_EMPLOYEE","FY 2014","FY 2014","Currency=USD","Period=FY","BEST_FPERIOD_OVERRIDE=FY","FILING_STATUS=MR","FA_ADJUSTED=GAAP","Sort=A","Dates=H","DateFormat=P","Fill=—","Direction=H","UseDPDF=Y")</f>
        <v>54286.52</v>
      </c>
      <c r="E9" s="10">
        <f>_xll.BDH("VZ US Equity","ACTUAL_NET_INCOME_PER_EMPLOYEE","FY 2015","FY 2015","Currency=USD","Period=FY","BEST_FPERIOD_OVERRIDE=FY","FILING_STATUS=MR","FA_ADJUSTED=GAAP","Sort=A","Dates=H","DateFormat=P","Fill=—","Direction=H","UseDPDF=Y")</f>
        <v>100613.3934</v>
      </c>
      <c r="F9" s="10">
        <f>_xll.BDH("VZ US Equity","ACTUAL_NET_INCOME_PER_EMPLOYEE","FY 2016","FY 2016","Currency=USD","Period=FY","BEST_FPERIOD_OVERRIDE=FY","FILING_STATUS=MR","FA_ADJUSTED=GAAP","Sort=A","Dates=H","DateFormat=P","Fill=—","Direction=H","UseDPDF=Y")</f>
        <v>81584.835300000006</v>
      </c>
      <c r="G9" s="10">
        <f>_xll.BDH("VZ US Equity","ACTUAL_NET_INCOME_PER_EMPLOYEE","FY 2017","FY 2017","Currency=USD","Period=FY","BEST_FPERIOD_OVERRIDE=FY","FILING_STATUS=MR","FA_ADJUSTED=GAAP","Sort=A","Dates=H","DateFormat=P","Fill=—","Direction=H","UseDPDF=Y")</f>
        <v>193700.1287</v>
      </c>
      <c r="H9" s="10">
        <f>_xll.BDH("VZ US Equity","ACTUAL_NET_INCOME_PER_EMPLOYEE","FY 2018","FY 2018","Currency=USD","Period=FY","BEST_FPERIOD_OVERRIDE=FY","FILING_STATUS=MR","FA_ADJUSTED=GAAP","Sort=A","Dates=H","DateFormat=P","Fill=—","Direction=H","UseDPDF=Y")</f>
        <v>107460.20759999999</v>
      </c>
      <c r="I9" s="10">
        <f>_xll.BDH("VZ US Equity","ACTUAL_NET_INCOME_PER_EMPLOYEE","FY 2019","FY 2019","Currency=USD","Period=FY","BEST_FPERIOD_OVERRIDE=FY","FILING_STATUS=MR","FA_ADJUSTED=GAAP","Sort=A","Dates=H","DateFormat=P","Fill=—","Direction=H","UseDPDF=Y")</f>
        <v>142703.70370000001</v>
      </c>
      <c r="J9" s="10">
        <f>_xll.BDH("VZ US Equity","ACTUAL_NET_INCOME_PER_EMPLOYEE","FY 2020","FY 2020","Currency=USD","Period=FY","BEST_FPERIOD_OVERRIDE=FY","FILING_STATUS=MR","FA_ADJUSTED=GAAP","Sort=A","Dates=H","DateFormat=P","Fill=—","Direction=H","UseDPDF=Y")</f>
        <v>134652.04240000001</v>
      </c>
      <c r="K9" s="10">
        <f>_xll.BDH("VZ US Equity","ACTUAL_NET_INCOME_PER_EMPLOYEE","FY 2021","FY 2021","Currency=USD","Period=FY","BEST_FPERIOD_OVERRIDE=FY","FILING_STATUS=MR","FA_ADJUSTED=GAAP","Sort=A","Dates=H","DateFormat=P","Fill=—","Direction=H","UseDPDF=Y")</f>
        <v>186359.79730000001</v>
      </c>
      <c r="L9" s="10">
        <f>_xll.BDH("VZ US Equity","ACTUAL_NET_INCOME_PER_EMPLOYEE","FY 2022","FY 2022","Currency=USD","Period=FY","BEST_FPERIOD_OVERRIDE=FY","FILING_STATUS=MR","FA_ADJUSTED=GAAP","Sort=A","Dates=H","DateFormat=P","Fill=—","Direction=H","UseDPDF=Y")</f>
        <v>181520.06830000001</v>
      </c>
    </row>
    <row r="10" spans="1:12">
      <c r="A10" s="9" t="s">
        <v>31</v>
      </c>
      <c r="B10" s="9" t="s">
        <v>32</v>
      </c>
      <c r="C10" s="10">
        <f>_xll.BDH("VZ US Equity","ACTUAL_ASSETS_PER_EMPLOYEE","FY 2013","FY 2013","Currency=USD","Period=FY","BEST_FPERIOD_OVERRIDE=FY","FILING_STATUS=MR","Sort=A","Dates=H","DateFormat=P","Fill=—","Direction=H","UseDPDF=Y")</f>
        <v>1550328.0543</v>
      </c>
      <c r="D10" s="10">
        <f>_xll.BDH("VZ US Equity","ACTUAL_ASSETS_PER_EMPLOYEE","FY 2014","FY 2014","Currency=USD","Period=FY","BEST_FPERIOD_OVERRIDE=FY","FILING_STATUS=MR","Sort=A","Dates=H","DateFormat=P","Fill=—","Direction=H","UseDPDF=Y")</f>
        <v>1311990.9757000001</v>
      </c>
      <c r="E10" s="10">
        <f>_xll.BDH("VZ US Equity","ACTUAL_ASSETS_PER_EMPLOYEE","FY 2015","FY 2015","Currency=USD","Period=FY","BEST_FPERIOD_OVERRIDE=FY","FILING_STATUS=MR","Sort=A","Dates=H","DateFormat=P","Fill=—","Direction=H","UseDPDF=Y")</f>
        <v>1374085.5374</v>
      </c>
      <c r="F10" s="10">
        <f>_xll.BDH("VZ US Equity","ACTUAL_ASSETS_PER_EMPLOYEE","FY 2016","FY 2016","Currency=USD","Period=FY","BEST_FPERIOD_OVERRIDE=FY","FILING_STATUS=MR","Sort=A","Dates=H","DateFormat=P","Fill=—","Direction=H","UseDPDF=Y")</f>
        <v>1517588.5643</v>
      </c>
      <c r="G10" s="10">
        <f>_xll.BDH("VZ US Equity","ACTUAL_ASSETS_PER_EMPLOYEE","FY 2017","FY 2017","Currency=USD","Period=FY","BEST_FPERIOD_OVERRIDE=FY","FILING_STATUS=MR","Sort=A","Dates=H","DateFormat=P","Fill=—","Direction=H","UseDPDF=Y")</f>
        <v>1654716.8596999999</v>
      </c>
      <c r="H10" s="10">
        <f>_xll.BDH("VZ US Equity","ACTUAL_ASSETS_PER_EMPLOYEE","FY 2018","FY 2018","Currency=USD","Period=FY","BEST_FPERIOD_OVERRIDE=FY","FILING_STATUS=MR","Sort=A","Dates=H","DateFormat=P","Fill=—","Direction=H","UseDPDF=Y")</f>
        <v>1832726.6436000001</v>
      </c>
      <c r="I10" s="10">
        <f>_xll.BDH("VZ US Equity","ACTUAL_ASSETS_PER_EMPLOYEE","FY 2019","FY 2019","Currency=USD","Period=FY","BEST_FPERIOD_OVERRIDE=FY","FILING_STATUS=MR","Sort=A","Dates=H","DateFormat=P","Fill=—","Direction=H","UseDPDF=Y")</f>
        <v>2160940.7407</v>
      </c>
      <c r="J10" s="10">
        <f>_xll.BDH("VZ US Equity","ACTUAL_ASSETS_PER_EMPLOYEE","FY 2020","FY 2020","Currency=USD","Period=FY","BEST_FPERIOD_OVERRIDE=FY","FILING_STATUS=MR","Sort=A","Dates=H","DateFormat=P","Fill=—","Direction=H","UseDPDF=Y")</f>
        <v>2393956.1271000002</v>
      </c>
      <c r="K10" s="10">
        <f>_xll.BDH("VZ US Equity","ACTUAL_ASSETS_PER_EMPLOYEE","FY 2021","FY 2021","Currency=USD","Period=FY","BEST_FPERIOD_OVERRIDE=FY","FILING_STATUS=MR","Sort=A","Dates=H","DateFormat=P","Fill=—","Direction=H","UseDPDF=Y")</f>
        <v>3096250</v>
      </c>
      <c r="L10" s="10">
        <f>_xll.BDH("VZ US Equity","ACTUAL_ASSETS_PER_EMPLOYEE","FY 2022","FY 2022","Currency=USD","Period=FY","BEST_FPERIOD_OVERRIDE=FY","FILING_STATUS=MR","Sort=A","Dates=H","DateFormat=P","Fill=—","Direction=H","UseDPDF=Y")</f>
        <v>3242356.9599000001</v>
      </c>
    </row>
    <row r="11" spans="1:12">
      <c r="A11" s="9" t="s">
        <v>33</v>
      </c>
      <c r="B11" s="9" t="s">
        <v>34</v>
      </c>
      <c r="C11" s="10">
        <f>_xll.BDH("VZ US Equity","CASH_FLOW_PER_EMPLOYEE","FY 2013","FY 2013","Currency=USD","Period=FY","BEST_FPERIOD_OVERRIDE=FY","FILING_STATUS=MR","Sort=A","Dates=H","DateFormat=P","Fill=—","Direction=H","UseDPDF=Y")</f>
        <v>219558.8235</v>
      </c>
      <c r="D11" s="10">
        <f>_xll.BDH("VZ US Equity","CASH_FLOW_PER_EMPLOYEE","FY 2014","FY 2014","Currency=USD","Period=FY","BEST_FPERIOD_OVERRIDE=FY","FILING_STATUS=MR","Sort=A","Dates=H","DateFormat=P","Fill=—","Direction=H","UseDPDF=Y")</f>
        <v>172763.67739999999</v>
      </c>
      <c r="E11" s="10">
        <f>_xll.BDH("VZ US Equity","CASH_FLOW_PER_EMPLOYEE","FY 2015","FY 2015","Currency=USD","Period=FY","BEST_FPERIOD_OVERRIDE=FY","FILING_STATUS=MR","Sort=A","Dates=H","DateFormat=P","Fill=—","Direction=H","UseDPDF=Y")</f>
        <v>219622.96</v>
      </c>
      <c r="F11" s="10">
        <f>_xll.BDH("VZ US Equity","CASH_FLOW_PER_EMPLOYEE","FY 2016","FY 2016","Currency=USD","Period=FY","BEST_FPERIOD_OVERRIDE=FY","FILING_STATUS=MR","Sort=A","Dates=H","DateFormat=P","Fill=—","Direction=H","UseDPDF=Y")</f>
        <v>134798.01120000001</v>
      </c>
      <c r="G11" s="10">
        <f>_xll.BDH("VZ US Equity","CASH_FLOW_PER_EMPLOYEE","FY 2017","FY 2017","Currency=USD","Period=FY","BEST_FPERIOD_OVERRIDE=FY","FILING_STATUS=MR","Sort=A","Dates=H","DateFormat=P","Fill=—","Direction=H","UseDPDF=Y")</f>
        <v>156486.4865</v>
      </c>
      <c r="H11" s="10">
        <f>_xll.BDH("VZ US Equity","CASH_FLOW_PER_EMPLOYEE","FY 2018","FY 2018","Currency=USD","Period=FY","BEST_FPERIOD_OVERRIDE=FY","FILING_STATUS=MR","Sort=A","Dates=H","DateFormat=P","Fill=—","Direction=H","UseDPDF=Y")</f>
        <v>237640.1384</v>
      </c>
      <c r="I11" s="10">
        <f>_xll.BDH("VZ US Equity","CASH_FLOW_PER_EMPLOYEE","FY 2019","FY 2019","Currency=USD","Period=FY","BEST_FPERIOD_OVERRIDE=FY","FILING_STATUS=MR","Sort=A","Dates=H","DateFormat=P","Fill=—","Direction=H","UseDPDF=Y")</f>
        <v>264785.18520000001</v>
      </c>
      <c r="J11" s="10">
        <f>_xll.BDH("VZ US Equity","CASH_FLOW_PER_EMPLOYEE","FY 2020","FY 2020","Currency=USD","Period=FY","BEST_FPERIOD_OVERRIDE=FY","FILING_STATUS=MR","Sort=A","Dates=H","DateFormat=P","Fill=—","Direction=H","UseDPDF=Y")</f>
        <v>315945.53710000002</v>
      </c>
      <c r="K11" s="10">
        <f>_xll.BDH("VZ US Equity","CASH_FLOW_PER_EMPLOYEE","FY 2021","FY 2021","Currency=USD","Period=FY","BEST_FPERIOD_OVERRIDE=FY","FILING_STATUS=MR","Sort=A","Dates=H","DateFormat=P","Fill=—","Direction=H","UseDPDF=Y")</f>
        <v>333944.25679999997</v>
      </c>
      <c r="L11" s="10">
        <f>_xll.BDH("VZ US Equity","CASH_FLOW_PER_EMPLOYEE","FY 2022","FY 2022","Currency=USD","Period=FY","BEST_FPERIOD_OVERRIDE=FY","FILING_STATUS=MR","Sort=A","Dates=H","DateFormat=P","Fill=—","Direction=H","UseDPDF=Y")</f>
        <v>317173.35609999998</v>
      </c>
    </row>
    <row r="12" spans="1:12">
      <c r="A12" s="6" t="s">
        <v>35</v>
      </c>
      <c r="B12" s="6"/>
      <c r="C12" s="6" t="s">
        <v>36</v>
      </c>
      <c r="D12" s="6"/>
      <c r="E12" s="6"/>
      <c r="F12" s="6"/>
      <c r="G12" s="6"/>
      <c r="H12" s="6"/>
      <c r="I12" s="6"/>
      <c r="J12" s="6"/>
      <c r="K12" s="6"/>
      <c r="L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2023-12-05T14:06:30Z</dcterms:modified>
  <cp:category/>
  <cp:contentStatus/>
</cp:coreProperties>
</file>