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orgog\gitprojects\PET-to-Filament\"/>
    </mc:Choice>
  </mc:AlternateContent>
  <xr:revisionPtr revIDLastSave="0" documentId="13_ncr:1_{13638519-CE09-4142-9512-86D965385B0D}" xr6:coauthVersionLast="47" xr6:coauthVersionMax="47" xr10:uidLastSave="{00000000-0000-0000-0000-000000000000}"/>
  <bookViews>
    <workbookView xWindow="-108" yWindow="-108" windowWidth="23256" windowHeight="12576" xr2:uid="{5008AEBF-8BF8-4753-B41C-CB0E443F1CDB}"/>
  </bookViews>
  <sheets>
    <sheet name="Summary" sheetId="3" r:id="rId1"/>
    <sheet name="Parts to buy" sheetId="1" r:id="rId2"/>
    <sheet name="Printed par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8" i="2" l="1"/>
  <c r="F18" i="2"/>
  <c r="G18" i="2"/>
  <c r="H18" i="2"/>
  <c r="C18" i="2"/>
  <c r="C17" i="2"/>
  <c r="C16" i="2"/>
  <c r="E14" i="2"/>
  <c r="F14" i="2"/>
  <c r="G14" i="2"/>
  <c r="H14" i="2"/>
  <c r="H10" i="2"/>
  <c r="H13" i="2"/>
  <c r="H12" i="2"/>
  <c r="H9" i="2"/>
  <c r="F10" i="2"/>
  <c r="F13" i="2"/>
  <c r="F12" i="2"/>
  <c r="F9" i="2"/>
  <c r="F8" i="2"/>
  <c r="H8" i="2"/>
  <c r="G6" i="2"/>
  <c r="G4" i="2"/>
  <c r="C11" i="2"/>
  <c r="H11" i="2" s="1"/>
  <c r="C13" i="3"/>
  <c r="H20" i="1"/>
  <c r="H16" i="1"/>
  <c r="H15" i="1"/>
  <c r="H1" i="1"/>
  <c r="C10" i="3"/>
  <c r="F11" i="2" l="1"/>
  <c r="G23" i="1"/>
  <c r="H23" i="1" s="1"/>
  <c r="E12" i="2"/>
  <c r="G12" i="2"/>
  <c r="E10" i="2"/>
  <c r="E13" i="2"/>
  <c r="E11" i="2"/>
  <c r="E9" i="2"/>
  <c r="C19" i="2"/>
  <c r="G21" i="1"/>
  <c r="H21" i="1" s="1"/>
  <c r="G19" i="1"/>
  <c r="H19" i="1" s="1"/>
  <c r="G18" i="1"/>
  <c r="H18" i="1" s="1"/>
  <c r="D15" i="2"/>
  <c r="C15" i="2"/>
  <c r="G10" i="1"/>
  <c r="H10" i="1" s="1"/>
  <c r="G9" i="1"/>
  <c r="H9" i="1" s="1"/>
  <c r="G12" i="1"/>
  <c r="H12" i="1" s="1"/>
  <c r="F17" i="1"/>
  <c r="G17" i="1" s="1"/>
  <c r="H17" i="1" s="1"/>
  <c r="F22" i="1"/>
  <c r="G22" i="1" s="1"/>
  <c r="H22" i="1" s="1"/>
  <c r="G2" i="1"/>
  <c r="G8" i="1"/>
  <c r="H8" i="1" s="1"/>
  <c r="G13" i="1"/>
  <c r="H13" i="1" s="1"/>
  <c r="G7" i="1"/>
  <c r="H7" i="1" s="1"/>
  <c r="G6" i="1"/>
  <c r="H6" i="1" s="1"/>
  <c r="G5" i="1"/>
  <c r="H5" i="1" s="1"/>
  <c r="G4" i="1"/>
  <c r="H4" i="1" s="1"/>
  <c r="G3" i="1"/>
  <c r="H3" i="1" s="1"/>
  <c r="H15" i="2" l="1"/>
  <c r="F15" i="2"/>
  <c r="E17" i="2"/>
  <c r="H17" i="2"/>
  <c r="F17" i="2"/>
  <c r="E16" i="2"/>
  <c r="H16" i="2"/>
  <c r="F16" i="2"/>
  <c r="E19" i="2"/>
  <c r="H19" i="2"/>
  <c r="F19" i="2"/>
  <c r="H2" i="1"/>
  <c r="H25" i="1" s="1"/>
  <c r="C14" i="3" s="1"/>
  <c r="G25" i="1"/>
  <c r="B14" i="3" s="1"/>
  <c r="E15" i="2"/>
  <c r="G19" i="2"/>
  <c r="G9" i="2"/>
  <c r="G11" i="2"/>
  <c r="G15" i="2"/>
  <c r="G10" i="2"/>
  <c r="G17" i="2"/>
  <c r="G16" i="2"/>
  <c r="G13" i="2"/>
  <c r="H20" i="2" l="1"/>
  <c r="G20" i="2"/>
  <c r="B15" i="3" s="1"/>
  <c r="C15" i="3" s="1"/>
  <c r="C16" i="3" s="1"/>
  <c r="B16" i="3" l="1"/>
</calcChain>
</file>

<file path=xl/sharedStrings.xml><?xml version="1.0" encoding="utf-8"?>
<sst xmlns="http://schemas.openxmlformats.org/spreadsheetml/2006/main" count="132" uniqueCount="101">
  <si>
    <t>Power supply 12V 10A (120W)</t>
  </si>
  <si>
    <t>link</t>
  </si>
  <si>
    <t>Description</t>
  </si>
  <si>
    <t>Name</t>
  </si>
  <si>
    <t>aliexpress</t>
  </si>
  <si>
    <t>12V (7RPM) DC motor</t>
  </si>
  <si>
    <t>The motor is built into the holder and drives the spool for winding the finished pet filament. This 12V DC motor has its own gearbox (it is not necessary to print the gearbox). This means very high torque without any additional gear system.</t>
  </si>
  <si>
    <t>PWM Regulator 12V 5A</t>
  </si>
  <si>
    <t>Thermocontroller (12V – up to 500°C)</t>
  </si>
  <si>
    <t>12V N20 (300RPM)</t>
  </si>
  <si>
    <t>Heatblock</t>
  </si>
  <si>
    <t>Heater 12V (40W)</t>
  </si>
  <si>
    <t>pcs</t>
  </si>
  <si>
    <t>Microswitch (2PCS)</t>
  </si>
  <si>
    <t>Color Switch (230V)</t>
  </si>
  <si>
    <t>Metal Bracket</t>
  </si>
  <si>
    <t xml:space="preserve">L shape metal bracket (20×20) for mouting a heatblock with the nozzle. Hole is little bit tight, so its better to drill it with 6mm drill bit (only for a nozzle).
</t>
  </si>
  <si>
    <t>BivinMarket</t>
  </si>
  <si>
    <t>hestore</t>
  </si>
  <si>
    <t xml:space="preserve"> </t>
  </si>
  <si>
    <t>bakosfa</t>
  </si>
  <si>
    <t>price sum [HUF]</t>
  </si>
  <si>
    <t>Bearings (OD 20-22mm, ID 8-12mm)</t>
  </si>
  <si>
    <t>onlinecsapagy</t>
  </si>
  <si>
    <t>12V fan</t>
  </si>
  <si>
    <t>It is important to cool down the filamen as soon as it gets through the noozle in order to avoid further deformation
60x60x10mm</t>
  </si>
  <si>
    <t>1kWh</t>
  </si>
  <si>
    <t>kWh</t>
  </si>
  <si>
    <t>You can use 5A and also 10A. The difference is in the stability of the engine speed and the stability of the nozzle temperature. The stronger the source, the faster the nozzle heats up.</t>
  </si>
  <si>
    <t>PWM 12V DC Motor Speed Controller Module DC-DC 4.5V-35V Adjustable Speed Regulator. This small component allows for a smooth reduction or increase in engine speed without loss of torque.</t>
  </si>
  <si>
    <t>Simple wiring, simple remoting temperature. No hacks, no struggle. Be careful on params. You need 12V one with working temperature up to 500C!</t>
  </si>
  <si>
    <t>Geared 12V (300RPM) DC motor for cutter. This part is moving cutter blade up and down with worm gear 3D printed gear system. The 300 RPM is good speed/torque foe easy, and slow moving the blade up and down.</t>
  </si>
  <si>
    <t>The heat block is the part heated by the heating element (12V 40W). When choosing, it is important to know that the larger the block, the slower it cools with less temperature fluctuations.</t>
  </si>
  <si>
    <t>Ceramic heater 12V (40W) is a component that is inserted into the heat block and ensures heating of the nozzle. It is a cheap and simple component.</t>
  </si>
  <si>
    <t>Two pieces of microswitches for controlling the height of the cutter blade. The height of the knife blade determines the width of the cut strip from the PET bottle. This will give you the ideal width due to the differences in wall thickness of different bottles.</t>
  </si>
  <si>
    <t>Category</t>
  </si>
  <si>
    <t>The colored power switch used in the previous version of PETamentor. It is important that the switch is sized for the power of your socket. If your local network is 110V, you can safely use a switch for 230V, never the other way around!</t>
  </si>
  <si>
    <t>3D printer Nozzle (1.5mm)</t>
  </si>
  <si>
    <t>Colorswitch holder</t>
  </si>
  <si>
    <t>Cable organizer</t>
  </si>
  <si>
    <t>SUM</t>
  </si>
  <si>
    <t>ELECTRONICS</t>
  </si>
  <si>
    <t>3D printer parts</t>
  </si>
  <si>
    <t>48 * 18 * 2</t>
  </si>
  <si>
    <t>Base wood plate
size cca: 45-50cm  x 20 cm x 1-2cm</t>
  </si>
  <si>
    <t>M3 Screws (10mm)</t>
  </si>
  <si>
    <t>Screws for cutter assembly, puller assembly and spool assembly. 
The screw is 10mm long – metric M3 type.
D-fejű metrikus csavar 3*10mm</t>
  </si>
  <si>
    <t>M8 bolts (~60mm)</t>
  </si>
  <si>
    <t>Bolts for the cutting mechanism to modify the cutter height, and for holding the bearings
Hatlapú metrikus csavar M8 * 60mm</t>
  </si>
  <si>
    <t>M8 nuts</t>
  </si>
  <si>
    <t>Nuts for securing the bearings and adjusting the cutter height</t>
  </si>
  <si>
    <t>For the cutting bottle we need 2 bearing that we modify in a way that they have an edge.
608RS or similar</t>
  </si>
  <si>
    <t>Hardware</t>
  </si>
  <si>
    <t>Thermocontroller</t>
  </si>
  <si>
    <t>Fan holder</t>
  </si>
  <si>
    <t>Silicone tube</t>
  </si>
  <si>
    <t>Bondex</t>
  </si>
  <si>
    <t>HUF</t>
  </si>
  <si>
    <t>1000g filament</t>
  </si>
  <si>
    <t>Part</t>
  </si>
  <si>
    <t>Leg</t>
  </si>
  <si>
    <t>Quantity [pcs]</t>
  </si>
  <si>
    <t>Price/piece [HUF]</t>
  </si>
  <si>
    <t>Sum price [HUF]</t>
  </si>
  <si>
    <t>If you measure how much electricity your printer uses in 60mins, and add how much electricity costs in your country, this Excel will calculate the corect estimate.</t>
  </si>
  <si>
    <t>I own a 3D printer, these prices might be a bit higher if you hire someone to print these for you.</t>
  </si>
  <si>
    <t>This Excel is written in a format that it will give you an estimated cost on top of links to every part.</t>
  </si>
  <si>
    <t>Every price is currently in HUF. You can define your own currency format, puls you can define the exchange rate, and the whole excel file will get updated based on that.</t>
  </si>
  <si>
    <t>Name of your currency:</t>
  </si>
  <si>
    <t>IS</t>
  </si>
  <si>
    <t>USD</t>
  </si>
  <si>
    <t>To convert a PET bottle into filament, I use a standard nozzle with a diameter of 0.4 mm, which must be drilled. Drilling is very simple, using a 1.5mm drill bit.
You can buy a 1.5mm nozzle on aliexpress, and you don't have to drill.</t>
  </si>
  <si>
    <t>Check your local hardware store</t>
  </si>
  <si>
    <t>I advise you to open the Aliexpress links, and then check your local stores to see if you can buy the parts cheaper.</t>
  </si>
  <si>
    <t>If I linked something outside from Aliexpress, it is my local store where I could purchase the part cheaper. If you can't buy it locally, replace the price with the aliexpress price.</t>
  </si>
  <si>
    <t>Exchange rate:</t>
  </si>
  <si>
    <t>bakosfa
9 HUF/pcs</t>
  </si>
  <si>
    <t>bakosfa
85 HUF/pcs</t>
  </si>
  <si>
    <t>bakosfa
16 HUF/pcs</t>
  </si>
  <si>
    <t>Wood screws M2.6 (10-12mm long)
max 4mm diameter</t>
  </si>
  <si>
    <t>Wood screws that are for attaching all the 3D printed parts of the PETamentor. The wood screws must not be longer than the thickness of your wooden platform.
2.5*12mm 6HUF/pcs
2.5*16mm 6HUF/pcs
3.5*16mm 9HUF/pcs</t>
  </si>
  <si>
    <t>For the done filament to be welded together.
1mm inner * 3mm outer diameter. You have to drill it with 1.5mm drill
~1m is needed to weld together 1kg worth of filament, if you use 2cm/weld</t>
  </si>
  <si>
    <t>Sum purchased parts</t>
  </si>
  <si>
    <t>Sum printed parts</t>
  </si>
  <si>
    <t xml:space="preserve">M6 threaded rod – length 500mm, needed for cutter. I personally shortened the rod to 450mm. But that depends on your local conditions.
</t>
  </si>
  <si>
    <t>M6 Threaded Rod (500mm)
optional: 2pcs washer + 2pcs nut</t>
  </si>
  <si>
    <t>Your local conditions</t>
  </si>
  <si>
    <t>My local conditions</t>
  </si>
  <si>
    <t>SUM purchased parts</t>
  </si>
  <si>
    <t>Time/pcs [min]</t>
  </si>
  <si>
    <t>Weight/pcs [g]</t>
  </si>
  <si>
    <t>Cutter (all parts)</t>
  </si>
  <si>
    <t>Filament hook tube</t>
  </si>
  <si>
    <t>Filament  guide + cleaner</t>
  </si>
  <si>
    <t>Spool (all parts)</t>
  </si>
  <si>
    <t>Motor (all parts)</t>
  </si>
  <si>
    <t>Motor speedcontroller holder</t>
  </si>
  <si>
    <t>click the text above to see the original list on Petamentor2 website</t>
  </si>
  <si>
    <t>Printer electricity usage in 60mins</t>
  </si>
  <si>
    <r>
      <t xml:space="preserve">If you add </t>
    </r>
    <r>
      <rPr>
        <b/>
        <sz val="11"/>
        <color theme="1"/>
        <rFont val="Calibri"/>
        <family val="2"/>
        <scheme val="minor"/>
      </rPr>
      <t>all 3 of these</t>
    </r>
    <r>
      <rPr>
        <sz val="11"/>
        <color theme="1"/>
        <rFont val="Calibri"/>
        <family val="2"/>
        <scheme val="minor"/>
      </rPr>
      <t>, the summary page will use your numbers instead of mine</t>
    </r>
  </si>
  <si>
    <r>
      <t xml:space="preserve">Please modify the </t>
    </r>
    <r>
      <rPr>
        <b/>
        <sz val="14"/>
        <color theme="9"/>
        <rFont val="Calibri"/>
        <family val="2"/>
        <scheme val="minor"/>
      </rPr>
      <t>green backgrounded</t>
    </r>
    <r>
      <rPr>
        <b/>
        <sz val="14"/>
        <color theme="1"/>
        <rFont val="Calibri"/>
        <family val="2"/>
        <scheme val="minor"/>
      </rPr>
      <t xml:space="preserve"> fields with the appropriate data relevant for you:</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</si>
</sst>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9" x14ac:knownFonts="1">
    <font>
      <sz val="11"/>
      <color theme="1"/>
      <name val="Calibri"/>
      <family val="2"/>
      <scheme val="minor"/>
    </font>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1"/>
      <color theme="7"/>
      <name val="Calibri"/>
      <family val="2"/>
      <scheme val="minor"/>
    </font>
    <font>
      <b/>
      <sz val="11"/>
      <color theme="4"/>
      <name val="Calibri"/>
      <family val="2"/>
      <scheme val="minor"/>
    </font>
    <font>
      <b/>
      <sz val="20"/>
      <color theme="1"/>
      <name val="Calibri"/>
      <family val="2"/>
      <scheme val="minor"/>
    </font>
    <font>
      <b/>
      <sz val="22"/>
      <color theme="1"/>
      <name val="Calibri"/>
      <family val="2"/>
      <scheme val="minor"/>
    </font>
    <font>
      <b/>
      <sz val="11"/>
      <color theme="9"/>
      <name val="Calibri"/>
      <family val="2"/>
      <scheme val="minor"/>
    </font>
    <font>
      <u/>
      <sz val="16"/>
      <color theme="10"/>
      <name val="Calibri"/>
      <family val="2"/>
      <scheme val="minor"/>
    </font>
    <font>
      <b/>
      <sz val="16"/>
      <color theme="1"/>
      <name val="Calibri"/>
      <family val="2"/>
      <scheme val="minor"/>
    </font>
    <font>
      <sz val="14"/>
      <color theme="1"/>
      <name val="Calibri"/>
      <family val="2"/>
      <scheme val="minor"/>
    </font>
    <font>
      <sz val="16"/>
      <color theme="1"/>
      <name val="Calibri"/>
      <family val="2"/>
      <scheme val="minor"/>
    </font>
    <font>
      <u/>
      <sz val="16"/>
      <color theme="1"/>
      <name val="Calibri"/>
      <family val="2"/>
      <scheme val="minor"/>
    </font>
    <font>
      <b/>
      <sz val="14"/>
      <color theme="9"/>
      <name val="Calibri"/>
      <family val="2"/>
      <scheme val="minor"/>
    </font>
    <font>
      <b/>
      <sz val="16"/>
      <name val="Calibri"/>
      <family val="2"/>
      <scheme val="minor"/>
    </font>
    <font>
      <b/>
      <sz val="14"/>
      <name val="Calibri"/>
      <family val="2"/>
      <scheme val="minor"/>
    </font>
  </fonts>
  <fills count="5">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8"/>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71">
    <xf numFmtId="0" fontId="0" fillId="0" borderId="0" xfId="0"/>
    <xf numFmtId="0" fontId="0" fillId="0" borderId="0" xfId="0" applyAlignment="1">
      <alignment horizontal="center" vertical="center"/>
    </xf>
    <xf numFmtId="0" fontId="2" fillId="0" borderId="0" xfId="2" applyAlignment="1">
      <alignment horizontal="center" vertical="center"/>
    </xf>
    <xf numFmtId="0" fontId="0" fillId="0" borderId="0" xfId="0" applyAlignment="1">
      <alignment horizontal="center" vertical="center" wrapText="1"/>
    </xf>
    <xf numFmtId="0" fontId="2" fillId="0" borderId="0" xfId="2" applyFill="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horizontal="center" vertical="center"/>
    </xf>
    <xf numFmtId="2" fontId="0" fillId="0" borderId="0" xfId="0" applyNumberFormat="1" applyAlignment="1">
      <alignment horizontal="center" vertical="center"/>
    </xf>
    <xf numFmtId="1" fontId="12" fillId="0" borderId="0" xfId="1" applyNumberFormat="1" applyFont="1" applyAlignment="1">
      <alignment horizontal="center" vertical="center"/>
    </xf>
    <xf numFmtId="2" fontId="12" fillId="0" borderId="0" xfId="1" applyNumberFormat="1" applyFont="1" applyAlignment="1">
      <alignment horizontal="center" vertical="center"/>
    </xf>
    <xf numFmtId="0" fontId="11" fillId="0" borderId="0" xfId="2" applyFont="1" applyAlignment="1">
      <alignment horizontal="right" vertical="center"/>
    </xf>
    <xf numFmtId="0" fontId="4" fillId="0" borderId="0" xfId="0" applyFont="1" applyAlignment="1">
      <alignment horizontal="right" vertical="center"/>
    </xf>
    <xf numFmtId="165" fontId="13" fillId="0" borderId="0" xfId="1" applyNumberFormat="1" applyFont="1" applyAlignment="1">
      <alignment horizontal="center" vertical="center"/>
    </xf>
    <xf numFmtId="164" fontId="13" fillId="0" borderId="0" xfId="1" applyFont="1" applyAlignment="1">
      <alignment horizontal="center" vertical="center"/>
    </xf>
    <xf numFmtId="0" fontId="9" fillId="3" borderId="0" xfId="0" applyFont="1" applyFill="1" applyAlignment="1">
      <alignment horizontal="center" vertical="center" textRotation="255"/>
    </xf>
    <xf numFmtId="0" fontId="5" fillId="4" borderId="0" xfId="0" applyFont="1" applyFill="1" applyAlignment="1">
      <alignment horizontal="center" vertical="center" wrapText="1"/>
    </xf>
    <xf numFmtId="0" fontId="8" fillId="2" borderId="0" xfId="0" applyFont="1" applyFill="1" applyAlignment="1">
      <alignment horizontal="center" vertical="center" textRotation="255"/>
    </xf>
    <xf numFmtId="0" fontId="4" fillId="0" borderId="0" xfId="0" applyFont="1" applyAlignment="1">
      <alignment horizontal="center" vertical="center"/>
    </xf>
    <xf numFmtId="0" fontId="0" fillId="0" borderId="0" xfId="0" applyAlignment="1">
      <alignment horizontal="center" wrapText="1"/>
    </xf>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5" fillId="0" borderId="0" xfId="0" applyFont="1" applyAlignment="1">
      <alignment horizontal="right" vertical="center"/>
    </xf>
    <xf numFmtId="0" fontId="17" fillId="2" borderId="1" xfId="0" applyFont="1" applyFill="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right" vertical="center"/>
    </xf>
    <xf numFmtId="0" fontId="13" fillId="0" borderId="0" xfId="0" applyFont="1" applyAlignment="1">
      <alignment horizontal="left" vertical="center"/>
    </xf>
    <xf numFmtId="0" fontId="4" fillId="0" borderId="0" xfId="0" applyFont="1" applyAlignment="1">
      <alignment vertical="center"/>
    </xf>
    <xf numFmtId="0" fontId="0" fillId="0" borderId="2" xfId="0" applyBorder="1" applyAlignment="1">
      <alignment horizontal="center" vertical="center"/>
    </xf>
    <xf numFmtId="0" fontId="0" fillId="0" borderId="1" xfId="0" applyBorder="1" applyAlignment="1">
      <alignment horizontal="center" vertical="center"/>
    </xf>
    <xf numFmtId="0" fontId="18" fillId="2" borderId="1" xfId="0" applyFont="1" applyFill="1" applyBorder="1" applyAlignment="1">
      <alignment horizontal="right" vertical="center"/>
    </xf>
    <xf numFmtId="0" fontId="0" fillId="0" borderId="0" xfId="0" applyAlignment="1">
      <alignment horizontal="right"/>
    </xf>
    <xf numFmtId="0" fontId="0" fillId="0" borderId="1" xfId="0" applyBorder="1"/>
    <xf numFmtId="0" fontId="0" fillId="2" borderId="1" xfId="0" applyFill="1" applyBorder="1"/>
    <xf numFmtId="1" fontId="0" fillId="0" borderId="1" xfId="0" applyNumberFormat="1" applyBorder="1" applyAlignment="1">
      <alignment horizontal="center" vertical="center"/>
    </xf>
    <xf numFmtId="0" fontId="0" fillId="0" borderId="6" xfId="0" applyBorder="1" applyAlignment="1">
      <alignment horizontal="center" vertical="center"/>
    </xf>
    <xf numFmtId="1" fontId="0" fillId="0" borderId="6" xfId="0" applyNumberFormat="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 fontId="0" fillId="0" borderId="4" xfId="0" applyNumberFormat="1" applyBorder="1" applyAlignment="1">
      <alignment horizontal="center" vertical="center"/>
    </xf>
    <xf numFmtId="0" fontId="0" fillId="0" borderId="9" xfId="0" applyBorder="1" applyAlignment="1">
      <alignment horizontal="center" vertic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5" xfId="0" applyFont="1" applyBorder="1" applyAlignment="1">
      <alignment horizontal="center"/>
    </xf>
    <xf numFmtId="0" fontId="0" fillId="0" borderId="16" xfId="0" applyBorder="1"/>
    <xf numFmtId="0" fontId="0" fillId="0" borderId="17" xfId="0" applyBorder="1"/>
    <xf numFmtId="0" fontId="14" fillId="0" borderId="15" xfId="0" applyFont="1" applyBorder="1" applyAlignment="1">
      <alignment vertical="center"/>
    </xf>
    <xf numFmtId="0" fontId="14" fillId="0" borderId="18" xfId="0" applyFont="1" applyBorder="1" applyAlignment="1">
      <alignment vertical="center"/>
    </xf>
    <xf numFmtId="1" fontId="14" fillId="0" borderId="5" xfId="0" applyNumberFormat="1" applyFont="1" applyBorder="1" applyAlignment="1">
      <alignment horizontal="center" vertical="center"/>
    </xf>
    <xf numFmtId="1" fontId="14" fillId="0" borderId="7" xfId="0" applyNumberFormat="1" applyFont="1" applyBorder="1" applyAlignment="1">
      <alignment horizontal="center" vertical="center"/>
    </xf>
    <xf numFmtId="0" fontId="14" fillId="0" borderId="8" xfId="0" applyFont="1" applyBorder="1" applyAlignment="1">
      <alignment horizontal="center" vertical="center"/>
    </xf>
    <xf numFmtId="2" fontId="14" fillId="0" borderId="9" xfId="0" applyNumberFormat="1" applyFont="1" applyBorder="1" applyAlignment="1">
      <alignment horizontal="center" vertical="center"/>
    </xf>
    <xf numFmtId="0" fontId="14" fillId="0" borderId="0" xfId="0" applyFont="1" applyBorder="1" applyAlignment="1">
      <alignment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2" fillId="0" borderId="0" xfId="0" applyFont="1" applyBorder="1" applyAlignment="1">
      <alignment horizontal="right" vertical="center"/>
    </xf>
    <xf numFmtId="1" fontId="12" fillId="0" borderId="0" xfId="0" applyNumberFormat="1" applyFont="1" applyBorder="1" applyAlignment="1">
      <alignment horizontal="center" vertical="center"/>
    </xf>
    <xf numFmtId="1" fontId="12" fillId="0" borderId="21" xfId="0" applyNumberFormat="1" applyFont="1" applyBorder="1" applyAlignment="1">
      <alignment horizontal="center" vertical="center"/>
    </xf>
    <xf numFmtId="0" fontId="3" fillId="0" borderId="1" xfId="0" applyFont="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liexpress.com/item/32934551326.html?aff_fcid=116ed33457e14e2298d58a36ae811128-1667496407486-03375-_DDg4oJN&amp;tt=CPS_NORMAL&amp;aff_fsk=_DDg4oJN&amp;aff_platform=shareComponent-detail&amp;sk=_DDg4oJN&amp;aff_trace_key=116ed33457e14e2298d58a36ae811128-1667496407486-03375-_DDg4oJN&amp;terminal_id=2b16fda6418e4496a5374ecda47475f5&amp;afSmartRedirect=y" TargetMode="External"/><Relationship Id="rId13" Type="http://schemas.openxmlformats.org/officeDocument/2006/relationships/hyperlink" Target="https://petamentor2.com/parts/" TargetMode="External"/><Relationship Id="rId18" Type="http://schemas.openxmlformats.org/officeDocument/2006/relationships/hyperlink" Target="https://www.aliexpress.com/item/32850626943.html?aff_fcid=19cb5648c856416a8b8c96f862efb2cc-1672781355390-02382-_DD770xl&amp;tt=CPS_NORMAL&amp;aff_fsk=_DD770xl&amp;aff_platform=shareComponent-detail&amp;sk=_DD770xl&amp;aff_trace_key=19cb5648c856416a8b8c96f862efb2cc-1672781355390-02382-_DD770xl&amp;terminal_id=4a7d02e6f2774055bb8ac1387d5bdba6&amp;afSmartRedirect=y" TargetMode="External"/><Relationship Id="rId3" Type="http://schemas.openxmlformats.org/officeDocument/2006/relationships/hyperlink" Target="https://www.aliexpress.com/item/1005003256576173.html?pdp_npi=2%40dis%21USD%216.66%215.59%21%21%21%21%21%40211675cd16645711928536322edd9b%2112000024880546746%21affd&amp;aff_fcid=f8c16b34176a40a59275a4b70ef214ec-1667495755172-07652-_DDEhFAR&amp;aff_fsk=_DDEhFAR&amp;aff_platform=portals-billboard-ap&amp;sk=_DDEhFAR&amp;aff_trace_key=f8c16b34176a40a59275a4b70ef214ec-1667495755172-07652-_DDEhFAR&amp;terminal_id=2b16fda6418e4496a5374ecda47475f5&amp;afSmartRedirect=y&amp;gatewayAdapt=4itemAdapt" TargetMode="External"/><Relationship Id="rId21" Type="http://schemas.openxmlformats.org/officeDocument/2006/relationships/printerSettings" Target="../printerSettings/printerSettings2.bin"/><Relationship Id="rId7" Type="http://schemas.openxmlformats.org/officeDocument/2006/relationships/hyperlink" Target="https://www.aliexpress.com/item/32836645391.html?aff_fcid=c6b6ef0c0f564b5385ba7d4661b115ce-1667583614862-04761-_DEq8nmf&amp;tt=CPS_NORMAL&amp;aff_fsk=_DEq8nmf&amp;aff_platform=shareComponent-detail&amp;sk=_DEq8nmf&amp;aff_trace_key=c6b6ef0c0f564b5385ba7d4661b115ce-1667583614862-04761-_DEq8nmf&amp;terminal_id=2b16fda6418e4496a5374ecda47475f5&amp;afSmartRedirect=y" TargetMode="External"/><Relationship Id="rId12" Type="http://schemas.openxmlformats.org/officeDocument/2006/relationships/hyperlink" Target="https://www.hestore.hu/prod_10029907.html" TargetMode="External"/><Relationship Id="rId17" Type="http://schemas.openxmlformats.org/officeDocument/2006/relationships/hyperlink" Target="https://www.aliexpress.com/item/10000002013575.html?aff_fcid=1f9bda45274d4486871b4466feb0a612-1672781333593-06236-_DlaeVo7&amp;tt=CPS_NORMAL&amp;aff_fsk=_DlaeVo7&amp;aff_platform=shareComponent-detail&amp;sk=_DlaeVo7&amp;aff_trace_key=1f9bda45274d4486871b4466feb0a612-1672781333593-06236-_DlaeVo7&amp;terminal_id=4a7d02e6f2774055bb8ac1387d5bdba6&amp;afSmartRedirect=y" TargetMode="External"/><Relationship Id="rId2" Type="http://schemas.openxmlformats.org/officeDocument/2006/relationships/hyperlink" Target="https://www.aliexpress.com/item/1005003742615772.html?aff_fcid=5d5abab1deec40b6bc96b7fc41256cc2-1667495701810-09150-_DDIPTWr&amp;tt=CPS_NORMAL&amp;aff_fsk=_DDIPTWr&amp;aff_platform=shareComponent-detail&amp;sk=_DDIPTWr&amp;aff_trace_key=5d5abab1deec40b6bc96b7fc41256cc2-1667495701810-09150-_DDIPTWr&amp;terminal_id=2b16fda6418e4496a5374ecda47475f5&amp;afSmartRedirect=y" TargetMode="External"/><Relationship Id="rId16" Type="http://schemas.openxmlformats.org/officeDocument/2006/relationships/hyperlink" Target="https://www.aliexpress.com/item/33051556213.html?aff_fcid=cf0f4adb0c3943958e1e2856e789bb3a-1672781265380-05964-_DE0y89Z&amp;tt=CPS_NORMAL&amp;aff_fsk=_DE0y89Z&amp;aff_platform=shareComponent-detail&amp;sk=_DE0y89Z&amp;aff_trace_key=cf0f4adb0c3943958e1e2856e789bb3a-1672781265380-05964-_DE0y89Z&amp;terminal_id=4a7d02e6f2774055bb8ac1387d5bdba6&amp;afSmartRedirect=y" TargetMode="External"/><Relationship Id="rId20" Type="http://schemas.openxmlformats.org/officeDocument/2006/relationships/hyperlink" Target="https://www.aliexpress.com/item/1005004970362275.html?spm=a2g0o.productlist.main.1.197836eeQA3h5G&amp;algo_pvid=45fff85f-5754-4656-ab68-fefc4895eb58&amp;aem_p4p_detail=202301031401053443041610906760002496964&amp;algo_exp_id=45fff85f-5754-4656-ab68-fefc4895eb58-0&amp;pdp_ext_f=%7B%22sku_id%22%3A%2212000031398837216%22%7D&amp;pdp_npi=2%40dis%21HUF%212926.41%211463.2%21%21%21%21%21%40211bd3cb16727832657592862d06f1%2112000031398837216%21sea&amp;curPageLogUid=DeuLNwKBcxg1&amp;ad_pvid=202301031401053443041610906760002496964_1&amp;ad_pvid=202301031401053443041610906760002496964_1" TargetMode="External"/><Relationship Id="rId1" Type="http://schemas.openxmlformats.org/officeDocument/2006/relationships/hyperlink" Target="https://www.aliexpress.com/item/32886557485.html?aff_fcid=8824026bb66c4f2a8e798bc0621f4eda-1667495610558-07233-_Dd3lQt1&amp;tt=CPS_NORMAL&amp;aff_fsk=_Dd3lQt1&amp;aff_platform=shareComponent-detail&amp;sk=_Dd3lQt1&amp;aff_trace_key=8824026bb66c4f2a8e798bc0621f4eda-1667495610558-07233-_Dd3lQt1&amp;terminal_id=2b16fda6418e4496a5374ecda47475f5&amp;afSmartRedirect=y" TargetMode="External"/><Relationship Id="rId6" Type="http://schemas.openxmlformats.org/officeDocument/2006/relationships/hyperlink" Target="https://www.aliexpress.com/item/32817471679.html?aff_fcid=adc5ad7df8094ce38330f6e23c1fc7e1-1667495957613-04989-_DFJx1gB&amp;tt=CPS_NORMAL&amp;aff_fsk=_DFJx1gB&amp;aff_platform=shareComponent-detail&amp;sk=_DFJx1gB&amp;aff_trace_key=adc5ad7df8094ce38330f6e23c1fc7e1-1667495957613-04989-_DFJx1gB&amp;terminal_id=2b16fda6418e4496a5374ecda47475f5&amp;afSmartRedirect=y" TargetMode="External"/><Relationship Id="rId11" Type="http://schemas.openxmlformats.org/officeDocument/2006/relationships/hyperlink" Target="https://www.hestore.hu/prod_10038585.html" TargetMode="External"/><Relationship Id="rId5" Type="http://schemas.openxmlformats.org/officeDocument/2006/relationships/hyperlink" Target="https://www.aliexpress.com/item/10000352512040.html?spm=a2g0o.detail.0.0.38c03171ea377l&amp;gps-id=pcDetailBottomMoreThisSeller&amp;scm=1007.13339.291025.0&amp;scm_id=1007.13339.291025.0&amp;scm-url=1007.13339.291025.0&amp;pvid=1d8642c5-d07e-48ee-858a-f16f3d4e1513&amp;_t=gps-id:pcDetailBottomMoreThisSeller,scm-url:1007.13339.291025.0,pvid:1d8642c5-d07e-48ee-858a-f16f3d4e1513,tpp_buckets:668%232846%238110%231995&amp;pdp_ext_f=%7B%22sku_id%22%3A%2220000000182483675%22%2C%22sceneId%22%3A%223339%22%7D&amp;pdp_npi=2%40dis%21HUF%21538.13%21482.61%21%21%21%21%21%402101f6b916675832636336365e794f%2120000000182483675%21rec" TargetMode="External"/><Relationship Id="rId15" Type="http://schemas.openxmlformats.org/officeDocument/2006/relationships/hyperlink" Target="https://szilikonwebaruhaz.hu/id/00068---248-1-x-3-mm-szilikon-cso" TargetMode="External"/><Relationship Id="rId10" Type="http://schemas.openxmlformats.org/officeDocument/2006/relationships/hyperlink" Target="https://www.bivin.hu/ipari-tapegyseg-12v-10a-7409?keyword=Ipari%20t%C3%A1pegys%C3%A9g%2012V%20%2F%2010A" TargetMode="External"/><Relationship Id="rId19" Type="http://schemas.openxmlformats.org/officeDocument/2006/relationships/hyperlink" Target="https://www.aliexpress.com/item/4001122850071.html?spm=a2g0o.productlist.main.3.7a047465vyxo5F&amp;algo_pvid=c5f037a9-9845-4f17-83c7-9c25971ae265&amp;aem_p4p_detail=202301031330492390765488448100002365949&amp;algo_exp_id=c5f037a9-9845-4f17-83c7-9c25971ae265-1&amp;pdp_ext_f=%7B%22sku_id%22%3A%2210000014553593575%22%7D&amp;pdp_npi=2%40dis%21HUF%215014.48%213007.91%21%21%21%21%21%402122457116727814491696742d070d%2110000014553593575%21sea&amp;curPageLogUid=Flv8Qw5RIGqx&amp;ad_pvid=202301031330492390765488448100002365949_2&amp;ad_pvid=202301031330492390765488448100002365949_2" TargetMode="External"/><Relationship Id="rId4" Type="http://schemas.openxmlformats.org/officeDocument/2006/relationships/hyperlink" Target="https://www.aliexpress.com/item/4000274747864.html?aff_fcid=be489c96fbee4c7bab23eb4985e0d90b-1667495811761-02975-_DCMoUoP&amp;tt=CPS_NORMAL&amp;aff_fsk=_DCMoUoP&amp;aff_platform=shareComponent-detail&amp;sk=_DCMoUoP&amp;aff_trace_key=be489c96fbee4c7bab23eb4985e0d90b-1667495811761-02975-_DCMoUoP&amp;terminal_id=2b16fda6418e4496a5374ecda47475f5&amp;afSmartRedirect=y" TargetMode="External"/><Relationship Id="rId9" Type="http://schemas.openxmlformats.org/officeDocument/2006/relationships/hyperlink" Target="https://www.onlinecsapagy.hu/termekeink/termekeink/61900_2rs_kn" TargetMode="External"/><Relationship Id="rId14" Type="http://schemas.openxmlformats.org/officeDocument/2006/relationships/hyperlink" Target="https://www.hestore.hu/prod_10041708.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CE76-1C92-489A-84D7-42020B6C1ACE}">
  <dimension ref="A1:F16"/>
  <sheetViews>
    <sheetView showGridLines="0" tabSelected="1" workbookViewId="0">
      <selection activeCell="B8" sqref="B8"/>
    </sheetView>
  </sheetViews>
  <sheetFormatPr defaultRowHeight="14.4" x14ac:dyDescent="0.3"/>
  <cols>
    <col min="1" max="1" width="29.5546875" customWidth="1"/>
    <col min="2" max="2" width="11.6640625" customWidth="1"/>
    <col min="3" max="3" width="11.109375" customWidth="1"/>
    <col min="4" max="4" width="7.88671875" customWidth="1"/>
    <col min="5" max="5" width="6.5546875" customWidth="1"/>
  </cols>
  <sheetData>
    <row r="1" spans="1:6" ht="25.8" customHeight="1" x14ac:dyDescent="0.3">
      <c r="A1" s="27" t="s">
        <v>66</v>
      </c>
    </row>
    <row r="2" spans="1:6" ht="25.8" customHeight="1" x14ac:dyDescent="0.3">
      <c r="A2" s="27" t="s">
        <v>73</v>
      </c>
    </row>
    <row r="3" spans="1:6" ht="25.8" customHeight="1" x14ac:dyDescent="0.3">
      <c r="A3" s="27" t="s">
        <v>74</v>
      </c>
    </row>
    <row r="4" spans="1:6" x14ac:dyDescent="0.3">
      <c r="A4" s="26"/>
    </row>
    <row r="5" spans="1:6" ht="25.8" customHeight="1" x14ac:dyDescent="0.3">
      <c r="A5" s="27" t="s">
        <v>67</v>
      </c>
    </row>
    <row r="6" spans="1:6" ht="25.8" customHeight="1" x14ac:dyDescent="0.3">
      <c r="A6" s="35" t="s">
        <v>100</v>
      </c>
    </row>
    <row r="7" spans="1:6" x14ac:dyDescent="0.3">
      <c r="A7" s="26"/>
    </row>
    <row r="8" spans="1:6" ht="21" x14ac:dyDescent="0.3">
      <c r="A8" s="29" t="s">
        <v>68</v>
      </c>
      <c r="B8" s="31" t="s">
        <v>70</v>
      </c>
    </row>
    <row r="9" spans="1:6" ht="21" x14ac:dyDescent="0.3">
      <c r="A9" s="28"/>
    </row>
    <row r="10" spans="1:6" ht="21" x14ac:dyDescent="0.3">
      <c r="A10" s="30" t="s">
        <v>75</v>
      </c>
      <c r="B10" s="33">
        <v>1</v>
      </c>
      <c r="C10" s="34" t="str">
        <f>B8</f>
        <v>USD</v>
      </c>
      <c r="D10" s="32" t="s">
        <v>69</v>
      </c>
      <c r="E10" s="38">
        <v>380</v>
      </c>
      <c r="F10" s="34" t="s">
        <v>57</v>
      </c>
    </row>
    <row r="11" spans="1:6" ht="21" x14ac:dyDescent="0.3">
      <c r="A11" s="28"/>
    </row>
    <row r="12" spans="1:6" ht="21.6" thickBot="1" x14ac:dyDescent="0.35">
      <c r="A12" s="28"/>
    </row>
    <row r="13" spans="1:6" ht="21.6" thickBot="1" x14ac:dyDescent="0.35">
      <c r="A13" s="64"/>
      <c r="B13" s="65" t="s">
        <v>57</v>
      </c>
      <c r="C13" s="66" t="str">
        <f>B8</f>
        <v>USD</v>
      </c>
    </row>
    <row r="14" spans="1:6" ht="21" x14ac:dyDescent="0.3">
      <c r="A14" s="58" t="s">
        <v>82</v>
      </c>
      <c r="B14" s="60">
        <f>'Parts to buy'!G25</f>
        <v>27941</v>
      </c>
      <c r="C14" s="61">
        <f>'Parts to buy'!H25</f>
        <v>73.528947368421058</v>
      </c>
    </row>
    <row r="15" spans="1:6" ht="21.6" thickBot="1" x14ac:dyDescent="0.35">
      <c r="A15" s="59" t="s">
        <v>83</v>
      </c>
      <c r="B15" s="62">
        <f>'Printed parts'!G20</f>
        <v>2728.6538400000004</v>
      </c>
      <c r="C15" s="63">
        <f>IF(AND(NOT(ISBLANK('Printed parts'!F4)),NOT(ISBLANK('Printed parts'!F5)),NOT(ISBLANK('Printed parts'!F6))),'Printed parts'!H20,Summary!B15/Summary!E10)</f>
        <v>7.1806680000000007</v>
      </c>
    </row>
    <row r="16" spans="1:6" ht="21" x14ac:dyDescent="0.3">
      <c r="A16" s="67" t="s">
        <v>40</v>
      </c>
      <c r="B16" s="68">
        <f>SUM(B14:B15)</f>
        <v>30669.653839999999</v>
      </c>
      <c r="C16" s="69">
        <f>SUM(C14:C15)</f>
        <v>80.709615368421055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5B270-1201-49D6-8559-7B56D2A3F6E6}">
  <dimension ref="A1:I26"/>
  <sheetViews>
    <sheetView workbookViewId="0"/>
  </sheetViews>
  <sheetFormatPr defaultRowHeight="14.4" x14ac:dyDescent="0.3"/>
  <cols>
    <col min="1" max="1" width="11.5546875" customWidth="1"/>
    <col min="2" max="2" width="34.5546875" customWidth="1"/>
    <col min="3" max="3" width="67.109375" style="8" bestFit="1" customWidth="1"/>
    <col min="4" max="4" width="12.44140625" bestFit="1" customWidth="1"/>
    <col min="5" max="5" width="12.44140625" customWidth="1"/>
    <col min="6" max="6" width="18.77734375" bestFit="1" customWidth="1"/>
    <col min="7" max="7" width="18.21875" bestFit="1" customWidth="1"/>
    <col min="8" max="8" width="22.6640625" bestFit="1" customWidth="1"/>
  </cols>
  <sheetData>
    <row r="1" spans="1:9" ht="18" x14ac:dyDescent="0.3">
      <c r="A1" s="5" t="s">
        <v>35</v>
      </c>
      <c r="B1" s="5" t="s">
        <v>3</v>
      </c>
      <c r="C1" s="5" t="s">
        <v>2</v>
      </c>
      <c r="D1" s="24" t="s">
        <v>1</v>
      </c>
      <c r="E1" s="24"/>
      <c r="F1" s="5" t="s">
        <v>12</v>
      </c>
      <c r="G1" s="5" t="s">
        <v>21</v>
      </c>
      <c r="H1" s="5" t="str">
        <f>_xlfn.CONCAT("price sum [",Summary!B8,"]")</f>
        <v>price sum [USD]</v>
      </c>
    </row>
    <row r="2" spans="1:9" ht="57.6" customHeight="1" x14ac:dyDescent="0.3">
      <c r="A2" s="21" t="s">
        <v>41</v>
      </c>
      <c r="B2" s="9" t="s">
        <v>0</v>
      </c>
      <c r="C2" s="6" t="s">
        <v>28</v>
      </c>
      <c r="D2" s="4" t="s">
        <v>4</v>
      </c>
      <c r="E2" s="4" t="s">
        <v>17</v>
      </c>
      <c r="F2" s="1">
        <v>1</v>
      </c>
      <c r="G2" s="1">
        <f>2600+1190</f>
        <v>3790</v>
      </c>
      <c r="H2" s="14">
        <f>Summary!$B$10*'Parts to buy'!G2/Summary!$E$10</f>
        <v>9.973684210526315</v>
      </c>
    </row>
    <row r="3" spans="1:9" ht="57.6" customHeight="1" x14ac:dyDescent="0.3">
      <c r="A3" s="21"/>
      <c r="B3" s="9" t="s">
        <v>5</v>
      </c>
      <c r="C3" s="6" t="s">
        <v>6</v>
      </c>
      <c r="D3" s="4" t="s">
        <v>4</v>
      </c>
      <c r="E3" s="4"/>
      <c r="F3" s="1">
        <v>1</v>
      </c>
      <c r="G3" s="1">
        <f>5548+3020</f>
        <v>8568</v>
      </c>
      <c r="H3" s="14">
        <f>Summary!$B$10*'Parts to buy'!G3/Summary!$E$10</f>
        <v>22.547368421052632</v>
      </c>
    </row>
    <row r="4" spans="1:9" ht="57.6" customHeight="1" x14ac:dyDescent="0.3">
      <c r="A4" s="21"/>
      <c r="B4" s="9" t="s">
        <v>7</v>
      </c>
      <c r="C4" s="6" t="s">
        <v>29</v>
      </c>
      <c r="D4" s="4" t="s">
        <v>4</v>
      </c>
      <c r="E4" s="4"/>
      <c r="F4" s="1">
        <v>1</v>
      </c>
      <c r="G4" s="1">
        <f>1100</f>
        <v>1100</v>
      </c>
      <c r="H4" s="14">
        <f>Summary!$B$10*'Parts to buy'!G4/Summary!$E$10</f>
        <v>2.8947368421052633</v>
      </c>
    </row>
    <row r="5" spans="1:9" ht="57.6" customHeight="1" x14ac:dyDescent="0.3">
      <c r="A5" s="21"/>
      <c r="B5" s="9" t="s">
        <v>8</v>
      </c>
      <c r="C5" s="6" t="s">
        <v>30</v>
      </c>
      <c r="D5" s="4" t="s">
        <v>4</v>
      </c>
      <c r="E5" s="4"/>
      <c r="F5" s="1">
        <v>1</v>
      </c>
      <c r="G5" s="1">
        <f>3000+950</f>
        <v>3950</v>
      </c>
      <c r="H5" s="14">
        <f>Summary!$B$10*'Parts to buy'!G5/Summary!$E$10</f>
        <v>10.394736842105264</v>
      </c>
    </row>
    <row r="6" spans="1:9" ht="57.6" customHeight="1" x14ac:dyDescent="0.3">
      <c r="A6" s="21"/>
      <c r="B6" s="9" t="s">
        <v>9</v>
      </c>
      <c r="C6" s="6" t="s">
        <v>31</v>
      </c>
      <c r="D6" s="4" t="s">
        <v>4</v>
      </c>
      <c r="E6" s="4"/>
      <c r="F6" s="1">
        <v>1</v>
      </c>
      <c r="G6" s="1">
        <f>1077+447</f>
        <v>1524</v>
      </c>
      <c r="H6" s="14">
        <f>Summary!$B$10*'Parts to buy'!G6/Summary!$E$10</f>
        <v>4.0105263157894733</v>
      </c>
    </row>
    <row r="7" spans="1:9" ht="57.6" customHeight="1" x14ac:dyDescent="0.3">
      <c r="A7" s="21"/>
      <c r="B7" s="9" t="s">
        <v>11</v>
      </c>
      <c r="C7" s="6" t="s">
        <v>33</v>
      </c>
      <c r="D7" s="4" t="s">
        <v>4</v>
      </c>
      <c r="E7" s="4"/>
      <c r="F7" s="1">
        <v>1</v>
      </c>
      <c r="G7" s="1">
        <f>460+490</f>
        <v>950</v>
      </c>
      <c r="H7" s="14">
        <f>Summary!$B$10*'Parts to buy'!G7/Summary!$E$10</f>
        <v>2.5</v>
      </c>
    </row>
    <row r="8" spans="1:9" ht="57.6" customHeight="1" x14ac:dyDescent="0.3">
      <c r="A8" s="21"/>
      <c r="B8" s="9" t="s">
        <v>13</v>
      </c>
      <c r="C8" s="6" t="s">
        <v>34</v>
      </c>
      <c r="D8" s="4" t="s">
        <v>4</v>
      </c>
      <c r="E8" s="4" t="s">
        <v>18</v>
      </c>
      <c r="F8" s="3">
        <v>2</v>
      </c>
      <c r="G8" s="3">
        <f>F8*100</f>
        <v>200</v>
      </c>
      <c r="H8" s="14">
        <f>Summary!$B$10*'Parts to buy'!G8/Summary!$E$10</f>
        <v>0.52631578947368418</v>
      </c>
    </row>
    <row r="9" spans="1:9" ht="57.6" customHeight="1" x14ac:dyDescent="0.3">
      <c r="A9" s="21"/>
      <c r="B9" s="9" t="s">
        <v>14</v>
      </c>
      <c r="C9" s="6" t="s">
        <v>36</v>
      </c>
      <c r="D9" s="4" t="s">
        <v>4</v>
      </c>
      <c r="E9" s="4" t="s">
        <v>18</v>
      </c>
      <c r="F9" s="1">
        <v>3</v>
      </c>
      <c r="G9" s="1">
        <f>F9*234</f>
        <v>702</v>
      </c>
      <c r="H9" s="14">
        <f>Summary!$B$10*'Parts to buy'!G9/Summary!$E$10</f>
        <v>1.8473684210526315</v>
      </c>
    </row>
    <row r="10" spans="1:9" ht="57.6" customHeight="1" x14ac:dyDescent="0.3">
      <c r="A10" s="21"/>
      <c r="B10" s="10" t="s">
        <v>24</v>
      </c>
      <c r="C10" s="6" t="s">
        <v>25</v>
      </c>
      <c r="D10" s="2" t="s">
        <v>4</v>
      </c>
      <c r="E10" s="2" t="s">
        <v>18</v>
      </c>
      <c r="F10" s="1">
        <v>2</v>
      </c>
      <c r="G10" s="1">
        <f>F10*966</f>
        <v>1932</v>
      </c>
      <c r="H10" s="14">
        <f>Summary!$B$10*'Parts to buy'!G10/Summary!$E$10</f>
        <v>5.0842105263157897</v>
      </c>
    </row>
    <row r="11" spans="1:9" x14ac:dyDescent="0.3">
      <c r="B11" s="3"/>
      <c r="C11" s="6"/>
      <c r="D11" s="2"/>
      <c r="E11" s="2"/>
      <c r="F11" s="1"/>
      <c r="G11" s="1"/>
    </row>
    <row r="12" spans="1:9" ht="57.6" customHeight="1" x14ac:dyDescent="0.3">
      <c r="A12" s="22" t="s">
        <v>42</v>
      </c>
      <c r="B12" s="11" t="s">
        <v>10</v>
      </c>
      <c r="C12" s="6" t="s">
        <v>32</v>
      </c>
      <c r="D12" s="4" t="s">
        <v>4</v>
      </c>
      <c r="E12" s="4"/>
      <c r="F12" s="1">
        <v>1</v>
      </c>
      <c r="G12" s="1">
        <f>482+475</f>
        <v>957</v>
      </c>
      <c r="H12" s="14">
        <f>Summary!$B$10*'Parts to buy'!G12/Summary!$E$10</f>
        <v>2.5184210526315791</v>
      </c>
    </row>
    <row r="13" spans="1:9" ht="57.6" customHeight="1" x14ac:dyDescent="0.3">
      <c r="A13" s="22"/>
      <c r="B13" s="11" t="s">
        <v>37</v>
      </c>
      <c r="C13" s="6" t="s">
        <v>71</v>
      </c>
      <c r="D13" s="4" t="s">
        <v>4</v>
      </c>
      <c r="E13" s="4"/>
      <c r="F13" s="1">
        <v>1</v>
      </c>
      <c r="G13" s="1">
        <f>480</f>
        <v>480</v>
      </c>
      <c r="H13" s="14">
        <f>Summary!$B$10*'Parts to buy'!G13/Summary!$E$10</f>
        <v>1.263157894736842</v>
      </c>
      <c r="I13" t="s">
        <v>19</v>
      </c>
    </row>
    <row r="14" spans="1:9" x14ac:dyDescent="0.3">
      <c r="B14" s="1"/>
      <c r="C14" s="6"/>
      <c r="D14" s="4"/>
      <c r="E14" s="4"/>
      <c r="F14" s="1"/>
      <c r="G14" s="1"/>
    </row>
    <row r="15" spans="1:9" ht="57.6" customHeight="1" x14ac:dyDescent="0.3">
      <c r="A15" s="23" t="s">
        <v>52</v>
      </c>
      <c r="B15" s="12" t="s">
        <v>44</v>
      </c>
      <c r="C15" s="6" t="s">
        <v>43</v>
      </c>
      <c r="D15" s="1" t="s">
        <v>20</v>
      </c>
      <c r="E15" s="3" t="s">
        <v>72</v>
      </c>
      <c r="F15" s="1">
        <v>1</v>
      </c>
      <c r="G15" s="1">
        <v>520</v>
      </c>
      <c r="H15" s="14">
        <f>Summary!$B$10*'Parts to buy'!G15/Summary!$E$10</f>
        <v>1.368421052631579</v>
      </c>
    </row>
    <row r="16" spans="1:9" ht="57.6" customHeight="1" x14ac:dyDescent="0.3">
      <c r="A16" s="23"/>
      <c r="B16" s="13" t="s">
        <v>15</v>
      </c>
      <c r="C16" s="6" t="s">
        <v>16</v>
      </c>
      <c r="D16" s="4" t="s">
        <v>4</v>
      </c>
      <c r="E16" s="3" t="s">
        <v>72</v>
      </c>
      <c r="F16" s="1">
        <v>1</v>
      </c>
      <c r="G16" s="1">
        <v>100</v>
      </c>
      <c r="H16" s="14">
        <f>Summary!$B$10*'Parts to buy'!G16/Summary!$E$10</f>
        <v>0.26315789473684209</v>
      </c>
    </row>
    <row r="17" spans="1:8" ht="57.6" customHeight="1" x14ac:dyDescent="0.3">
      <c r="A17" s="23"/>
      <c r="B17" s="12" t="s">
        <v>45</v>
      </c>
      <c r="C17" s="6" t="s">
        <v>46</v>
      </c>
      <c r="D17" s="3" t="s">
        <v>76</v>
      </c>
      <c r="E17" s="3" t="s">
        <v>72</v>
      </c>
      <c r="F17" s="1">
        <f>11+6+1+4+1</f>
        <v>23</v>
      </c>
      <c r="G17" s="1">
        <f>F17*9</f>
        <v>207</v>
      </c>
      <c r="H17" s="14">
        <f>Summary!$B$10*'Parts to buy'!G17/Summary!$E$10</f>
        <v>0.54473684210526319</v>
      </c>
    </row>
    <row r="18" spans="1:8" ht="57.6" customHeight="1" x14ac:dyDescent="0.3">
      <c r="A18" s="23"/>
      <c r="B18" s="12" t="s">
        <v>47</v>
      </c>
      <c r="C18" s="6" t="s">
        <v>48</v>
      </c>
      <c r="D18" s="3" t="s">
        <v>77</v>
      </c>
      <c r="E18" s="3" t="s">
        <v>72</v>
      </c>
      <c r="F18" s="1">
        <v>3</v>
      </c>
      <c r="G18" s="1">
        <f>F18*85</f>
        <v>255</v>
      </c>
      <c r="H18" s="14">
        <f>Summary!$B$10*'Parts to buy'!G18/Summary!$E$10</f>
        <v>0.67105263157894735</v>
      </c>
    </row>
    <row r="19" spans="1:8" ht="57.6" customHeight="1" x14ac:dyDescent="0.3">
      <c r="A19" s="23"/>
      <c r="B19" s="12" t="s">
        <v>49</v>
      </c>
      <c r="C19" s="6" t="s">
        <v>50</v>
      </c>
      <c r="D19" s="3" t="s">
        <v>78</v>
      </c>
      <c r="E19" s="3" t="s">
        <v>72</v>
      </c>
      <c r="F19" s="1">
        <v>5</v>
      </c>
      <c r="G19" s="1">
        <f>F19*16</f>
        <v>80</v>
      </c>
      <c r="H19" s="14">
        <f>Summary!$B$10*'Parts to buy'!G19/Summary!$E$10</f>
        <v>0.21052631578947367</v>
      </c>
    </row>
    <row r="20" spans="1:8" ht="57.6" customHeight="1" x14ac:dyDescent="0.3">
      <c r="A20" s="23"/>
      <c r="B20" s="12" t="s">
        <v>85</v>
      </c>
      <c r="C20" s="6" t="s">
        <v>84</v>
      </c>
      <c r="D20" s="1" t="s">
        <v>20</v>
      </c>
      <c r="E20" s="3" t="s">
        <v>72</v>
      </c>
      <c r="F20" s="1">
        <v>1</v>
      </c>
      <c r="G20" s="1">
        <v>520</v>
      </c>
      <c r="H20" s="14">
        <f>Summary!$B$10*'Parts to buy'!G20/Summary!$E$10</f>
        <v>1.368421052631579</v>
      </c>
    </row>
    <row r="21" spans="1:8" ht="57.6" customHeight="1" x14ac:dyDescent="0.3">
      <c r="A21" s="23"/>
      <c r="B21" s="13" t="s">
        <v>22</v>
      </c>
      <c r="C21" s="6" t="s">
        <v>51</v>
      </c>
      <c r="D21" s="2" t="s">
        <v>4</v>
      </c>
      <c r="E21" s="2" t="s">
        <v>23</v>
      </c>
      <c r="F21" s="1">
        <v>2</v>
      </c>
      <c r="G21" s="1">
        <f>(480*F21)+510</f>
        <v>1470</v>
      </c>
      <c r="H21" s="14">
        <f>Summary!$B$10*'Parts to buy'!G21/Summary!$E$10</f>
        <v>3.8684210526315788</v>
      </c>
    </row>
    <row r="22" spans="1:8" ht="91.2" customHeight="1" x14ac:dyDescent="0.3">
      <c r="A22" s="23"/>
      <c r="B22" s="12" t="s">
        <v>79</v>
      </c>
      <c r="C22" s="6" t="s">
        <v>80</v>
      </c>
      <c r="D22" s="1" t="s">
        <v>20</v>
      </c>
      <c r="E22" s="3" t="s">
        <v>72</v>
      </c>
      <c r="F22" s="1">
        <f>26+4+4+2+6+2+4</f>
        <v>48</v>
      </c>
      <c r="G22" s="1">
        <f>F22*6</f>
        <v>288</v>
      </c>
      <c r="H22" s="14">
        <f>Summary!$B$10*'Parts to buy'!G22/Summary!$E$10</f>
        <v>0.75789473684210529</v>
      </c>
    </row>
    <row r="23" spans="1:8" ht="57.6" x14ac:dyDescent="0.3">
      <c r="A23" s="23"/>
      <c r="B23" s="12" t="s">
        <v>55</v>
      </c>
      <c r="C23" s="6" t="s">
        <v>81</v>
      </c>
      <c r="D23" s="2" t="s">
        <v>56</v>
      </c>
      <c r="E23" s="3" t="s">
        <v>72</v>
      </c>
      <c r="F23" s="1">
        <v>3</v>
      </c>
      <c r="G23" s="1">
        <f>116*F23</f>
        <v>348</v>
      </c>
      <c r="H23" s="14">
        <f>Summary!$B$10*'Parts to buy'!G23/Summary!$E$10</f>
        <v>0.91578947368421049</v>
      </c>
    </row>
    <row r="24" spans="1:8" x14ac:dyDescent="0.3">
      <c r="B24" s="3"/>
      <c r="C24" s="6"/>
      <c r="D24" s="1"/>
      <c r="E24" s="1"/>
      <c r="F24" s="1"/>
      <c r="G24" s="1"/>
    </row>
    <row r="25" spans="1:8" ht="21" x14ac:dyDescent="0.3">
      <c r="B25" s="1"/>
      <c r="C25" s="7"/>
      <c r="D25" s="1"/>
      <c r="E25" s="1"/>
      <c r="F25" s="17" t="s">
        <v>88</v>
      </c>
      <c r="G25" s="15">
        <f>SUM(G2:G23)</f>
        <v>27941</v>
      </c>
      <c r="H25" s="16">
        <f>SUM(H2:H23)</f>
        <v>73.528947368421058</v>
      </c>
    </row>
    <row r="26" spans="1:8" x14ac:dyDescent="0.3">
      <c r="F26" s="39" t="s">
        <v>97</v>
      </c>
    </row>
  </sheetData>
  <mergeCells count="4">
    <mergeCell ref="A2:A10"/>
    <mergeCell ref="A12:A13"/>
    <mergeCell ref="A15:A23"/>
    <mergeCell ref="D1:E1"/>
  </mergeCells>
  <hyperlinks>
    <hyperlink ref="D3" r:id="rId1" xr:uid="{CD4EEFB8-9714-4024-BDE6-7947725BA842}"/>
    <hyperlink ref="D4" r:id="rId2" xr:uid="{6122E319-BC54-412A-AC0D-24656B23B4A1}"/>
    <hyperlink ref="D5" r:id="rId3" xr:uid="{B646621F-F8CD-4B2E-A793-6968CCF592FE}"/>
    <hyperlink ref="D6" r:id="rId4" xr:uid="{79291F96-9E5D-4F31-8C44-BAD4390083EC}"/>
    <hyperlink ref="D12" r:id="rId5" xr:uid="{DA624846-888A-4B90-A136-C9D1BB70C5EC}"/>
    <hyperlink ref="D7" r:id="rId6" xr:uid="{436CB59D-C13B-4360-9813-F0C61DB94271}"/>
    <hyperlink ref="D13" r:id="rId7" xr:uid="{F29BA514-6C67-4A44-8852-ED835AA75EFC}"/>
    <hyperlink ref="D16" r:id="rId8" xr:uid="{510AD9B3-CC79-4A7E-92CD-37B282F39055}"/>
    <hyperlink ref="E21" r:id="rId9" xr:uid="{9C9458BD-D81F-4626-B462-0BFF29112B81}"/>
    <hyperlink ref="E2" r:id="rId10" xr:uid="{91EC92CB-042B-4E28-99FC-D146047EF6D5}"/>
    <hyperlink ref="E9" r:id="rId11" xr:uid="{FD6F2905-CF28-4DF2-9665-71D9D2EDF3AB}"/>
    <hyperlink ref="E8" r:id="rId12" xr:uid="{4873F704-FD1F-448F-816D-648F5206FF88}"/>
    <hyperlink ref="F25" r:id="rId13" display="Bought parts" xr:uid="{30E68C9B-BA6A-4787-B6BB-86B7D7EA421B}"/>
    <hyperlink ref="E10" r:id="rId14" xr:uid="{7B7F70EA-B7A4-493D-BA75-D1D657E16464}"/>
    <hyperlink ref="D23" r:id="rId15" xr:uid="{4AD2E9E0-FBD9-49D7-ADCC-87B74950A043}"/>
    <hyperlink ref="D2" r:id="rId16" xr:uid="{B1225074-FBFB-41DB-971D-7F2BF5E653BF}"/>
    <hyperlink ref="D8" r:id="rId17" xr:uid="{2B8F4068-5303-4CAA-A619-6950B5EBBC97}"/>
    <hyperlink ref="D9" r:id="rId18" xr:uid="{F68426C9-F6C8-438C-9506-27C451694E4B}"/>
    <hyperlink ref="D10" r:id="rId19" xr:uid="{51DAD6B3-D703-441E-90EA-5AF3B7744FA7}"/>
    <hyperlink ref="D21" r:id="rId20" xr:uid="{96A4660F-E14B-416E-9BC3-A8EBB0B378E2}"/>
  </hyperlinks>
  <pageMargins left="0.7" right="0.7" top="0.75" bottom="0.75" header="0.3" footer="0.3"/>
  <pageSetup paperSize="9" orientation="portrait" r:id="rId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62D7E-E6BD-4BF9-AEAE-A6857819FA62}">
  <dimension ref="A1:I30"/>
  <sheetViews>
    <sheetView showGridLines="0" workbookViewId="0"/>
  </sheetViews>
  <sheetFormatPr defaultRowHeight="14.4" x14ac:dyDescent="0.3"/>
  <cols>
    <col min="1" max="1" width="28.109375" customWidth="1"/>
    <col min="2" max="2" width="12.88671875" bestFit="1" customWidth="1"/>
    <col min="3" max="3" width="13.88671875" bestFit="1" customWidth="1"/>
    <col min="4" max="4" width="13.5546875" bestFit="1" customWidth="1"/>
    <col min="5" max="5" width="28.77734375" customWidth="1"/>
    <col min="6" max="6" width="15.77734375" bestFit="1" customWidth="1"/>
    <col min="7" max="8" width="14.6640625" bestFit="1" customWidth="1"/>
  </cols>
  <sheetData>
    <row r="1" spans="1:9" s="7" customFormat="1" ht="23.4" customHeight="1" x14ac:dyDescent="0.3">
      <c r="A1" s="34" t="s">
        <v>65</v>
      </c>
    </row>
    <row r="2" spans="1:9" s="7" customFormat="1" ht="23.4" customHeight="1" x14ac:dyDescent="0.3">
      <c r="A2" s="34" t="s">
        <v>64</v>
      </c>
    </row>
    <row r="3" spans="1:9" x14ac:dyDescent="0.3">
      <c r="A3" s="70" t="s">
        <v>87</v>
      </c>
      <c r="B3" s="70"/>
      <c r="C3" s="70"/>
      <c r="E3" s="70" t="s">
        <v>86</v>
      </c>
      <c r="F3" s="70"/>
      <c r="G3" s="70"/>
    </row>
    <row r="4" spans="1:9" ht="14.4" customHeight="1" x14ac:dyDescent="0.3">
      <c r="A4" s="40" t="s">
        <v>26</v>
      </c>
      <c r="B4" s="40">
        <v>72</v>
      </c>
      <c r="C4" s="40" t="s">
        <v>57</v>
      </c>
      <c r="E4" s="40" t="s">
        <v>26</v>
      </c>
      <c r="F4" s="41"/>
      <c r="G4" s="40" t="str">
        <f>Summary!B8</f>
        <v>USD</v>
      </c>
      <c r="H4" s="25" t="s">
        <v>99</v>
      </c>
      <c r="I4" s="25"/>
    </row>
    <row r="5" spans="1:9" x14ac:dyDescent="0.3">
      <c r="A5" s="40" t="s">
        <v>98</v>
      </c>
      <c r="B5" s="40">
        <v>0.126</v>
      </c>
      <c r="C5" s="40" t="s">
        <v>27</v>
      </c>
      <c r="E5" s="40" t="s">
        <v>98</v>
      </c>
      <c r="F5" s="41"/>
      <c r="G5" s="40" t="s">
        <v>27</v>
      </c>
      <c r="H5" s="25"/>
      <c r="I5" s="25"/>
    </row>
    <row r="6" spans="1:9" x14ac:dyDescent="0.3">
      <c r="A6" s="40" t="s">
        <v>58</v>
      </c>
      <c r="B6" s="40">
        <v>6262</v>
      </c>
      <c r="C6" s="40" t="s">
        <v>57</v>
      </c>
      <c r="E6" s="40" t="s">
        <v>58</v>
      </c>
      <c r="F6" s="41"/>
      <c r="G6" s="40" t="str">
        <f>Summary!B8</f>
        <v>USD</v>
      </c>
      <c r="H6" s="25"/>
      <c r="I6" s="25"/>
    </row>
    <row r="7" spans="1:9" ht="15" thickBot="1" x14ac:dyDescent="0.35"/>
    <row r="8" spans="1:9" ht="15" thickBot="1" x14ac:dyDescent="0.35">
      <c r="A8" s="55" t="s">
        <v>59</v>
      </c>
      <c r="B8" s="52" t="s">
        <v>61</v>
      </c>
      <c r="C8" s="50" t="s">
        <v>89</v>
      </c>
      <c r="D8" s="50" t="s">
        <v>90</v>
      </c>
      <c r="E8" s="50" t="s">
        <v>62</v>
      </c>
      <c r="F8" s="50" t="str">
        <f>_xlfn.CONCAT("Price/piece [",Summary!B8,"]")</f>
        <v>Price/piece [USD]</v>
      </c>
      <c r="G8" s="50" t="s">
        <v>63</v>
      </c>
      <c r="H8" s="51" t="str">
        <f>_xlfn.CONCAT("Sum price [",Summary!B8,"]")</f>
        <v>Sum price [USD]</v>
      </c>
    </row>
    <row r="9" spans="1:9" x14ac:dyDescent="0.3">
      <c r="A9" s="56" t="s">
        <v>39</v>
      </c>
      <c r="B9" s="53">
        <v>6</v>
      </c>
      <c r="C9" s="43">
        <v>7</v>
      </c>
      <c r="D9" s="43">
        <v>0.75</v>
      </c>
      <c r="E9" s="44">
        <f t="shared" ref="E9:E19" si="0">((C9*($B$5*$B$4)/60)+((D9*$B$6)/1000))</f>
        <v>5.7549000000000001</v>
      </c>
      <c r="F9" s="43">
        <f t="shared" ref="F9:F19" si="1">((C9*($F$5*$F$4)/60)+((D9*$F$6)/1000))</f>
        <v>0</v>
      </c>
      <c r="G9" s="44">
        <f t="shared" ref="G9:G19" si="2">((C9*($B$5*$B$4)/60)+((D9*$B$6)/1000))*B9</f>
        <v>34.529400000000003</v>
      </c>
      <c r="H9" s="45">
        <f t="shared" ref="H9:H19" si="3">((C9*($F$5*$F$4)/60)+((D9*$F$6)/1000))*B9</f>
        <v>0</v>
      </c>
    </row>
    <row r="10" spans="1:9" x14ac:dyDescent="0.3">
      <c r="A10" s="56" t="s">
        <v>38</v>
      </c>
      <c r="B10" s="36">
        <v>3</v>
      </c>
      <c r="C10" s="37">
        <v>62</v>
      </c>
      <c r="D10" s="37">
        <v>13.52</v>
      </c>
      <c r="E10" s="42">
        <f t="shared" si="0"/>
        <v>94.036639999999991</v>
      </c>
      <c r="F10" s="37">
        <f t="shared" si="1"/>
        <v>0</v>
      </c>
      <c r="G10" s="42">
        <f t="shared" si="2"/>
        <v>282.10991999999999</v>
      </c>
      <c r="H10" s="46">
        <f t="shared" si="3"/>
        <v>0</v>
      </c>
    </row>
    <row r="11" spans="1:9" x14ac:dyDescent="0.3">
      <c r="A11" s="56" t="s">
        <v>91</v>
      </c>
      <c r="B11" s="36">
        <v>1</v>
      </c>
      <c r="C11" s="37">
        <f>4*60+10</f>
        <v>250</v>
      </c>
      <c r="D11" s="37">
        <v>51.47</v>
      </c>
      <c r="E11" s="42">
        <f t="shared" si="0"/>
        <v>360.10514000000001</v>
      </c>
      <c r="F11" s="37">
        <f t="shared" si="1"/>
        <v>0</v>
      </c>
      <c r="G11" s="42">
        <f t="shared" si="2"/>
        <v>360.10514000000001</v>
      </c>
      <c r="H11" s="46">
        <f t="shared" si="3"/>
        <v>0</v>
      </c>
    </row>
    <row r="12" spans="1:9" x14ac:dyDescent="0.3">
      <c r="A12" s="56" t="s">
        <v>54</v>
      </c>
      <c r="B12" s="36">
        <v>2</v>
      </c>
      <c r="C12" s="37">
        <v>60</v>
      </c>
      <c r="D12" s="37">
        <v>14.77</v>
      </c>
      <c r="E12" s="42">
        <f t="shared" si="0"/>
        <v>101.56174</v>
      </c>
      <c r="F12" s="37">
        <f t="shared" si="1"/>
        <v>0</v>
      </c>
      <c r="G12" s="42">
        <f t="shared" si="2"/>
        <v>203.12348</v>
      </c>
      <c r="H12" s="46">
        <f t="shared" si="3"/>
        <v>0</v>
      </c>
    </row>
    <row r="13" spans="1:9" x14ac:dyDescent="0.3">
      <c r="A13" s="56" t="s">
        <v>93</v>
      </c>
      <c r="B13" s="36">
        <v>1</v>
      </c>
      <c r="C13" s="37">
        <v>64</v>
      </c>
      <c r="D13" s="37">
        <v>8.51</v>
      </c>
      <c r="E13" s="42">
        <f t="shared" si="0"/>
        <v>62.966419999999992</v>
      </c>
      <c r="F13" s="37">
        <f t="shared" si="1"/>
        <v>0</v>
      </c>
      <c r="G13" s="42">
        <f t="shared" si="2"/>
        <v>62.966419999999992</v>
      </c>
      <c r="H13" s="46">
        <f t="shared" si="3"/>
        <v>0</v>
      </c>
    </row>
    <row r="14" spans="1:9" x14ac:dyDescent="0.3">
      <c r="A14" s="56" t="s">
        <v>92</v>
      </c>
      <c r="B14" s="36">
        <v>1</v>
      </c>
      <c r="C14" s="37">
        <v>6</v>
      </c>
      <c r="D14" s="37">
        <v>0.61</v>
      </c>
      <c r="E14" s="42">
        <f t="shared" si="0"/>
        <v>4.7270199999999996</v>
      </c>
      <c r="F14" s="37">
        <f t="shared" si="1"/>
        <v>0</v>
      </c>
      <c r="G14" s="42">
        <f t="shared" si="2"/>
        <v>4.7270199999999996</v>
      </c>
      <c r="H14" s="46">
        <f t="shared" si="3"/>
        <v>0</v>
      </c>
    </row>
    <row r="15" spans="1:9" x14ac:dyDescent="0.3">
      <c r="A15" s="56" t="s">
        <v>60</v>
      </c>
      <c r="B15" s="36">
        <v>4</v>
      </c>
      <c r="C15" s="37">
        <f>(3*60+36)/4</f>
        <v>54</v>
      </c>
      <c r="D15" s="37">
        <f>52/4</f>
        <v>13</v>
      </c>
      <c r="E15" s="42">
        <f t="shared" si="0"/>
        <v>89.570800000000006</v>
      </c>
      <c r="F15" s="37">
        <f t="shared" si="1"/>
        <v>0</v>
      </c>
      <c r="G15" s="42">
        <f t="shared" si="2"/>
        <v>358.28320000000002</v>
      </c>
      <c r="H15" s="46">
        <f t="shared" si="3"/>
        <v>0</v>
      </c>
    </row>
    <row r="16" spans="1:9" x14ac:dyDescent="0.3">
      <c r="A16" s="56" t="s">
        <v>95</v>
      </c>
      <c r="B16" s="36">
        <v>1</v>
      </c>
      <c r="C16" s="37">
        <f>7*60+7</f>
        <v>427</v>
      </c>
      <c r="D16" s="37">
        <v>92.4</v>
      </c>
      <c r="E16" s="42">
        <f t="shared" si="0"/>
        <v>643.17120000000011</v>
      </c>
      <c r="F16" s="37">
        <f t="shared" si="1"/>
        <v>0</v>
      </c>
      <c r="G16" s="42">
        <f t="shared" si="2"/>
        <v>643.17120000000011</v>
      </c>
      <c r="H16" s="46">
        <f t="shared" si="3"/>
        <v>0</v>
      </c>
    </row>
    <row r="17" spans="1:8" x14ac:dyDescent="0.3">
      <c r="A17" s="56" t="s">
        <v>96</v>
      </c>
      <c r="B17" s="36">
        <v>1</v>
      </c>
      <c r="C17" s="37">
        <f>60+25</f>
        <v>85</v>
      </c>
      <c r="D17" s="37">
        <v>16.04</v>
      </c>
      <c r="E17" s="42">
        <f t="shared" si="0"/>
        <v>113.29447999999999</v>
      </c>
      <c r="F17" s="37">
        <f t="shared" si="1"/>
        <v>0</v>
      </c>
      <c r="G17" s="42">
        <f t="shared" si="2"/>
        <v>113.29447999999999</v>
      </c>
      <c r="H17" s="46">
        <f t="shared" si="3"/>
        <v>0</v>
      </c>
    </row>
    <row r="18" spans="1:8" x14ac:dyDescent="0.3">
      <c r="A18" s="56" t="s">
        <v>94</v>
      </c>
      <c r="B18" s="36">
        <v>1</v>
      </c>
      <c r="C18" s="37">
        <f>4*60+24</f>
        <v>264</v>
      </c>
      <c r="D18" s="37">
        <v>54.69</v>
      </c>
      <c r="E18" s="42">
        <f t="shared" si="0"/>
        <v>382.38558</v>
      </c>
      <c r="F18" s="37">
        <f t="shared" si="1"/>
        <v>0</v>
      </c>
      <c r="G18" s="42">
        <f t="shared" si="2"/>
        <v>382.38558</v>
      </c>
      <c r="H18" s="46">
        <f t="shared" si="3"/>
        <v>0</v>
      </c>
    </row>
    <row r="19" spans="1:8" ht="15" thickBot="1" x14ac:dyDescent="0.35">
      <c r="A19" s="57" t="s">
        <v>53</v>
      </c>
      <c r="B19" s="54">
        <v>1</v>
      </c>
      <c r="C19" s="47">
        <f>3*60</f>
        <v>180</v>
      </c>
      <c r="D19" s="47">
        <v>41</v>
      </c>
      <c r="E19" s="48">
        <f t="shared" si="0"/>
        <v>283.95800000000003</v>
      </c>
      <c r="F19" s="47">
        <f t="shared" si="1"/>
        <v>0</v>
      </c>
      <c r="G19" s="48">
        <f t="shared" si="2"/>
        <v>283.95800000000003</v>
      </c>
      <c r="H19" s="49">
        <f t="shared" si="3"/>
        <v>0</v>
      </c>
    </row>
    <row r="20" spans="1:8" ht="18" x14ac:dyDescent="0.3">
      <c r="B20" s="1"/>
      <c r="C20" s="1"/>
      <c r="F20" s="18" t="s">
        <v>40</v>
      </c>
      <c r="G20" s="19">
        <f>SUM(G9:G19)</f>
        <v>2728.6538400000004</v>
      </c>
      <c r="H20" s="20">
        <f>SUM(H9:H19)</f>
        <v>0</v>
      </c>
    </row>
    <row r="21" spans="1:8" x14ac:dyDescent="0.3">
      <c r="B21" s="1"/>
      <c r="C21" s="1"/>
      <c r="D21" s="1"/>
      <c r="E21" s="1"/>
      <c r="F21" s="1"/>
      <c r="G21" s="1"/>
    </row>
    <row r="22" spans="1:8" x14ac:dyDescent="0.3">
      <c r="B22" s="1"/>
      <c r="C22" s="1"/>
      <c r="D22" s="1"/>
      <c r="E22" s="1"/>
      <c r="F22" s="1"/>
      <c r="G22" s="1"/>
    </row>
    <row r="23" spans="1:8" x14ac:dyDescent="0.3">
      <c r="B23" s="1"/>
      <c r="C23" s="1"/>
      <c r="D23" s="1"/>
      <c r="E23" s="1"/>
      <c r="F23" s="1"/>
      <c r="G23" s="1"/>
    </row>
    <row r="24" spans="1:8" x14ac:dyDescent="0.3">
      <c r="B24" s="1"/>
      <c r="C24" s="1"/>
      <c r="D24" s="1"/>
      <c r="E24" s="1"/>
      <c r="F24" s="1"/>
      <c r="G24" s="1"/>
    </row>
    <row r="25" spans="1:8" x14ac:dyDescent="0.3">
      <c r="B25" s="1"/>
      <c r="C25" s="1"/>
      <c r="D25" s="1"/>
      <c r="E25" s="1"/>
      <c r="F25" s="1"/>
      <c r="G25" s="1"/>
    </row>
    <row r="26" spans="1:8" x14ac:dyDescent="0.3">
      <c r="B26" s="1"/>
      <c r="C26" s="1"/>
      <c r="D26" s="1"/>
      <c r="E26" s="1"/>
      <c r="F26" s="1"/>
      <c r="G26" s="1"/>
    </row>
    <row r="27" spans="1:8" x14ac:dyDescent="0.3">
      <c r="B27" s="1"/>
      <c r="C27" s="1"/>
      <c r="D27" s="1"/>
      <c r="E27" s="1"/>
      <c r="F27" s="1"/>
      <c r="G27" s="1"/>
    </row>
    <row r="28" spans="1:8" x14ac:dyDescent="0.3">
      <c r="B28" s="1"/>
      <c r="C28" s="1"/>
      <c r="D28" s="1"/>
      <c r="E28" s="1"/>
      <c r="F28" s="1"/>
      <c r="G28" s="1"/>
    </row>
    <row r="29" spans="1:8" x14ac:dyDescent="0.3">
      <c r="B29" s="1"/>
      <c r="C29" s="1"/>
      <c r="D29" s="1"/>
      <c r="E29" s="1"/>
      <c r="F29" s="1"/>
      <c r="G29" s="1"/>
    </row>
    <row r="30" spans="1:8" x14ac:dyDescent="0.3">
      <c r="B30" s="1"/>
      <c r="C30" s="1"/>
      <c r="D30" s="1"/>
      <c r="E30" s="1"/>
      <c r="F30" s="1"/>
      <c r="G30" s="1"/>
    </row>
  </sheetData>
  <sortState xmlns:xlrd2="http://schemas.microsoft.com/office/spreadsheetml/2017/richdata2" ref="A9:H19">
    <sortCondition ref="A9:A19"/>
  </sortState>
  <mergeCells count="3">
    <mergeCell ref="H4:I6"/>
    <mergeCell ref="A3:C3"/>
    <mergeCell ref="E3:G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Parts to buy</vt:lpstr>
      <vt:lpstr>Printed 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Geza Orgovan</cp:lastModifiedBy>
  <dcterms:created xsi:type="dcterms:W3CDTF">2022-11-03T17:04:28Z</dcterms:created>
  <dcterms:modified xsi:type="dcterms:W3CDTF">2023-01-04T10:54:07Z</dcterms:modified>
</cp:coreProperties>
</file>