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Uwamahoro consolee" sheetId="2" r:id="rId5"/>
    <sheet state="visible" name="Nezerwa Alice_CLOSED" sheetId="3" r:id="rId6"/>
    <sheet state="visible" name="Nezerwa Alice2CLOSED 31_5_24" sheetId="4" r:id="rId7"/>
    <sheet state="visible" name="Nezerwa Alice 3CLOSED" sheetId="5" r:id="rId8"/>
    <sheet state="visible" name="Nezerwa Alice L4" sheetId="6" r:id="rId9"/>
    <sheet state="visible" name="MUKANKUBANA Priscille_CLOSED" sheetId="7" r:id="rId10"/>
    <sheet state="visible" name="MUKANKUBANA Priscille2_CLOSED" sheetId="8" r:id="rId11"/>
    <sheet state="visible" name="MUKANKUBANA Priscille_3 CLOSED" sheetId="9" r:id="rId12"/>
    <sheet state="visible" name="MUKANKUBANA Priscille_L4" sheetId="10" r:id="rId13"/>
    <sheet state="visible" name="VESTINE_Francoise_CLOSED" sheetId="11" r:id="rId14"/>
    <sheet state="visible" name="VESTINE_Francoise2 _ CLOSED" sheetId="12" r:id="rId15"/>
    <sheet state="visible" name="VESTINE_Francoise L3" sheetId="13" r:id="rId16"/>
    <sheet state="visible" name="Mujawase EpiphanieCLOSED" sheetId="14" r:id="rId17"/>
    <sheet state="visible" name="UWIMANA Nadine L2" sheetId="15" r:id="rId18"/>
    <sheet state="visible" name=" Mujawase Epiphanie L2" sheetId="16" r:id="rId19"/>
    <sheet state="visible" name="Nyirarukundo Mwamini CLOSED" sheetId="17" r:id="rId20"/>
    <sheet state="visible" name="Nyirarukundo MwaminiL2" sheetId="18" r:id="rId21"/>
    <sheet state="visible" name="UWIMANA NadineCLOSED" sheetId="19" r:id="rId22"/>
    <sheet state="visible" name="Mukansanga Josephine_CLOSED" sheetId="20" r:id="rId23"/>
    <sheet state="visible" name="UWABABYEYI Aline_CLOSED" sheetId="21" r:id="rId24"/>
    <sheet state="visible" name="UWABABYEYI ALINE L2" sheetId="22" r:id="rId25"/>
    <sheet state="visible" name="UWIRAGIYE Jeanine_L1 _CLOSED" sheetId="23" r:id="rId26"/>
    <sheet state="visible" name="UWIRAGIYE Jeanine_L2" sheetId="24" r:id="rId27"/>
    <sheet state="visible" name="Uwamahoro Francine" sheetId="25" r:id="rId28"/>
    <sheet state="visible" name="Mukarurangwa Odiria" sheetId="26" r:id="rId29"/>
    <sheet state="visible" name="Francoise1_CLOSED" sheetId="27" r:id="rId30"/>
    <sheet state="visible" name=" Francoise1 L2" sheetId="28" r:id="rId31"/>
    <sheet state="visible" name="Francoise2" sheetId="29" r:id="rId32"/>
    <sheet state="visible" name="Francoise3" sheetId="30" r:id="rId33"/>
    <sheet state="visible" name="sonia 1_ CLOSED " sheetId="31" r:id="rId34"/>
    <sheet state="visible" name="sonia2 _ CLOSED" sheetId="32" r:id="rId35"/>
    <sheet state="visible" name="Sonia 1.2CLOSED" sheetId="33" r:id="rId36"/>
    <sheet state="visible" name="Sonia2.2. CLOSED" sheetId="34" r:id="rId37"/>
    <sheet state="visible" name="Sonia 1.3 CLOSED" sheetId="35" r:id="rId38"/>
    <sheet state="visible" name="Sonia 1.4" sheetId="36" r:id="rId39"/>
    <sheet state="visible" name="Sonia 2.4" sheetId="37" r:id="rId40"/>
    <sheet state="visible" name="Sonia2.3CLOSED" sheetId="38" r:id="rId41"/>
    <sheet state="visible" name="Solange1CLOSED" sheetId="39" r:id="rId42"/>
    <sheet state="visible" name="Solange2CLOSED" sheetId="40" r:id="rId43"/>
    <sheet state="visible" name="Solange1 L2_CLOSED" sheetId="41" r:id="rId44"/>
    <sheet state="visible" name="Solange1 L3" sheetId="42" r:id="rId45"/>
    <sheet state="visible" name="Solange2 L3" sheetId="43" r:id="rId46"/>
    <sheet state="visible" name="Solange2 L2_CLOSED" sheetId="44" r:id="rId47"/>
    <sheet state="visible" name="MUKANSANGA JosephineL4" sheetId="45" r:id="rId48"/>
    <sheet state="visible" name="Mukansanga Josephine2CLOSED" sheetId="46" r:id="rId49"/>
    <sheet state="visible" name="Mushimiyimana Mombi _L2" sheetId="47" r:id="rId50"/>
    <sheet state="visible" name="Ntamitondero Jean Bosco" sheetId="48" r:id="rId51"/>
  </sheets>
  <definedNames>
    <definedName hidden="1" localSheetId="0" name="_xlnm._FilterDatabase">summary!$A$1:$M$53</definedName>
  </definedNames>
  <calcPr/>
  <extLst>
    <ext uri="GoogleSheetsCustomDataVersion2">
      <go:sheetsCustomData xmlns:go="http://customooxmlschemas.google.com/" r:id="rId52" roundtripDataChecksum="ibcH2DYFyj1Ld6Iv0QQxiMjz8Q4nJn5KuP5Lya31m/0="/>
    </ext>
  </extLst>
</workbook>
</file>

<file path=xl/sharedStrings.xml><?xml version="1.0" encoding="utf-8"?>
<sst xmlns="http://schemas.openxmlformats.org/spreadsheetml/2006/main" count="1087" uniqueCount="432">
  <si>
    <t>o</t>
  </si>
  <si>
    <t>AMAZINA</t>
  </si>
  <si>
    <t>INYUNGU ZINJIYE</t>
  </si>
  <si>
    <t>Inguzanyo isigaye</t>
  </si>
  <si>
    <t>Observations</t>
  </si>
  <si>
    <t>Amatariki yo kwishyura</t>
  </si>
  <si>
    <t>Inyungu(80%)</t>
  </si>
  <si>
    <t>Inyungu 10%</t>
  </si>
  <si>
    <t>Inyungu 5%</t>
  </si>
  <si>
    <t>inyungu buri wese agejejemo/6/2024</t>
  </si>
  <si>
    <t>ibihano</t>
  </si>
  <si>
    <t>UWAMAHORO CONSOLEE</t>
  </si>
  <si>
    <t>yishyuye</t>
  </si>
  <si>
    <t>paid 1/8/2024</t>
  </si>
  <si>
    <t>VESTINE _Wishingiwe na Francoise_L1</t>
  </si>
  <si>
    <t>CLOSED</t>
  </si>
  <si>
    <t>MUJAWASE EPIPHANIE</t>
  </si>
  <si>
    <t>YISHYURISHIJE TOP UP ARANGIZA INGUZANYO</t>
  </si>
  <si>
    <t xml:space="preserve">paid </t>
  </si>
  <si>
    <t>NYIRARUKUNDO MWAMINI</t>
  </si>
  <si>
    <t>Principale yari isigaye yakuwe munguzanyo asabye Top up</t>
  </si>
  <si>
    <t>MUKANSANGA JOSEPHINE_L1</t>
  </si>
  <si>
    <t>UWABABYEYI ALINE</t>
  </si>
  <si>
    <t>NEZERWA ALICE_L1</t>
  </si>
  <si>
    <t>FRANCOISE1</t>
  </si>
  <si>
    <t>FRANCOISE2</t>
  </si>
  <si>
    <t>yishyuye 2/11/2024</t>
  </si>
  <si>
    <t>FRANCOISE 3</t>
  </si>
  <si>
    <t>MUKESHIMANA SOLANGE1</t>
  </si>
  <si>
    <t>MUKESHIMANA SOLANGE2</t>
  </si>
  <si>
    <t>UWIRAGIYE JANINE_L2</t>
  </si>
  <si>
    <t>UWAYISENGA SONIA1_L1</t>
  </si>
  <si>
    <t>UWAYISENGA SONIA2_L1</t>
  </si>
  <si>
    <t>UWAMAHORO FRANCINE</t>
  </si>
  <si>
    <t>yishyuye mbere ageze mu kwezi kwa 3/2025</t>
  </si>
  <si>
    <t>paid on 31/7/2024</t>
  </si>
  <si>
    <t>MUKANKUBANA PRISCILLE_L1</t>
  </si>
  <si>
    <t>MUKANSANGA JOSEPHINE_L2</t>
  </si>
  <si>
    <t>NEZERWA ALICE _L2</t>
  </si>
  <si>
    <t>VESTINE _Wishingiwe na Francoise_L2</t>
  </si>
  <si>
    <t>Yasoje asaba indi nguzanyo 8/7/2024</t>
  </si>
  <si>
    <t>MUKANKUBANA PRISCILLE _L2</t>
  </si>
  <si>
    <t>MUKARURANGWA Odiriya</t>
  </si>
  <si>
    <t>Itariki yo kwishyura ntiragera</t>
  </si>
  <si>
    <t>17/11/2024</t>
  </si>
  <si>
    <t>MUSHIMIYIMANA Maombi</t>
  </si>
  <si>
    <t>Nta bordereau ukwezi kwa 5. Yishyurishije Top up asaba indi nguzanyo 25/7/2024</t>
  </si>
  <si>
    <t>UWAYISENGA SONIA1.2_L2</t>
  </si>
  <si>
    <t>Yishyuye inguzanyo yose akoresheje Top up 14/8/2024</t>
  </si>
  <si>
    <t>paid</t>
  </si>
  <si>
    <t>UWAYISENGA SONIA2.2_L2</t>
  </si>
  <si>
    <t>Yishyuye inguzanyo yose akoresheje Top up 14/8/2025</t>
  </si>
  <si>
    <t>NEZERWA ALICE _L3</t>
  </si>
  <si>
    <t>Yishyuye ukwezi kwa 6/2024 akererewe  atanga amande y'ubukererwe. Inguzanyo yayishyuye asaba top up(30/7/2024)</t>
  </si>
  <si>
    <t>paid 30/7/2024 agiye gusaba top up</t>
  </si>
  <si>
    <t>MUKANKUBANA PRISCILLE _L3</t>
  </si>
  <si>
    <t>yishyurirshije top up 20/9/2024</t>
  </si>
  <si>
    <t>Mukeshimana Solange _L2 _CLOSED</t>
  </si>
  <si>
    <t>yishyuriye INGUZANYO YOSE ASABA TOP UP 20/8/2024</t>
  </si>
  <si>
    <t>yishyuye mbere kugeza mu kwezi kwa 5/8/2025</t>
  </si>
  <si>
    <t>20/11/2024</t>
  </si>
  <si>
    <t>VESTINE _Wishingiwe na Francoise_L3</t>
  </si>
  <si>
    <t>buri cyumweru</t>
  </si>
  <si>
    <t>paid on 16/8/2024, paid on 30/8/2024, paid on 18/10/2024</t>
  </si>
  <si>
    <t>UWIMANA Nadine</t>
  </si>
  <si>
    <t>OK</t>
  </si>
  <si>
    <t>yishyuye  amande 29/10/2024 angana na 2,900</t>
  </si>
  <si>
    <t>22/11/2024</t>
  </si>
  <si>
    <t>paid hasigara 200F</t>
  </si>
  <si>
    <t>NEZERWA ALICE _L4</t>
  </si>
  <si>
    <t>yakererewe kwishyura ukwa 10/2024 azashyiraho amande</t>
  </si>
  <si>
    <t>30/11/2024</t>
  </si>
  <si>
    <t>MUSHIMIYIMANA Maombi L2</t>
  </si>
  <si>
    <t>yarakererewe ukwezi kwa10/2024 ashyiraho amande</t>
  </si>
  <si>
    <t>25/11/2024</t>
  </si>
  <si>
    <t>amande yo gukererwa yishyuye 21/10/2024</t>
  </si>
  <si>
    <t>UWAYISENGA SONIA1.3_L3</t>
  </si>
  <si>
    <t>UWAYISENGA SONIA2.3_L3</t>
  </si>
  <si>
    <t>Mukeshimana Solange 1_L3</t>
  </si>
  <si>
    <t>Ntiyishyuye kuko yakoze accident</t>
  </si>
  <si>
    <t>Mukeshimana Solange 2_L3</t>
  </si>
  <si>
    <t>Yarakererewe ukwezi kwa10/2024 azashyiraho amande</t>
  </si>
  <si>
    <t>yishyuye amande y'ubukererwe 22/10/2024</t>
  </si>
  <si>
    <t>MUKANSANGA Josephine</t>
  </si>
  <si>
    <t>19/11/2024</t>
  </si>
  <si>
    <t>MUKANKUBANA Priscille</t>
  </si>
  <si>
    <t>UWAYISENGA SONIA1.3_L4</t>
  </si>
  <si>
    <t>26/11/2024</t>
  </si>
  <si>
    <t>UWAYISENGA SONIA2.3_L4</t>
  </si>
  <si>
    <t>26/12/2024</t>
  </si>
  <si>
    <t>Francoise 1_L2</t>
  </si>
  <si>
    <t>NTAMITONDERO Jean Bosco_wishingiwe _Priscille</t>
  </si>
  <si>
    <t>TOTAL</t>
  </si>
  <si>
    <t>Ibihano byongerwa ku F yazigamiwe Itsinda</t>
  </si>
  <si>
    <t>Buri munyamuryango kuri saving y'umunsi</t>
  </si>
  <si>
    <t>ITARIKI Y'INGUZANYO: 17/12/2023</t>
  </si>
  <si>
    <t>ITARIKI YO GUTANGIRA KWISHYURA INGUZANYO: 1/2/2024</t>
  </si>
  <si>
    <t>AMAFARANGA YAGURIJWE: 500,000Frw</t>
  </si>
  <si>
    <t>INYUNGU: 120,000Frw</t>
  </si>
  <si>
    <t>IGIHE CYO KWISHYURA: AMEZI 12</t>
  </si>
  <si>
    <t>Itariki</t>
  </si>
  <si>
    <t>Inguzanyo (principale) (1)</t>
  </si>
  <si>
    <t>Inyungu 2% (2)</t>
  </si>
  <si>
    <t>Ubwishyu bw’ukwezi (3= (1)+(2)</t>
  </si>
  <si>
    <t>Inguzanyo  isigaye    (A- (3)</t>
  </si>
  <si>
    <t>Icyagaragaye (observation)</t>
  </si>
  <si>
    <t>Inyungu zinjiye</t>
  </si>
  <si>
    <t>Principale yinjiye</t>
  </si>
  <si>
    <t>ok</t>
  </si>
  <si>
    <t>F asigayemo</t>
  </si>
  <si>
    <t>ITARIKI Y'INGUZANYO: 24/1/2024</t>
  </si>
  <si>
    <t>ITARIKI YO GUTANGIRA KWISHYURA INGUZANYO: 24/2/2024</t>
  </si>
  <si>
    <t>AMAFARANGA YAGURIJWE:500,000Frw</t>
  </si>
  <si>
    <t>INYUNGU: 48,000Frw</t>
  </si>
  <si>
    <t>IGIHE CYO KWISHYURA: AMEZI 3</t>
  </si>
  <si>
    <t>Inguzanyo isigaye (A- (3)</t>
  </si>
  <si>
    <t>Ibihano</t>
  </si>
  <si>
    <t>24/2/2024</t>
  </si>
  <si>
    <t>azishyura ibihano byo gukererwa</t>
  </si>
  <si>
    <t>24/3/2024</t>
  </si>
  <si>
    <t>24/4/2024</t>
  </si>
  <si>
    <t>-</t>
  </si>
  <si>
    <t>ITARIKI Y'INGUZANYO: 30/3/2024</t>
  </si>
  <si>
    <t>30/4/2024</t>
  </si>
  <si>
    <t>30/5/2024</t>
  </si>
  <si>
    <t>31/5/2024</t>
  </si>
  <si>
    <t>agiye gusaba top up 31/5/2024, turabanaza dukuremo asigaye.</t>
  </si>
  <si>
    <t>ITARIKI Y'INGUZANYO: 31/5/2024</t>
  </si>
  <si>
    <t>ITARIKI YO GUTANGIRA KWISHYURA INGUZANYO: 31/7/2024</t>
  </si>
  <si>
    <t>AMAFARANGA YAGURIJWE:555,000Frw</t>
  </si>
  <si>
    <t>INYUNGU: 33,000Frw</t>
  </si>
  <si>
    <t>31/7/2024</t>
  </si>
  <si>
    <t>31/8/2024</t>
  </si>
  <si>
    <t>30/9/2024</t>
  </si>
  <si>
    <t>Ytanze ibihano byo gukerwa kwishyurwa inguzanyo ukwezi kwa 7/2024</t>
  </si>
  <si>
    <t>ITARIKI Y'INGUZANYO: 30/7/2024</t>
  </si>
  <si>
    <t>ITARIKI YO GUTANGIRA KWISHYURA INGUZANYO: 30/8/2024</t>
  </si>
  <si>
    <t>AMAFARANGA YAGURIJWE:656,000Frw</t>
  </si>
  <si>
    <t>INYUNGU: 314,8800Frw</t>
  </si>
  <si>
    <t>IGIHE CYO KWISHYURA: AMEZI 24</t>
  </si>
  <si>
    <t>Inyungu</t>
  </si>
  <si>
    <t xml:space="preserve">Ibihano </t>
  </si>
  <si>
    <t>30/8/2024</t>
  </si>
  <si>
    <t>inyungu zo gukererwa azishyura</t>
  </si>
  <si>
    <t>30/10/2024</t>
  </si>
  <si>
    <t>30/12/2024</t>
  </si>
  <si>
    <t>30/1/2025</t>
  </si>
  <si>
    <t>30/2/2025</t>
  </si>
  <si>
    <t>30/3/2025</t>
  </si>
  <si>
    <t>30/4/2025</t>
  </si>
  <si>
    <t>30/5/2025</t>
  </si>
  <si>
    <t>30/6/2025</t>
  </si>
  <si>
    <t>30/7/2025</t>
  </si>
  <si>
    <t>30/8/2025</t>
  </si>
  <si>
    <t>30/9/2025</t>
  </si>
  <si>
    <t>30/10/2025</t>
  </si>
  <si>
    <t>30/11/2025</t>
  </si>
  <si>
    <t>30/12/2025</t>
  </si>
  <si>
    <t>30/1/2026</t>
  </si>
  <si>
    <t>30/2/2026</t>
  </si>
  <si>
    <t>30/3/2026</t>
  </si>
  <si>
    <t>30/4/2026</t>
  </si>
  <si>
    <t>30/5/2026</t>
  </si>
  <si>
    <t>30/6/2026</t>
  </si>
  <si>
    <t>30/7/2026</t>
  </si>
  <si>
    <t>IGITERANYO</t>
  </si>
  <si>
    <t>ITARIKI Y'INGUZANYO: ..........................</t>
  </si>
  <si>
    <t>ITARIKI YO GUTANGIRA KWISHYURA INGUZANYO: .....................</t>
  </si>
  <si>
    <t>INYUNGU: 10,000Frw</t>
  </si>
  <si>
    <t>IGIHE CYO KWISHYURA: AMEZI 2</t>
  </si>
  <si>
    <t>ITARIKI YO GUTANGIRA KWISHYURA INGUZANYO: 30/4/2024</t>
  </si>
  <si>
    <t>REST 500</t>
  </si>
  <si>
    <t>ITARIKI Y'INGUZANYO: 3/6/2024</t>
  </si>
  <si>
    <t>ITARIKI YO GUTANGIRA KWISHYURA INGUZANYO: 3/6/2024</t>
  </si>
  <si>
    <t>haraburaho 500</t>
  </si>
  <si>
    <t>ITARIKI Y'INGUZANYO: 20/9/2024</t>
  </si>
  <si>
    <t>ITARIKI YO GUTANGIRA KWISHYURA INGUZANYO: 20/9/2024</t>
  </si>
  <si>
    <t>IGIHE CYO KWISHYURA: AMEZI 5</t>
  </si>
  <si>
    <t>20/10/2024</t>
  </si>
  <si>
    <t>yarakererewe</t>
  </si>
  <si>
    <t>20/12/2024</t>
  </si>
  <si>
    <t>20/1/2025</t>
  </si>
  <si>
    <t>20/2/2025</t>
  </si>
  <si>
    <t>ITARIKI Y'INGUZANYO: 03/1/2024</t>
  </si>
  <si>
    <t>ITARIKI YO GUTANGIRA KWISHYURA INGUZANYO: 18/1/2024</t>
  </si>
  <si>
    <t>IGIHE CYO KWISHYURA: IBYUMWERU 12</t>
  </si>
  <si>
    <t>18/1/2024</t>
  </si>
  <si>
    <t>Paid on time</t>
  </si>
  <si>
    <t>25/1/2024</t>
  </si>
  <si>
    <t>paid late</t>
  </si>
  <si>
    <t>15/2/2024</t>
  </si>
  <si>
    <t>22/2/2024</t>
  </si>
  <si>
    <t>29/2/2024</t>
  </si>
  <si>
    <t>14/3/2024</t>
  </si>
  <si>
    <t>21/3/2024</t>
  </si>
  <si>
    <t>28/3/2024</t>
  </si>
  <si>
    <t>inyungu z'ubukererwe</t>
  </si>
  <si>
    <t>ITARIKI Y'INGUZANYO: 05/4/2024</t>
  </si>
  <si>
    <t>ITARIKI YO GUTANGIRA KWISHYURA INGUZANYO: 19/4/2024</t>
  </si>
  <si>
    <t>INYUNGU: 75,000Frw</t>
  </si>
  <si>
    <t>19/4/2024</t>
  </si>
  <si>
    <t>Kuzareba kuri historique for confirmation KUKO NTA BORDEREAU BAMUHAYE</t>
  </si>
  <si>
    <t>26/4/2024</t>
  </si>
  <si>
    <t>17/5/2024</t>
  </si>
  <si>
    <t>yarakererewe azashyiraho ibihano</t>
  </si>
  <si>
    <t>24/5/2024</t>
  </si>
  <si>
    <t>14/6/2024</t>
  </si>
  <si>
    <t>21/6/2024</t>
  </si>
  <si>
    <t>28/6/2024</t>
  </si>
  <si>
    <t>ITARIKI Y'INGUZANYO: 8/7/2024</t>
  </si>
  <si>
    <t>ITARIKI YO GUTANGIRA KWISHYURA INGUZANYO: 19/7/2024</t>
  </si>
  <si>
    <t>INYUNGU: 125,000Frw</t>
  </si>
  <si>
    <t>ibihano by'ubukererwe</t>
  </si>
  <si>
    <t>19/7/2024</t>
  </si>
  <si>
    <t>26/7/2024</t>
  </si>
  <si>
    <t>16/8/2024</t>
  </si>
  <si>
    <t>23/8/2024</t>
  </si>
  <si>
    <t>kureba kuri historique ko yishyuye koko</t>
  </si>
  <si>
    <t>13/9/2024</t>
  </si>
  <si>
    <t>yarakererewe yishyura 1,800 cy'ibihano</t>
  </si>
  <si>
    <t>20/9/2024</t>
  </si>
  <si>
    <t>27/9/2024</t>
  </si>
  <si>
    <t>18/10/2024</t>
  </si>
  <si>
    <t>25/10/2024</t>
  </si>
  <si>
    <t>15/11/2024</t>
  </si>
  <si>
    <t>29/11/2024</t>
  </si>
  <si>
    <t>Inguzanyo  isigaye     (A- (3)</t>
  </si>
  <si>
    <t>YARISHYUYE ASABA TOP UP 4/9/2024</t>
  </si>
  <si>
    <t>ITARIKI Y'INGUZANYO: 19/9/2024</t>
  </si>
  <si>
    <t>ITARIKI YO GUTANGIRA KWISHYURA INGUZANYO: 9/10/2024</t>
  </si>
  <si>
    <t>INYUNGU: 240,000Frw</t>
  </si>
  <si>
    <t>Inguzanyo  isigaye (A- (3)</t>
  </si>
  <si>
    <t>19/10/2024</t>
  </si>
  <si>
    <t>ITARIKI Y'INGUZANYO: 4/9/2024</t>
  </si>
  <si>
    <t>ITARIKI YO GUTANGIRA KWISHYURA INGUZANYO: 4/10/2024</t>
  </si>
  <si>
    <t>yishyuye akererewe  22/10/2024 ashyiraho amande ya 2,100</t>
  </si>
  <si>
    <t>AMAFARANGA YAGURIJWE: 850,000Frw</t>
  </si>
  <si>
    <t>INYUNGU: 417,600Frw</t>
  </si>
  <si>
    <t>if paid</t>
  </si>
  <si>
    <t>yishyuye principale kuko yaragiye gusaba top up</t>
  </si>
  <si>
    <t>NYIRARUKUNDO MWAMINI_L2</t>
  </si>
  <si>
    <t>ITARIKI Y'INGUZANYO: 22/7/2024</t>
  </si>
  <si>
    <t>ITARIKI YO GUTANGIRA KWISHYURA INGUZANYO: 22/8/2024</t>
  </si>
  <si>
    <t>AMAFARANGA YAGURIJWE: 870,000Frw</t>
  </si>
  <si>
    <t>22/8/2024</t>
  </si>
  <si>
    <t>22/9/2024</t>
  </si>
  <si>
    <t>YISHYUYE IBIHANO 2,500 BY'AMANDE YO GUKERERWA</t>
  </si>
  <si>
    <t>22/10/2024</t>
  </si>
  <si>
    <t>yarakererewe  29/10/2024yashyizeho amande yo gukererwa= 2,900</t>
  </si>
  <si>
    <t>22/12/2024</t>
  </si>
  <si>
    <t>22/1/2025</t>
  </si>
  <si>
    <t>22/2/2025</t>
  </si>
  <si>
    <t>22/3/2025</t>
  </si>
  <si>
    <t>22/4/2025</t>
  </si>
  <si>
    <t>22/5/2025</t>
  </si>
  <si>
    <t>22/6/2025</t>
  </si>
  <si>
    <t>22/7/2025</t>
  </si>
  <si>
    <t>22/8/2025</t>
  </si>
  <si>
    <t>22/9/2025</t>
  </si>
  <si>
    <t>22/10/2025</t>
  </si>
  <si>
    <t>22/11/2025</t>
  </si>
  <si>
    <t>22/12/2025</t>
  </si>
  <si>
    <t>22/1/2026</t>
  </si>
  <si>
    <t>22/2/2026</t>
  </si>
  <si>
    <t>22/3/2026</t>
  </si>
  <si>
    <t>22/4/2026</t>
  </si>
  <si>
    <t>22/5/2026</t>
  </si>
  <si>
    <t>22/6/2026</t>
  </si>
  <si>
    <t>22/7/2026</t>
  </si>
  <si>
    <t>ITARIKI YO GUTANGIRA KWISHYURA INGUZANYO: 8/8/2024</t>
  </si>
  <si>
    <t>AMAFARANGA YAGURIJWE: 550,000Frw</t>
  </si>
  <si>
    <t>8/9/0208</t>
  </si>
  <si>
    <t>yarishyuye le 4/9/2024</t>
  </si>
  <si>
    <t>AMAFARANGA YAGURIJWE:400,000Frw</t>
  </si>
  <si>
    <t>IGIHE CYO KWISHYURA: AMEZI 6</t>
  </si>
  <si>
    <t>yishyurirye ku gihe</t>
  </si>
  <si>
    <t>ITARIKI Y'INGUZANYO: 2/1/2024</t>
  </si>
  <si>
    <t>AMAFARANGA YAGURIJWE:100,000Frw</t>
  </si>
  <si>
    <t>INYUNGU: 12,000Frw</t>
  </si>
  <si>
    <t>Ibihano byo gukererwa</t>
  </si>
  <si>
    <t>yishyurishije indi nguzanyo yafashe 20/6/2024</t>
  </si>
  <si>
    <t>UWABABYEYI ALINE_L2</t>
  </si>
  <si>
    <t>ITARIKI Y'INGUZANYO: 20/6/2024</t>
  </si>
  <si>
    <t>ITARIKI YO GUTANGIRA KWISHYURA INGUZANYO: 20/7/2024</t>
  </si>
  <si>
    <t>AMAFARANGA YAGURIJWE: 646,000Frw</t>
  </si>
  <si>
    <t>INYUNGU: 155,040Frw</t>
  </si>
  <si>
    <t>20/7/2024</t>
  </si>
  <si>
    <t>20/8/2024</t>
  </si>
  <si>
    <t>20/3/2025</t>
  </si>
  <si>
    <t>20/4/2025</t>
  </si>
  <si>
    <t>20/5/2025</t>
  </si>
  <si>
    <t>20/6/2025</t>
  </si>
  <si>
    <t>14/2/2024</t>
  </si>
  <si>
    <t>Yongeyeho ibihano byo guhindura itariki from 14-30</t>
  </si>
  <si>
    <t>30/3/2024</t>
  </si>
  <si>
    <t>30/6/2024</t>
  </si>
  <si>
    <t>30/7/2024</t>
  </si>
  <si>
    <t>UWIRAGIYE JEANINE _L2</t>
  </si>
  <si>
    <t>IGIHE CYO KWISHYURA:AMEZI 24</t>
  </si>
  <si>
    <t>yishyuriye ku gihe</t>
  </si>
  <si>
    <t>Yishyuye kuri 3/5/2024 kubera ikibazo cya network</t>
  </si>
  <si>
    <t>yishyuye 24/5/2024</t>
  </si>
  <si>
    <t>yishyuye ku itariki ya 1/11/2024</t>
  </si>
  <si>
    <t>MUKARURUANGWA ODIRIA</t>
  </si>
  <si>
    <t>ITARIKI Y'INGUZANYO: 17/3/2024</t>
  </si>
  <si>
    <t>ITARIKI YO GUTANGIRA KWISHYURA INGUZANYO: 17/4/2024</t>
  </si>
  <si>
    <t>17/4/2024</t>
  </si>
  <si>
    <t>17/6/2024</t>
  </si>
  <si>
    <t>17/7/2024</t>
  </si>
  <si>
    <t>17/8/20241</t>
  </si>
  <si>
    <t>17/9/2024</t>
  </si>
  <si>
    <t>17/10/2024</t>
  </si>
  <si>
    <t>17/12/2024</t>
  </si>
  <si>
    <t>17/13/2024</t>
  </si>
  <si>
    <t>17/14/2024</t>
  </si>
  <si>
    <t>17/15/2024</t>
  </si>
  <si>
    <t>NSHIMIRIMANA JEANNE FRANCOISE 1</t>
  </si>
  <si>
    <t>ITARIKI YO GUTANGIRA KWISHYURA INGUZANYO: 2/2/2024</t>
  </si>
  <si>
    <t>INYUNGU: 480,000Frw</t>
  </si>
  <si>
    <t>nishyurishije top up le 2/11/2024</t>
  </si>
  <si>
    <t>ITARIKI Y'INGUZANYO: 2/11/2024</t>
  </si>
  <si>
    <t>ITARIKI YO GUTANGIRA KWISHYURA INGUZANYO: 2/12/2024</t>
  </si>
  <si>
    <t>AMAFARANGA YAGURIJWE: 1,000,000Frw</t>
  </si>
  <si>
    <t>IGIHE CYO KWISHYURA:AMEI 24</t>
  </si>
  <si>
    <t>Inguzanyo  isigaye                             (A- (3)</t>
  </si>
  <si>
    <t>NSHIMIRIMANA JEANNE FRANCOISE 2</t>
  </si>
  <si>
    <t>NSHIMIRIMANA JEANNE FRANCOISE 3</t>
  </si>
  <si>
    <t>F ASIGAYE</t>
  </si>
  <si>
    <t>UWAYISENGA SONIA1 (INGUZANYO YA 1)</t>
  </si>
  <si>
    <t>IGIHE CYO KWISHYURA:AMEI 12</t>
  </si>
  <si>
    <t>yishyuriye ku gihe 75k</t>
  </si>
  <si>
    <t>UWAYISENGA SONIA2 (INGUZANYO YA 1)</t>
  </si>
  <si>
    <t>ITARIKI Y'INGUZANYO: 3/5/2024</t>
  </si>
  <si>
    <t>AMAFARANGA YAGURIJWE: 482,500Frw</t>
  </si>
  <si>
    <t>INYUNGU: 167550Frw</t>
  </si>
  <si>
    <t>UWAYISENGA SONIA1 (INGUZANYO YA 2)</t>
  </si>
  <si>
    <t>IGIHE CYO KWISHYURA:AMEZI 7</t>
  </si>
  <si>
    <t>yishyuye akererewe yatanze amande</t>
  </si>
  <si>
    <t>yasabye top up 14/8/2024 dukuramo ayari asigaye</t>
  </si>
  <si>
    <t>UWAYISENGA SONIA2 (INGUZANYO YA 2)</t>
  </si>
  <si>
    <t>UWAYISENGA SONIA1_L3</t>
  </si>
  <si>
    <t>ITARIKI Y'INGUZANYO: 14/8/2024</t>
  </si>
  <si>
    <t>ITARIKI YO GUTANGIRA KWISHYURA INGUZANYO: 14/9/2024</t>
  </si>
  <si>
    <t>AMAFARANGA YAGURIJWE: 575,500Frw</t>
  </si>
  <si>
    <t>INYUNGU: 46,040Frw</t>
  </si>
  <si>
    <t>UWAYISENGA SONIA1 (INGUZANYO YA 3)</t>
  </si>
  <si>
    <t>IGIHE CYO KWISHYURA:AMEZI 4 ariko yishyuye mu mezi 3(25/10/2024 asaba indi nguzanyo)</t>
  </si>
  <si>
    <t>14/9/2024</t>
  </si>
  <si>
    <t>14/10/2024</t>
  </si>
  <si>
    <t>14/11/2024</t>
  </si>
  <si>
    <t>yishyuye INGUZANYO YARI ISIGAYE MBERE KUGIRANGO ASABE INDI</t>
  </si>
  <si>
    <t>14/12/2024</t>
  </si>
  <si>
    <t>UWAYISENGA SONIA1_L4</t>
  </si>
  <si>
    <t>ITARIKI Y'INGUZANYO: 26/10/2024</t>
  </si>
  <si>
    <t>ITARIKI YO GUTANGIRA KWISHYURA INGUZANYO: 26/11/2024</t>
  </si>
  <si>
    <t>AMAFARANGA YAGURIJWE: 750,500Frw</t>
  </si>
  <si>
    <t>INYUNGU: 30,000Frw</t>
  </si>
  <si>
    <t xml:space="preserve">IGIHE CYO KWISHYURA:AMEZI 2 </t>
  </si>
  <si>
    <t>UWAYISENGA SONIA2_L3</t>
  </si>
  <si>
    <t>ITARIKI YO GUTANGIRA KWISHYURA INGUZANYO:14/9/2024</t>
  </si>
  <si>
    <t>UWAYISENGA SONIA2 (INGUZANYO YA3)</t>
  </si>
  <si>
    <t>IGIHE CYO KWISHYURA:AMEZI 4</t>
  </si>
  <si>
    <t>kureba ko 50k Sonia yishyuye kuri 14/9/2024 yageze kuri account</t>
  </si>
  <si>
    <t>Frw 56,540</t>
  </si>
  <si>
    <t>ITARIKI Y'INGUZANYO: 19/2/2024</t>
  </si>
  <si>
    <t>INYUNGU: 72,000Frw</t>
  </si>
  <si>
    <t>IGIHE CYO KWISHYURA:AMEZI 6</t>
  </si>
  <si>
    <t>19/2/2024</t>
  </si>
  <si>
    <t>Yarishyuye ku gihe</t>
  </si>
  <si>
    <t>19/3/2024</t>
  </si>
  <si>
    <t>19/5/2024</t>
  </si>
  <si>
    <t>19/6/2024</t>
  </si>
  <si>
    <t>yishyuye mbere asaba indi loan 6/6/2024</t>
  </si>
  <si>
    <t>ITARIKI Y'INGUZANYO: 6/6/2024</t>
  </si>
  <si>
    <t>ITARIKI YO GUTANGIRA KWISHYURA INGUZANYO: 6/7/2024</t>
  </si>
  <si>
    <t>AMAFARANGA YAGURIJWE: 650,000Frw</t>
  </si>
  <si>
    <t>INYUNGU: 78,000Frw</t>
  </si>
  <si>
    <t>MUKESHIMANA SOLANGE 1_L3</t>
  </si>
  <si>
    <t>ITARIKI Y'INGUZANYO: 20/8/2024</t>
  </si>
  <si>
    <t>AMAFARANGA YAGURIJWE: 715,000Frw</t>
  </si>
  <si>
    <t>INYUNGU: 57,000Frw</t>
  </si>
  <si>
    <t>MUKESHIMANA SOLANGE2_L3</t>
  </si>
  <si>
    <t>INYUNGU: 57,200Frw</t>
  </si>
  <si>
    <t>MUKANSANGA JOSEPHINE_L4</t>
  </si>
  <si>
    <t>ITARIKI Y'INGUZANYO: 4/04/2024</t>
  </si>
  <si>
    <t>ITARIKI YO GUTANGIRA KWISHYURA INGUZANYO: 4/4/2024</t>
  </si>
  <si>
    <t>AMAFARANGA YAGURIJWE: 100,000Frw</t>
  </si>
  <si>
    <t>INYUNGU: 24,000Frw</t>
  </si>
  <si>
    <t>ITARIKI Y'INGUZANYO: 17/04/2024</t>
  </si>
  <si>
    <t>ITARIKI YO GUTANGIRA KWISHYURA INGUZANYO: 17/05/2024</t>
  </si>
  <si>
    <t>IGIHE CYO KWISHYURA:AMEI 7</t>
  </si>
  <si>
    <t>17/8/2024</t>
  </si>
  <si>
    <t>yishyuye kuri 30/8/2024</t>
  </si>
  <si>
    <t>YISHYUYE MBERE 3/9/2024 BITUMA INYUNGU ZA 20K ZIVAHO</t>
  </si>
  <si>
    <t>MUSHIMIYIMANA MAOMBI_L2</t>
  </si>
  <si>
    <t>ITARIKI Y'INGUZANYO: 25/07/2024</t>
  </si>
  <si>
    <t>ITARIKI YO GUTANGIRA KWISHYURA INGUZANYO: 25/8/2024</t>
  </si>
  <si>
    <t>AMAFARANGA YAGURIJWE: 203,300Frw</t>
  </si>
  <si>
    <t>INYUNGU: 97,584Frw</t>
  </si>
  <si>
    <t>Inyungu 2%</t>
  </si>
  <si>
    <t>Ubwishyu bw’ukwezi</t>
  </si>
  <si>
    <t>(3= (1)+(2)</t>
  </si>
  <si>
    <t>(A- (3)</t>
  </si>
  <si>
    <t>25/8/2024</t>
  </si>
  <si>
    <t>nta bordereau</t>
  </si>
  <si>
    <t>25/9/2024</t>
  </si>
  <si>
    <t>yashyizeho amande y'ubukererwe yishyuye 21/10/2024</t>
  </si>
  <si>
    <t>25/12/2024</t>
  </si>
  <si>
    <t>25/1/2025</t>
  </si>
  <si>
    <t>25/2/2025</t>
  </si>
  <si>
    <t>25/3/2025</t>
  </si>
  <si>
    <t>25/4/2025</t>
  </si>
  <si>
    <t>25/5/2025</t>
  </si>
  <si>
    <t>25/6/2025</t>
  </si>
  <si>
    <t>25/7/2025</t>
  </si>
  <si>
    <t>25/8/2025</t>
  </si>
  <si>
    <t>25/9/2025</t>
  </si>
  <si>
    <t>25/10/2025</t>
  </si>
  <si>
    <t>25/11/2025</t>
  </si>
  <si>
    <t>25/12/2025</t>
  </si>
  <si>
    <t>25/1/2026</t>
  </si>
  <si>
    <t>25/2/2026</t>
  </si>
  <si>
    <t>25/3/2026</t>
  </si>
  <si>
    <t>25/4/2026</t>
  </si>
  <si>
    <t>25/5/2026</t>
  </si>
  <si>
    <t>25/6/2026</t>
  </si>
  <si>
    <t>25/7/2026</t>
  </si>
  <si>
    <t>NTAMITONDERO JEAN BOSCO _Wishingiwe na Priscille</t>
  </si>
  <si>
    <t>ITARIKI Y'INGUZANYO: 9/10/2024</t>
  </si>
  <si>
    <t>ITARIKI YO GUTANGIRA KWISHYURA INGUZANYO: 9/11/2024</t>
  </si>
  <si>
    <t>AMAFARANGA YAGURIJWE: 300,000Frw</t>
  </si>
  <si>
    <t>INYUNGU: 15,000Frw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</si>
</sst>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m/d/yyyy"/>
    <numFmt numFmtId="166" formatCode="_(* #,##0.00_);_(* \(#,##0.00\);_(* &quot;-&quot;??_);_(@_)"/>
  </numFmts>
  <fonts count="48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000000"/>
      <name val="Calibri"/>
      <scheme val="minor"/>
    </font>
    <font>
      <sz val="11.0"/>
      <color rgb="FFFFFF00"/>
      <name val="Calibri"/>
    </font>
    <font>
      <sz val="13.0"/>
      <color rgb="FF434343"/>
      <name val="Calibri"/>
      <scheme val="minor"/>
    </font>
    <font>
      <sz val="13.0"/>
      <color theme="1"/>
      <name val="Calibri"/>
      <scheme val="minor"/>
    </font>
    <font>
      <color rgb="FFFF0000"/>
      <name val="Calibri"/>
      <scheme val="minor"/>
    </font>
    <font>
      <sz val="13.0"/>
      <color rgb="FF0000FF"/>
      <name val="Calibri"/>
      <scheme val="minor"/>
    </font>
    <font>
      <sz val="11.0"/>
      <color rgb="FF000000"/>
      <name val="Calibri"/>
    </font>
    <font>
      <sz val="12.0"/>
      <color theme="1"/>
      <name val="Calibri"/>
    </font>
    <font>
      <color rgb="FF666666"/>
      <name val="Calibri"/>
      <scheme val="minor"/>
    </font>
    <font>
      <sz val="12.0"/>
      <color rgb="FF000000"/>
      <name val="Calibri"/>
      <scheme val="minor"/>
    </font>
    <font>
      <sz val="12.0"/>
      <color theme="1"/>
      <name val="Calibri"/>
      <scheme val="minor"/>
    </font>
    <font>
      <sz val="12.0"/>
      <color theme="0"/>
      <name val="Calibri"/>
      <scheme val="minor"/>
    </font>
    <font>
      <color theme="0"/>
      <name val="Calibri"/>
      <scheme val="minor"/>
    </font>
    <font>
      <b/>
      <sz val="12.0"/>
      <color theme="1"/>
      <name val="Calibri"/>
      <scheme val="minor"/>
    </font>
    <font>
      <b/>
      <sz val="12.0"/>
      <color rgb="FF000000"/>
      <name val="Calibri"/>
      <scheme val="minor"/>
    </font>
    <font>
      <color rgb="FF434343"/>
      <name val="Calibri"/>
      <scheme val="minor"/>
    </font>
    <font>
      <sz val="11.0"/>
      <color rgb="FF434343"/>
      <name val="Calibri"/>
    </font>
    <font>
      <sz val="12.0"/>
      <color rgb="FF434343"/>
      <name val="Calibri"/>
      <scheme val="minor"/>
    </font>
    <font>
      <b/>
      <sz val="12.0"/>
      <color rgb="FF434343"/>
      <name val="Calibri"/>
      <scheme val="minor"/>
    </font>
    <font>
      <sz val="12.0"/>
      <color rgb="FF6AA84F"/>
      <name val="Calibri"/>
      <scheme val="minor"/>
    </font>
    <font>
      <b/>
      <sz val="13.0"/>
      <color theme="1"/>
      <name val="Calibri"/>
      <scheme val="minor"/>
    </font>
    <font>
      <sz val="12.0"/>
      <color theme="1"/>
      <name val="Cambria"/>
    </font>
    <font>
      <b/>
      <sz val="11.0"/>
      <color rgb="FF000000"/>
      <name val="Calibri"/>
    </font>
    <font>
      <color rgb="FF000000"/>
      <name val="Calibri"/>
    </font>
    <font/>
    <font>
      <sz val="12.0"/>
      <color rgb="FF000000"/>
      <name val="Cambria"/>
    </font>
    <font>
      <b/>
      <sz val="12.0"/>
      <color rgb="FF000000"/>
      <name val="Calibri"/>
    </font>
    <font>
      <b/>
      <color rgb="FF000000"/>
      <name val="Calibri"/>
    </font>
    <font>
      <color theme="0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2.0"/>
      <color theme="0"/>
      <name val="Calibri"/>
    </font>
    <font>
      <b/>
      <sz val="12.0"/>
      <color rgb="FF000000"/>
      <name val="Cambria"/>
    </font>
    <font>
      <sz val="11.0"/>
      <color rgb="FFFF0000"/>
      <name val="Calibri"/>
    </font>
    <font>
      <b/>
      <sz val="14.0"/>
      <color theme="1"/>
      <name val="Calibri"/>
      <scheme val="minor"/>
    </font>
    <font>
      <sz val="11.0"/>
      <color rgb="FFFF9900"/>
      <name val="Calibri"/>
    </font>
    <font>
      <b/>
      <sz val="11.0"/>
      <color rgb="FF000000"/>
      <name val="Cambria"/>
    </font>
    <font>
      <sz val="11.0"/>
      <color rgb="FF000000"/>
      <name val="Cambria"/>
    </font>
    <font>
      <b/>
      <sz val="12.0"/>
      <color theme="1"/>
      <name val="Calibri"/>
    </font>
    <font>
      <b/>
      <color rgb="FF1F1F1F"/>
      <name val="Arial"/>
    </font>
    <font>
      <b/>
      <sz val="13.0"/>
      <color rgb="FF000000"/>
      <name val="Calibri"/>
    </font>
    <font>
      <b/>
      <sz val="11.0"/>
      <color theme="1"/>
      <name val="Calibri"/>
      <scheme val="minor"/>
    </font>
    <font>
      <b/>
      <color theme="0"/>
      <name val="Calibri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C9C9C9"/>
        <bgColor rgb="FFC9C9C9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left/>
      <right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shrinkToFit="0" vertical="bottom" wrapText="0"/>
    </xf>
    <xf borderId="1" fillId="0" fontId="4" numFmtId="164" xfId="0" applyAlignment="1" applyBorder="1" applyFont="1" applyNumberFormat="1">
      <alignment readingOrder="0" shrinkToFit="0" vertical="bottom" wrapText="0"/>
    </xf>
    <xf borderId="1" fillId="0" fontId="4" numFmtId="164" xfId="0" applyAlignment="1" applyBorder="1" applyFont="1" applyNumberFormat="1">
      <alignment shrinkToFit="0" vertical="bottom" wrapText="0"/>
    </xf>
    <xf borderId="1" fillId="0" fontId="5" numFmtId="0" xfId="0" applyAlignment="1" applyBorder="1" applyFont="1">
      <alignment readingOrder="0"/>
    </xf>
    <xf borderId="1" fillId="0" fontId="4" numFmtId="165" xfId="0" applyAlignment="1" applyBorder="1" applyFont="1" applyNumberFormat="1">
      <alignment readingOrder="0" shrinkToFit="0" vertical="bottom" wrapText="0"/>
    </xf>
    <xf borderId="1" fillId="0" fontId="3" numFmtId="0" xfId="0" applyBorder="1" applyFont="1"/>
    <xf borderId="1" fillId="0" fontId="4" numFmtId="0" xfId="0" applyAlignment="1" applyBorder="1" applyFont="1">
      <alignment readingOrder="0" shrinkToFit="0" vertical="bottom" wrapText="0"/>
    </xf>
    <xf borderId="1" fillId="2" fontId="6" numFmtId="166" xfId="0" applyAlignment="1" applyBorder="1" applyFill="1" applyFont="1" applyNumberFormat="1">
      <alignment readingOrder="0" shrinkToFit="0" vertical="bottom" wrapText="0"/>
    </xf>
    <xf borderId="1" fillId="2" fontId="4" numFmtId="166" xfId="0" applyAlignment="1" applyBorder="1" applyFont="1" applyNumberFormat="1">
      <alignment readingOrder="0"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4" numFmtId="164" xfId="0" applyAlignment="1" applyBorder="1" applyFont="1" applyNumberFormat="1">
      <alignment shrinkToFit="0" vertical="bottom" wrapText="0"/>
    </xf>
    <xf borderId="1" fillId="2" fontId="7" numFmtId="0" xfId="0" applyAlignment="1" applyBorder="1" applyFont="1">
      <alignment readingOrder="0"/>
    </xf>
    <xf borderId="1" fillId="2" fontId="8" numFmtId="0" xfId="0" applyAlignment="1" applyBorder="1" applyFont="1">
      <alignment readingOrder="0"/>
    </xf>
    <xf borderId="1" fillId="2" fontId="4" numFmtId="0" xfId="0" applyAlignment="1" applyBorder="1" applyFont="1">
      <alignment horizontal="left" readingOrder="0" shrinkToFit="0" vertical="bottom" wrapText="0"/>
    </xf>
    <xf borderId="1" fillId="0" fontId="9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0" fontId="4" numFmtId="3" xfId="0" applyAlignment="1" applyBorder="1" applyFont="1" applyNumberFormat="1">
      <alignment shrinkToFit="0" vertical="bottom" wrapText="0"/>
    </xf>
    <xf borderId="1" fillId="3" fontId="4" numFmtId="0" xfId="0" applyAlignment="1" applyBorder="1" applyFill="1" applyFont="1">
      <alignment shrinkToFit="0" vertical="bottom" wrapText="0"/>
    </xf>
    <xf borderId="1" fillId="3" fontId="4" numFmtId="164" xfId="0" applyAlignment="1" applyBorder="1" applyFont="1" applyNumberFormat="1">
      <alignment shrinkToFit="0" vertical="bottom" wrapText="0"/>
    </xf>
    <xf borderId="1" fillId="3" fontId="4" numFmtId="164" xfId="0" applyAlignment="1" applyBorder="1" applyFont="1" applyNumberFormat="1">
      <alignment horizontal="right" shrinkToFit="0" vertical="bottom" wrapText="0"/>
    </xf>
    <xf borderId="1" fillId="0" fontId="4" numFmtId="165" xfId="0" applyAlignment="1" applyBorder="1" applyFont="1" applyNumberFormat="1">
      <alignment horizontal="right" readingOrder="0" shrinkToFit="0" vertical="bottom" wrapText="0"/>
    </xf>
    <xf borderId="1" fillId="3" fontId="4" numFmtId="3" xfId="0" applyAlignment="1" applyBorder="1" applyFont="1" applyNumberFormat="1">
      <alignment shrinkToFit="0" vertical="bottom" wrapText="0"/>
    </xf>
    <xf borderId="1" fillId="3" fontId="3" numFmtId="0" xfId="0" applyBorder="1" applyFont="1"/>
    <xf borderId="0" fillId="3" fontId="3" numFmtId="0" xfId="0" applyFont="1"/>
    <xf borderId="1" fillId="3" fontId="4" numFmtId="0" xfId="0" applyAlignment="1" applyBorder="1" applyFont="1">
      <alignment readingOrder="0" shrinkToFit="0" vertical="bottom" wrapText="0"/>
    </xf>
    <xf borderId="1" fillId="3" fontId="9" numFmtId="0" xfId="0" applyBorder="1" applyFont="1"/>
    <xf borderId="1" fillId="3" fontId="9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2" fontId="11" numFmtId="0" xfId="0" applyAlignment="1" applyBorder="1" applyFont="1">
      <alignment shrinkToFit="0" vertical="bottom" wrapText="0"/>
    </xf>
    <xf borderId="1" fillId="2" fontId="11" numFmtId="0" xfId="0" applyAlignment="1" applyBorder="1" applyFont="1">
      <alignment readingOrder="0" shrinkToFit="0" vertical="bottom" wrapText="0"/>
    </xf>
    <xf borderId="1" fillId="2" fontId="11" numFmtId="164" xfId="0" applyAlignment="1" applyBorder="1" applyFont="1" applyNumberFormat="1">
      <alignment readingOrder="0" shrinkToFit="0" vertical="bottom" wrapText="0"/>
    </xf>
    <xf borderId="1" fillId="2" fontId="11" numFmtId="1" xfId="0" applyAlignment="1" applyBorder="1" applyFont="1" applyNumberFormat="1">
      <alignment readingOrder="0" shrinkToFit="0" vertical="bottom" wrapText="0"/>
    </xf>
    <xf borderId="1" fillId="2" fontId="5" numFmtId="0" xfId="0" applyAlignment="1" applyBorder="1" applyFont="1">
      <alignment readingOrder="0"/>
    </xf>
    <xf borderId="1" fillId="3" fontId="4" numFmtId="164" xfId="0" applyAlignment="1" applyBorder="1" applyFont="1" applyNumberFormat="1">
      <alignment horizontal="center" shrinkToFit="0" vertical="bottom" wrapText="0"/>
    </xf>
    <xf borderId="1" fillId="3" fontId="3" numFmtId="3" xfId="0" applyBorder="1" applyFont="1" applyNumberFormat="1"/>
    <xf borderId="1" fillId="0" fontId="3" numFmtId="3" xfId="0" applyBorder="1" applyFont="1" applyNumberFormat="1"/>
    <xf borderId="1" fillId="2" fontId="5" numFmtId="0" xfId="0" applyAlignment="1" applyBorder="1" applyFont="1">
      <alignment horizontal="left" readingOrder="0"/>
    </xf>
    <xf borderId="0" fillId="2" fontId="5" numFmtId="0" xfId="0" applyAlignment="1" applyFont="1">
      <alignment readingOrder="0"/>
    </xf>
    <xf borderId="1" fillId="3" fontId="5" numFmtId="0" xfId="0" applyAlignment="1" applyBorder="1" applyFont="1">
      <alignment readingOrder="0"/>
    </xf>
    <xf borderId="1" fillId="3" fontId="3" numFmtId="0" xfId="0" applyAlignment="1" applyBorder="1" applyFont="1">
      <alignment horizontal="right" readingOrder="0"/>
    </xf>
    <xf borderId="1" fillId="3" fontId="12" numFmtId="164" xfId="0" applyAlignment="1" applyBorder="1" applyFont="1" applyNumberFormat="1">
      <alignment shrinkToFit="0" vertical="bottom" wrapText="0"/>
    </xf>
    <xf borderId="1" fillId="2" fontId="9" numFmtId="0" xfId="0" applyAlignment="1" applyBorder="1" applyFont="1">
      <alignment readingOrder="0"/>
    </xf>
    <xf borderId="1" fillId="0" fontId="11" numFmtId="0" xfId="0" applyAlignment="1" applyBorder="1" applyFont="1">
      <alignment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0" fontId="5" numFmtId="3" xfId="0" applyBorder="1" applyFont="1" applyNumberFormat="1"/>
    <xf borderId="1" fillId="0" fontId="5" numFmtId="0" xfId="0" applyBorder="1" applyFont="1"/>
    <xf borderId="1" fillId="2" fontId="13" numFmtId="0" xfId="0" applyAlignment="1" applyBorder="1" applyFont="1">
      <alignment readingOrder="0"/>
    </xf>
    <xf borderId="0" fillId="0" fontId="5" numFmtId="0" xfId="0" applyFont="1"/>
    <xf borderId="0" fillId="3" fontId="3" numFmtId="0" xfId="0" applyAlignment="1" applyFont="1">
      <alignment readingOrder="0"/>
    </xf>
    <xf borderId="1" fillId="2" fontId="14" numFmtId="0" xfId="0" applyAlignment="1" applyBorder="1" applyFont="1">
      <alignment readingOrder="0"/>
    </xf>
    <xf borderId="1" fillId="3" fontId="15" numFmtId="3" xfId="0" applyBorder="1" applyFont="1" applyNumberFormat="1"/>
    <xf borderId="1" fillId="3" fontId="15" numFmtId="0" xfId="0" applyAlignment="1" applyBorder="1" applyFont="1">
      <alignment readingOrder="0"/>
    </xf>
    <xf borderId="1" fillId="3" fontId="15" numFmtId="165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1" fillId="3" fontId="8" numFmtId="0" xfId="0" applyAlignment="1" applyBorder="1" applyFont="1">
      <alignment readingOrder="0"/>
    </xf>
    <xf borderId="1" fillId="3" fontId="15" numFmtId="0" xfId="0" applyAlignment="1" applyBorder="1" applyFont="1">
      <alignment horizontal="right" readingOrder="0"/>
    </xf>
    <xf borderId="1" fillId="3" fontId="2" numFmtId="0" xfId="0" applyBorder="1" applyFont="1"/>
    <xf borderId="1" fillId="3" fontId="14" numFmtId="3" xfId="0" applyBorder="1" applyFont="1" applyNumberFormat="1"/>
    <xf borderId="1" fillId="3" fontId="14" numFmtId="0" xfId="0" applyAlignment="1" applyBorder="1" applyFont="1">
      <alignment readingOrder="0"/>
    </xf>
    <xf borderId="1" fillId="3" fontId="14" numFmtId="0" xfId="0" applyAlignment="1" applyBorder="1" applyFont="1">
      <alignment horizontal="right" readingOrder="0"/>
    </xf>
    <xf borderId="1" fillId="3" fontId="16" numFmtId="0" xfId="0" applyBorder="1" applyFont="1"/>
    <xf borderId="0" fillId="3" fontId="5" numFmtId="0" xfId="0" applyAlignment="1" applyFont="1">
      <alignment readingOrder="0"/>
    </xf>
    <xf borderId="0" fillId="3" fontId="17" numFmtId="0" xfId="0" applyFont="1"/>
    <xf borderId="0" fillId="2" fontId="3" numFmtId="0" xfId="0" applyAlignment="1" applyFont="1">
      <alignment readingOrder="0"/>
    </xf>
    <xf borderId="1" fillId="2" fontId="15" numFmtId="0" xfId="0" applyAlignment="1" applyBorder="1" applyFont="1">
      <alignment readingOrder="0"/>
    </xf>
    <xf borderId="1" fillId="2" fontId="15" numFmtId="3" xfId="0" applyBorder="1" applyFont="1" applyNumberFormat="1"/>
    <xf borderId="1" fillId="3" fontId="18" numFmtId="0" xfId="0" applyBorder="1" applyFont="1"/>
    <xf borderId="1" fillId="3" fontId="11" numFmtId="0" xfId="0" applyAlignment="1" applyBorder="1" applyFont="1">
      <alignment shrinkToFit="0" vertical="bottom" wrapText="0"/>
    </xf>
    <xf borderId="1" fillId="3" fontId="14" numFmtId="3" xfId="0" applyAlignment="1" applyBorder="1" applyFont="1" applyNumberFormat="1">
      <alignment readingOrder="0"/>
    </xf>
    <xf borderId="1" fillId="3" fontId="19" numFmtId="0" xfId="0" applyBorder="1" applyFont="1"/>
    <xf borderId="0" fillId="3" fontId="5" numFmtId="0" xfId="0" applyFont="1"/>
    <xf borderId="0" fillId="4" fontId="20" numFmtId="0" xfId="0" applyAlignment="1" applyFill="1" applyFont="1">
      <alignment readingOrder="0"/>
    </xf>
    <xf borderId="1" fillId="4" fontId="21" numFmtId="0" xfId="0" applyAlignment="1" applyBorder="1" applyFont="1">
      <alignment readingOrder="0" shrinkToFit="0" vertical="bottom" wrapText="0"/>
    </xf>
    <xf borderId="1" fillId="4" fontId="14" numFmtId="3" xfId="0" applyBorder="1" applyFont="1" applyNumberFormat="1"/>
    <xf borderId="1" fillId="4" fontId="22" numFmtId="3" xfId="0" applyBorder="1" applyFont="1" applyNumberFormat="1"/>
    <xf borderId="1" fillId="4" fontId="22" numFmtId="0" xfId="0" applyAlignment="1" applyBorder="1" applyFont="1">
      <alignment readingOrder="0"/>
    </xf>
    <xf borderId="1" fillId="4" fontId="22" numFmtId="0" xfId="0" applyAlignment="1" applyBorder="1" applyFont="1">
      <alignment horizontal="right" readingOrder="0"/>
    </xf>
    <xf borderId="1" fillId="3" fontId="20" numFmtId="0" xfId="0" applyBorder="1" applyFont="1"/>
    <xf borderId="1" fillId="3" fontId="23" numFmtId="0" xfId="0" applyBorder="1" applyFont="1"/>
    <xf borderId="0" fillId="3" fontId="20" numFmtId="0" xfId="0" applyFont="1"/>
    <xf borderId="1" fillId="4" fontId="11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readingOrder="0"/>
    </xf>
    <xf borderId="1" fillId="4" fontId="15" numFmtId="0" xfId="0" applyBorder="1" applyFont="1"/>
    <xf borderId="1" fillId="4" fontId="15" numFmtId="3" xfId="0" applyBorder="1" applyFont="1" applyNumberFormat="1"/>
    <xf borderId="1" fillId="4" fontId="14" numFmtId="0" xfId="0" applyAlignment="1" applyBorder="1" applyFont="1">
      <alignment readingOrder="0"/>
    </xf>
    <xf borderId="1" fillId="4" fontId="15" numFmtId="0" xfId="0" applyAlignment="1" applyBorder="1" applyFont="1">
      <alignment horizontal="right" readingOrder="0"/>
    </xf>
    <xf borderId="1" fillId="3" fontId="3" numFmtId="1" xfId="0" applyBorder="1" applyFont="1" applyNumberFormat="1"/>
    <xf borderId="1" fillId="3" fontId="18" numFmtId="0" xfId="0" applyAlignment="1" applyBorder="1" applyFont="1">
      <alignment readingOrder="0"/>
    </xf>
    <xf borderId="1" fillId="3" fontId="24" numFmtId="0" xfId="0" applyAlignment="1" applyBorder="1" applyFont="1">
      <alignment readingOrder="0"/>
    </xf>
    <xf borderId="1" fillId="3" fontId="14" numFmtId="164" xfId="0" applyBorder="1" applyFont="1" applyNumberFormat="1"/>
    <xf borderId="1" fillId="4" fontId="15" numFmtId="0" xfId="0" applyAlignment="1" applyBorder="1" applyFont="1">
      <alignment readingOrder="0"/>
    </xf>
    <xf borderId="1" fillId="4" fontId="14" numFmtId="165" xfId="0" applyAlignment="1" applyBorder="1" applyFont="1" applyNumberFormat="1">
      <alignment readingOrder="0"/>
    </xf>
    <xf borderId="1" fillId="3" fontId="15" numFmtId="0" xfId="0" applyBorder="1" applyFont="1"/>
    <xf borderId="1" fillId="4" fontId="5" numFmtId="0" xfId="0" applyAlignment="1" applyBorder="1" applyFont="1">
      <alignment readingOrder="0"/>
    </xf>
    <xf borderId="1" fillId="4" fontId="14" numFmtId="0" xfId="0" applyAlignment="1" applyBorder="1" applyFont="1">
      <alignment horizontal="right" readingOrder="0"/>
    </xf>
    <xf borderId="1" fillId="3" fontId="14" numFmtId="0" xfId="0" applyBorder="1" applyFont="1"/>
    <xf borderId="1" fillId="3" fontId="18" numFmtId="164" xfId="0" applyBorder="1" applyFont="1" applyNumberFormat="1"/>
    <xf borderId="1" fillId="3" fontId="15" numFmtId="164" xfId="0" applyBorder="1" applyFont="1" applyNumberFormat="1"/>
    <xf borderId="0" fillId="0" fontId="2" numFmtId="0" xfId="0" applyAlignment="1" applyFont="1">
      <alignment readingOrder="0"/>
    </xf>
    <xf borderId="1" fillId="5" fontId="18" numFmtId="164" xfId="0" applyBorder="1" applyFill="1" applyFont="1" applyNumberFormat="1"/>
    <xf borderId="1" fillId="5" fontId="18" numFmtId="0" xfId="0" applyBorder="1" applyFont="1"/>
    <xf borderId="0" fillId="0" fontId="3" numFmtId="0" xfId="0" applyFont="1"/>
    <xf borderId="0" fillId="0" fontId="3" numFmtId="0" xfId="0" applyAlignment="1" applyFont="1">
      <alignment horizontal="left" readingOrder="0"/>
    </xf>
    <xf borderId="0" fillId="3" fontId="25" numFmtId="0" xfId="0" applyFont="1"/>
    <xf borderId="0" fillId="0" fontId="18" numFmtId="10" xfId="0" applyFont="1" applyNumberFormat="1"/>
    <xf borderId="2" fillId="5" fontId="1" numFmtId="0" xfId="0" applyAlignment="1" applyBorder="1" applyFont="1">
      <alignment shrinkToFit="0" vertical="bottom" wrapText="0"/>
    </xf>
    <xf borderId="3" fillId="0" fontId="26" numFmtId="0" xfId="0" applyAlignment="1" applyBorder="1" applyFont="1">
      <alignment shrinkToFit="0" vertical="center" wrapText="1"/>
    </xf>
    <xf borderId="4" fillId="0" fontId="26" numFmtId="0" xfId="0" applyAlignment="1" applyBorder="1" applyFont="1">
      <alignment shrinkToFit="0" vertical="center" wrapText="1"/>
    </xf>
    <xf borderId="1" fillId="6" fontId="1" numFmtId="0" xfId="0" applyAlignment="1" applyBorder="1" applyFill="1" applyFont="1">
      <alignment shrinkToFit="0" vertical="center" wrapText="0"/>
    </xf>
    <xf borderId="1" fillId="0" fontId="4" numFmtId="14" xfId="0" applyAlignment="1" applyBorder="1" applyFont="1" applyNumberForma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14" xfId="0" applyAlignment="1" applyFont="1" applyNumberFormat="1">
      <alignment shrinkToFit="0" vertical="bottom" wrapText="0"/>
    </xf>
    <xf borderId="1" fillId="7" fontId="1" numFmtId="164" xfId="0" applyAlignment="1" applyBorder="1" applyFill="1" applyFont="1" applyNumberFormat="1">
      <alignment shrinkToFit="0" vertical="bottom" wrapText="0"/>
    </xf>
    <xf borderId="1" fillId="5" fontId="1" numFmtId="164" xfId="0" applyAlignment="1" applyBorder="1" applyFont="1" applyNumberFormat="1">
      <alignment shrinkToFit="0" vertical="bottom" wrapText="0"/>
    </xf>
    <xf borderId="1" fillId="0" fontId="2" numFmtId="164" xfId="0" applyBorder="1" applyFont="1" applyNumberFormat="1"/>
    <xf borderId="1" fillId="2" fontId="2" numFmtId="164" xfId="0" applyBorder="1" applyFont="1" applyNumberFormat="1"/>
    <xf borderId="0" fillId="0" fontId="4" numFmtId="166" xfId="0" applyAlignment="1" applyFont="1" applyNumberFormat="1">
      <alignment shrinkToFit="0" vertical="bottom" wrapText="0"/>
    </xf>
    <xf borderId="0" fillId="5" fontId="27" numFmtId="0" xfId="0" applyAlignment="1" applyFont="1">
      <alignment readingOrder="0" shrinkToFit="0" wrapText="0"/>
    </xf>
    <xf borderId="0" fillId="5" fontId="27" numFmtId="0" xfId="0" applyAlignment="1" applyFont="1">
      <alignment shrinkToFit="0" wrapText="0"/>
    </xf>
    <xf borderId="0" fillId="0" fontId="28" numFmtId="0" xfId="0" applyAlignment="1" applyFont="1">
      <alignment shrinkToFit="0" vertical="bottom" wrapText="0"/>
    </xf>
    <xf borderId="0" fillId="0" fontId="11" numFmtId="0" xfId="0" applyAlignment="1" applyFont="1">
      <alignment shrinkToFit="0" vertical="bottom" wrapText="0"/>
    </xf>
    <xf borderId="5" fillId="5" fontId="27" numFmtId="0" xfId="0" applyAlignment="1" applyBorder="1" applyFont="1">
      <alignment readingOrder="0" shrinkToFit="0" wrapText="0"/>
    </xf>
    <xf borderId="5" fillId="0" fontId="29" numFmtId="0" xfId="0" applyBorder="1" applyFont="1"/>
    <xf borderId="6" fillId="0" fontId="30" numFmtId="0" xfId="0" applyAlignment="1" applyBorder="1" applyFont="1">
      <alignment readingOrder="0"/>
    </xf>
    <xf borderId="7" fillId="0" fontId="30" numFmtId="0" xfId="0" applyAlignment="1" applyBorder="1" applyFont="1">
      <alignment readingOrder="0"/>
    </xf>
    <xf borderId="8" fillId="0" fontId="30" numFmtId="0" xfId="0" applyAlignment="1" applyBorder="1" applyFont="1">
      <alignment readingOrder="0"/>
    </xf>
    <xf borderId="9" fillId="8" fontId="27" numFmtId="0" xfId="0" applyAlignment="1" applyBorder="1" applyFill="1" applyFont="1">
      <alignment readingOrder="0" shrinkToFit="0" wrapText="0"/>
    </xf>
    <xf borderId="0" fillId="8" fontId="27" numFmtId="0" xfId="0" applyAlignment="1" applyFont="1">
      <alignment readingOrder="0" shrinkToFit="0" wrapText="0"/>
    </xf>
    <xf borderId="1" fillId="0" fontId="11" numFmtId="0" xfId="0" applyAlignment="1" applyBorder="1" applyFont="1">
      <alignment readingOrder="0" shrinkToFit="0" wrapText="0"/>
    </xf>
    <xf borderId="9" fillId="0" fontId="11" numFmtId="3" xfId="0" applyAlignment="1" applyBorder="1" applyFont="1" applyNumberFormat="1">
      <alignment horizontal="right" readingOrder="0" shrinkToFit="0" wrapText="0"/>
    </xf>
    <xf borderId="9" fillId="0" fontId="11" numFmtId="0" xfId="0" applyAlignment="1" applyBorder="1" applyFont="1">
      <alignment shrinkToFit="0" wrapText="0"/>
    </xf>
    <xf borderId="10" fillId="0" fontId="11" numFmtId="3" xfId="0" applyAlignment="1" applyBorder="1" applyFont="1" applyNumberFormat="1">
      <alignment readingOrder="0" shrinkToFit="0" wrapText="0"/>
    </xf>
    <xf borderId="0" fillId="0" fontId="11" numFmtId="3" xfId="0" applyAlignment="1" applyFont="1" applyNumberFormat="1">
      <alignment readingOrder="0" shrinkToFit="0" wrapText="0"/>
    </xf>
    <xf borderId="0" fillId="0" fontId="11" numFmtId="0" xfId="0" applyAlignment="1" applyFont="1">
      <alignment readingOrder="0" shrinkToFit="0" vertical="bottom" wrapText="0"/>
    </xf>
    <xf borderId="11" fillId="0" fontId="11" numFmtId="0" xfId="0" applyAlignment="1" applyBorder="1" applyFont="1">
      <alignment readingOrder="0" shrinkToFit="0" wrapText="0"/>
    </xf>
    <xf borderId="10" fillId="0" fontId="11" numFmtId="3" xfId="0" applyAlignment="1" applyBorder="1" applyFont="1" applyNumberFormat="1">
      <alignment horizontal="right" readingOrder="0" shrinkToFit="0" wrapText="0"/>
    </xf>
    <xf borderId="10" fillId="0" fontId="11" numFmtId="0" xfId="0" applyAlignment="1" applyBorder="1" applyFont="1">
      <alignment shrinkToFit="0" wrapText="0"/>
    </xf>
    <xf borderId="0" fillId="0" fontId="11" numFmtId="0" xfId="0" applyAlignment="1" applyFont="1">
      <alignment shrinkToFit="0" wrapText="0"/>
    </xf>
    <xf borderId="10" fillId="0" fontId="11" numFmtId="0" xfId="0" applyAlignment="1" applyBorder="1" applyFont="1">
      <alignment readingOrder="0" shrinkToFit="0" wrapText="0"/>
    </xf>
    <xf borderId="0" fillId="9" fontId="27" numFmtId="3" xfId="0" applyAlignment="1" applyFill="1" applyFont="1" applyNumberFormat="1">
      <alignment horizontal="right" readingOrder="0" shrinkToFit="0" wrapText="0"/>
    </xf>
    <xf borderId="0" fillId="9" fontId="27" numFmtId="0" xfId="0" applyAlignment="1" applyFont="1">
      <alignment shrinkToFit="0" wrapText="0"/>
    </xf>
    <xf borderId="0" fillId="5" fontId="27" numFmtId="3" xfId="0" applyAlignment="1" applyFont="1" applyNumberFormat="1">
      <alignment readingOrder="0" shrinkToFit="0" wrapText="0"/>
    </xf>
    <xf borderId="0" fillId="10" fontId="31" numFmtId="3" xfId="0" applyAlignment="1" applyFill="1" applyFont="1" applyNumberFormat="1">
      <alignment readingOrder="0" shrinkToFit="0" vertical="bottom" wrapText="0"/>
    </xf>
    <xf borderId="0" fillId="0" fontId="25" numFmtId="0" xfId="0" applyFont="1"/>
    <xf borderId="1" fillId="0" fontId="11" numFmtId="0" xfId="0" applyAlignment="1" applyBorder="1" applyFont="1">
      <alignment horizontal="right" readingOrder="0" shrinkToFit="0" wrapText="0"/>
    </xf>
    <xf borderId="9" fillId="0" fontId="11" numFmtId="3" xfId="0" applyAlignment="1" applyBorder="1" applyFont="1" applyNumberFormat="1">
      <alignment readingOrder="0" shrinkToFit="0" vertical="bottom" wrapText="0"/>
    </xf>
    <xf borderId="9" fillId="0" fontId="11" numFmtId="3" xfId="0" applyAlignment="1" applyBorder="1" applyFont="1" applyNumberFormat="1">
      <alignment horizontal="center" readingOrder="0" shrinkToFit="0" wrapText="0"/>
    </xf>
    <xf borderId="0" fillId="11" fontId="25" numFmtId="0" xfId="0" applyFill="1" applyFont="1"/>
    <xf borderId="11" fillId="0" fontId="11" numFmtId="0" xfId="0" applyAlignment="1" applyBorder="1" applyFont="1">
      <alignment horizontal="right" readingOrder="0" shrinkToFit="0" wrapText="0"/>
    </xf>
    <xf borderId="10" fillId="0" fontId="11" numFmtId="3" xfId="0" applyAlignment="1" applyBorder="1" applyFont="1" applyNumberFormat="1">
      <alignment readingOrder="0" shrinkToFit="0" vertical="bottom" wrapText="0"/>
    </xf>
    <xf borderId="10" fillId="0" fontId="11" numFmtId="3" xfId="0" applyAlignment="1" applyBorder="1" applyFont="1" applyNumberFormat="1">
      <alignment horizontal="center" readingOrder="0" shrinkToFit="0" wrapText="0"/>
    </xf>
    <xf borderId="9" fillId="4" fontId="11" numFmtId="3" xfId="0" applyAlignment="1" applyBorder="1" applyFont="1" applyNumberFormat="1">
      <alignment horizontal="center" readingOrder="0" shrinkToFit="0" wrapText="0"/>
    </xf>
    <xf borderId="9" fillId="4" fontId="11" numFmtId="3" xfId="0" applyAlignment="1" applyBorder="1" applyFont="1" applyNumberFormat="1">
      <alignment readingOrder="0" shrinkToFit="0" vertical="bottom" wrapText="0"/>
    </xf>
    <xf borderId="10" fillId="0" fontId="11" numFmtId="0" xfId="0" applyAlignment="1" applyBorder="1" applyFont="1">
      <alignment horizontal="right" shrinkToFit="0" wrapText="0"/>
    </xf>
    <xf borderId="10" fillId="0" fontId="28" numFmtId="0" xfId="0" applyAlignment="1" applyBorder="1" applyFont="1">
      <alignment shrinkToFit="0" wrapText="0"/>
    </xf>
    <xf borderId="10" fillId="0" fontId="11" numFmtId="0" xfId="0" applyAlignment="1" applyBorder="1" applyFont="1">
      <alignment horizontal="center" readingOrder="0" shrinkToFit="0" wrapText="0"/>
    </xf>
    <xf borderId="12" fillId="0" fontId="32" numFmtId="0" xfId="0" applyAlignment="1" applyBorder="1" applyFont="1">
      <alignment readingOrder="0" shrinkToFit="0" wrapText="0"/>
    </xf>
    <xf borderId="11" fillId="12" fontId="31" numFmtId="3" xfId="0" applyAlignment="1" applyBorder="1" applyFill="1" applyFont="1" applyNumberFormat="1">
      <alignment horizontal="center" readingOrder="0" shrinkToFit="0" wrapText="0"/>
    </xf>
    <xf borderId="10" fillId="12" fontId="31" numFmtId="3" xfId="0" applyAlignment="1" applyBorder="1" applyFont="1" applyNumberFormat="1">
      <alignment horizontal="center" readingOrder="0" shrinkToFit="0" wrapText="0"/>
    </xf>
    <xf borderId="10" fillId="12" fontId="28" numFmtId="0" xfId="0" applyAlignment="1" applyBorder="1" applyFont="1">
      <alignment shrinkToFit="0" wrapText="0"/>
    </xf>
    <xf borderId="10" fillId="12" fontId="28" numFmtId="3" xfId="0" applyAlignment="1" applyBorder="1" applyFont="1" applyNumberFormat="1">
      <alignment shrinkToFit="0" wrapText="0"/>
    </xf>
    <xf borderId="1" fillId="12" fontId="28" numFmtId="3" xfId="0" applyAlignment="1" applyBorder="1" applyFont="1" applyNumberFormat="1">
      <alignment shrinkToFit="0" wrapText="0"/>
    </xf>
    <xf borderId="0" fillId="5" fontId="5" numFmtId="3" xfId="0" applyFont="1" applyNumberFormat="1"/>
    <xf borderId="0" fillId="5" fontId="19" numFmtId="3" xfId="0" applyFont="1" applyNumberFormat="1"/>
    <xf borderId="0" fillId="0" fontId="3" numFmtId="3" xfId="0" applyFont="1" applyNumberFormat="1"/>
    <xf borderId="1" fillId="0" fontId="11" numFmtId="165" xfId="0" applyAlignment="1" applyBorder="1" applyFont="1" applyNumberFormat="1">
      <alignment readingOrder="0" shrinkToFit="0" wrapText="0"/>
    </xf>
    <xf borderId="11" fillId="0" fontId="11" numFmtId="165" xfId="0" applyAlignment="1" applyBorder="1" applyFont="1" applyNumberFormat="1">
      <alignment readingOrder="0" shrinkToFit="0" wrapText="0"/>
    </xf>
    <xf borderId="9" fillId="0" fontId="4" numFmtId="3" xfId="0" applyAlignment="1" applyBorder="1" applyFont="1" applyNumberFormat="1">
      <alignment horizontal="right" vertical="bottom"/>
    </xf>
    <xf borderId="1" fillId="0" fontId="11" numFmtId="0" xfId="0" applyAlignment="1" applyBorder="1" applyFont="1">
      <alignment shrinkToFit="0" wrapText="0"/>
    </xf>
    <xf borderId="1" fillId="3" fontId="33" numFmtId="0" xfId="0" applyAlignment="1" applyBorder="1" applyFont="1">
      <alignment shrinkToFit="0" vertical="bottom" wrapText="0"/>
    </xf>
    <xf borderId="1" fillId="3" fontId="34" numFmtId="0" xfId="0" applyAlignment="1" applyBorder="1" applyFont="1">
      <alignment readingOrder="0" shrinkToFit="0" wrapText="0"/>
    </xf>
    <xf borderId="0" fillId="3" fontId="35" numFmtId="0" xfId="0" applyAlignment="1" applyFont="1">
      <alignment readingOrder="0" shrinkToFit="0" vertical="bottom" wrapText="0"/>
    </xf>
    <xf borderId="0" fillId="3" fontId="36" numFmtId="3" xfId="0" applyAlignment="1" applyFont="1" applyNumberFormat="1">
      <alignment readingOrder="0" shrinkToFit="0" vertical="bottom" wrapText="0"/>
    </xf>
    <xf borderId="0" fillId="0" fontId="11" numFmtId="3" xfId="0" applyAlignment="1" applyFont="1" applyNumberFormat="1">
      <alignment readingOrder="0" shrinkToFit="0" vertical="bottom" wrapText="0"/>
    </xf>
    <xf borderId="9" fillId="4" fontId="11" numFmtId="3" xfId="0" applyAlignment="1" applyBorder="1" applyFont="1" applyNumberFormat="1">
      <alignment horizontal="right" readingOrder="0" shrinkToFit="0" wrapText="0"/>
    </xf>
    <xf borderId="0" fillId="4" fontId="11" numFmtId="0" xfId="0" applyAlignment="1" applyFont="1">
      <alignment readingOrder="0" shrinkToFit="0" vertical="bottom" wrapText="0"/>
    </xf>
    <xf borderId="0" fillId="5" fontId="27" numFmtId="0" xfId="0" applyAlignment="1" applyFont="1">
      <alignment readingOrder="0" shrinkToFit="0" vertical="bottom" wrapText="0"/>
    </xf>
    <xf borderId="0" fillId="5" fontId="27" numFmtId="0" xfId="0" applyAlignment="1" applyFont="1">
      <alignment shrinkToFit="0" vertical="bottom" wrapText="0"/>
    </xf>
    <xf borderId="13" fillId="0" fontId="30" numFmtId="0" xfId="0" applyAlignment="1" applyBorder="1" applyFont="1">
      <alignment readingOrder="0"/>
    </xf>
    <xf borderId="1" fillId="8" fontId="27" numFmtId="0" xfId="0" applyAlignment="1" applyBorder="1" applyFont="1">
      <alignment readingOrder="0" shrinkToFit="0" wrapText="0"/>
    </xf>
    <xf borderId="0" fillId="0" fontId="37" numFmtId="0" xfId="0" applyAlignment="1" applyFont="1">
      <alignment readingOrder="0"/>
    </xf>
    <xf borderId="1" fillId="0" fontId="11" numFmtId="0" xfId="0" applyAlignment="1" applyBorder="1" applyFont="1">
      <alignment horizontal="right" readingOrder="0" shrinkToFit="0" vertical="bottom" wrapText="0"/>
    </xf>
    <xf borderId="9" fillId="0" fontId="11" numFmtId="0" xfId="0" applyAlignment="1" applyBorder="1" applyFont="1">
      <alignment readingOrder="0" shrinkToFit="0" vertical="bottom" wrapText="0"/>
    </xf>
    <xf borderId="11" fillId="0" fontId="11" numFmtId="0" xfId="0" applyAlignment="1" applyBorder="1" applyFont="1">
      <alignment horizontal="right" readingOrder="0" shrinkToFit="0" vertical="bottom" wrapText="0"/>
    </xf>
    <xf borderId="10" fillId="0" fontId="11" numFmtId="0" xfId="0" applyAlignment="1" applyBorder="1" applyFont="1">
      <alignment readingOrder="0" shrinkToFit="0" vertical="bottom" wrapText="0"/>
    </xf>
    <xf borderId="11" fillId="0" fontId="11" numFmtId="165" xfId="0" applyAlignment="1" applyBorder="1" applyFont="1" applyNumberFormat="1">
      <alignment horizontal="right" readingOrder="0" shrinkToFit="0" vertical="bottom" wrapText="0"/>
    </xf>
    <xf borderId="10" fillId="4" fontId="11" numFmtId="0" xfId="0" applyAlignment="1" applyBorder="1" applyFont="1">
      <alignment readingOrder="0" shrinkToFit="0" vertical="bottom" wrapText="0"/>
    </xf>
    <xf borderId="0" fillId="4" fontId="27" numFmtId="3" xfId="0" applyAlignment="1" applyFont="1" applyNumberFormat="1">
      <alignment readingOrder="0" shrinkToFit="0" vertical="bottom" wrapText="0"/>
    </xf>
    <xf borderId="0" fillId="9" fontId="27" numFmtId="3" xfId="0" applyAlignment="1" applyFont="1" applyNumberFormat="1">
      <alignment readingOrder="0" shrinkToFit="0" vertical="bottom" wrapText="0"/>
    </xf>
    <xf borderId="0" fillId="9" fontId="27" numFmtId="0" xfId="0" applyAlignment="1" applyFont="1">
      <alignment shrinkToFit="0" vertical="bottom" wrapText="0"/>
    </xf>
    <xf borderId="11" fillId="5" fontId="27" numFmtId="3" xfId="0" applyAlignment="1" applyBorder="1" applyFont="1" applyNumberFormat="1">
      <alignment readingOrder="0" shrinkToFit="0" vertical="bottom" wrapText="0"/>
    </xf>
    <xf borderId="10" fillId="5" fontId="27" numFmtId="3" xfId="0" applyAlignment="1" applyBorder="1" applyFont="1" applyNumberFormat="1">
      <alignment readingOrder="0" shrinkToFit="0" vertical="bottom" wrapText="0"/>
    </xf>
    <xf borderId="0" fillId="5" fontId="27" numFmtId="3" xfId="0" applyAlignment="1" applyFont="1" applyNumberForma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10" fontId="27" numFmtId="0" xfId="0" applyAlignment="1" applyFont="1">
      <alignment horizontal="right" readingOrder="0" shrinkToFit="0" vertical="bottom" wrapText="0"/>
    </xf>
    <xf borderId="0" fillId="10" fontId="27" numFmtId="0" xfId="0" applyAlignment="1" applyFont="1">
      <alignment readingOrder="0" shrinkToFit="0" vertical="bottom" wrapText="0"/>
    </xf>
    <xf borderId="13" fillId="13" fontId="30" numFmtId="0" xfId="0" applyAlignment="1" applyBorder="1" applyFill="1" applyFont="1">
      <alignment readingOrder="0"/>
    </xf>
    <xf borderId="8" fillId="13" fontId="30" numFmtId="0" xfId="0" applyAlignment="1" applyBorder="1" applyFont="1">
      <alignment readingOrder="0"/>
    </xf>
    <xf borderId="1" fillId="13" fontId="27" numFmtId="0" xfId="0" applyAlignment="1" applyBorder="1" applyFont="1">
      <alignment readingOrder="0"/>
    </xf>
    <xf borderId="9" fillId="13" fontId="27" numFmtId="0" xfId="0" applyAlignment="1" applyBorder="1" applyFont="1">
      <alignment readingOrder="0"/>
    </xf>
    <xf borderId="9" fillId="13" fontId="37" numFmtId="0" xfId="0" applyAlignment="1" applyBorder="1" applyFont="1">
      <alignment readingOrder="0"/>
    </xf>
    <xf borderId="0" fillId="13" fontId="11" numFmtId="0" xfId="0" applyAlignment="1" applyFont="1">
      <alignment shrinkToFit="0" vertical="bottom" wrapText="0"/>
    </xf>
    <xf borderId="1" fillId="13" fontId="11" numFmtId="0" xfId="0" applyAlignment="1" applyBorder="1" applyFont="1">
      <alignment horizontal="right" readingOrder="0" shrinkToFit="0" vertical="bottom" wrapText="0"/>
    </xf>
    <xf borderId="9" fillId="13" fontId="11" numFmtId="3" xfId="0" applyAlignment="1" applyBorder="1" applyFont="1" applyNumberFormat="1">
      <alignment readingOrder="0" shrinkToFit="0" vertical="bottom" wrapText="0"/>
    </xf>
    <xf borderId="9" fillId="13" fontId="11" numFmtId="0" xfId="0" applyAlignment="1" applyBorder="1" applyFont="1">
      <alignment shrinkToFit="0" vertical="bottom" wrapText="0"/>
    </xf>
    <xf borderId="10" fillId="13" fontId="11" numFmtId="3" xfId="0" applyAlignment="1" applyBorder="1" applyFont="1" applyNumberFormat="1">
      <alignment readingOrder="0" shrinkToFit="0" vertical="bottom" wrapText="0"/>
    </xf>
    <xf borderId="1" fillId="13" fontId="11" numFmtId="0" xfId="0" applyAlignment="1" applyBorder="1" applyFont="1">
      <alignment readingOrder="0" shrinkToFit="0" vertical="bottom" wrapText="0"/>
    </xf>
    <xf borderId="11" fillId="13" fontId="11" numFmtId="0" xfId="0" applyAlignment="1" applyBorder="1" applyFont="1">
      <alignment horizontal="right" readingOrder="0" shrinkToFit="0" vertical="bottom" wrapText="0"/>
    </xf>
    <xf borderId="10" fillId="13" fontId="11" numFmtId="0" xfId="0" applyAlignment="1" applyBorder="1" applyFont="1">
      <alignment shrinkToFit="0" vertical="bottom" wrapText="0"/>
    </xf>
    <xf borderId="11" fillId="13" fontId="11" numFmtId="165" xfId="0" applyAlignment="1" applyBorder="1" applyFont="1" applyNumberFormat="1">
      <alignment horizontal="right" readingOrder="0" shrinkToFit="0" vertical="bottom" wrapText="0"/>
    </xf>
    <xf borderId="10" fillId="4" fontId="11" numFmtId="0" xfId="0" applyAlignment="1" applyBorder="1" applyFont="1">
      <alignment shrinkToFit="0" vertical="bottom" wrapText="0"/>
    </xf>
    <xf borderId="0" fillId="13" fontId="11" numFmtId="0" xfId="0" applyAlignment="1" applyFont="1">
      <alignment readingOrder="0" shrinkToFit="0" vertical="bottom" wrapText="0"/>
    </xf>
    <xf borderId="10" fillId="13" fontId="27" numFmtId="0" xfId="0" applyAlignment="1" applyBorder="1" applyFont="1">
      <alignment shrinkToFit="0" vertical="bottom" wrapText="0"/>
    </xf>
    <xf borderId="10" fillId="13" fontId="11" numFmtId="0" xfId="0" applyAlignment="1" applyBorder="1" applyFont="1">
      <alignment readingOrder="0" shrinkToFit="0" vertical="bottom" wrapText="0"/>
    </xf>
    <xf borderId="11" fillId="13" fontId="11" numFmtId="0" xfId="0" applyAlignment="1" applyBorder="1" applyFont="1">
      <alignment shrinkToFit="0" vertical="bottom" wrapText="0"/>
    </xf>
    <xf borderId="10" fillId="13" fontId="27" numFmtId="3" xfId="0" applyAlignment="1" applyBorder="1" applyFont="1" applyNumberFormat="1">
      <alignment readingOrder="0" shrinkToFit="0" vertical="bottom" wrapText="0"/>
    </xf>
    <xf borderId="0" fillId="13" fontId="27" numFmtId="3" xfId="0" applyAlignment="1" applyFont="1" applyNumberFormat="1">
      <alignment readingOrder="0" shrinkToFit="0" vertical="bottom" wrapText="0"/>
    </xf>
    <xf borderId="1" fillId="10" fontId="31" numFmtId="3" xfId="0" applyAlignment="1" applyBorder="1" applyFont="1" applyNumberFormat="1">
      <alignment readingOrder="0" shrinkToFit="0" vertical="bottom" wrapText="0"/>
    </xf>
    <xf borderId="8" fillId="0" fontId="30" numFmtId="0" xfId="0" applyAlignment="1" applyBorder="1" applyFont="1">
      <alignment horizontal="center" readingOrder="0"/>
    </xf>
    <xf borderId="9" fillId="0" fontId="11" numFmtId="0" xfId="0" applyAlignment="1" applyBorder="1" applyFont="1">
      <alignment shrinkToFit="0" vertical="bottom" wrapText="0"/>
    </xf>
    <xf borderId="10" fillId="0" fontId="11" numFmtId="0" xfId="0" applyAlignment="1" applyBorder="1" applyFont="1">
      <alignment shrinkToFit="0" vertical="bottom" wrapText="0"/>
    </xf>
    <xf borderId="11" fillId="0" fontId="38" numFmtId="165" xfId="0" applyAlignment="1" applyBorder="1" applyFont="1" applyNumberFormat="1">
      <alignment horizontal="right" readingOrder="0" shrinkToFit="0" vertical="bottom" wrapText="0"/>
    </xf>
    <xf borderId="10" fillId="0" fontId="38" numFmtId="3" xfId="0" applyAlignment="1" applyBorder="1" applyFont="1" applyNumberFormat="1">
      <alignment readingOrder="0" shrinkToFit="0" vertical="bottom" wrapText="0"/>
    </xf>
    <xf borderId="10" fillId="0" fontId="38" numFmtId="0" xfId="0" applyAlignment="1" applyBorder="1" applyFont="1">
      <alignment shrinkToFit="0" vertical="bottom" wrapText="0"/>
    </xf>
    <xf borderId="0" fillId="0" fontId="9" numFmtId="0" xfId="0" applyFont="1"/>
    <xf borderId="0" fillId="4" fontId="3" numFmtId="0" xfId="0" applyAlignment="1" applyFont="1">
      <alignment readingOrder="0"/>
    </xf>
    <xf borderId="9" fillId="0" fontId="38" numFmtId="3" xfId="0" applyAlignment="1" applyBorder="1" applyFont="1" applyNumberFormat="1">
      <alignment horizontal="right" vertical="bottom"/>
    </xf>
    <xf borderId="9" fillId="0" fontId="38" numFmtId="3" xfId="0" applyAlignment="1" applyBorder="1" applyFont="1" applyNumberFormat="1">
      <alignment readingOrder="0" shrinkToFit="0" vertical="bottom" wrapText="0"/>
    </xf>
    <xf borderId="6" fillId="0" fontId="11" numFmtId="0" xfId="0" applyAlignment="1" applyBorder="1" applyFont="1">
      <alignment horizontal="right" readingOrder="0" shrinkToFit="0" vertical="bottom" wrapText="0"/>
    </xf>
    <xf borderId="11" fillId="5" fontId="31" numFmtId="3" xfId="0" applyAlignment="1" applyBorder="1" applyFont="1" applyNumberFormat="1">
      <alignment readingOrder="0" shrinkToFit="0" vertical="bottom" wrapText="0"/>
    </xf>
    <xf borderId="10" fillId="5" fontId="31" numFmtId="3" xfId="0" applyAlignment="1" applyBorder="1" applyFont="1" applyNumberFormat="1">
      <alignment readingOrder="0" shrinkToFit="0" vertical="bottom" wrapText="0"/>
    </xf>
    <xf borderId="10" fillId="5" fontId="11" numFmtId="0" xfId="0" applyAlignment="1" applyBorder="1" applyFont="1">
      <alignment shrinkToFit="0" vertical="bottom" wrapText="0"/>
    </xf>
    <xf borderId="10" fillId="5" fontId="31" numFmtId="3" xfId="0" applyAlignment="1" applyBorder="1" applyFont="1" applyNumberFormat="1">
      <alignment shrinkToFit="0" vertical="bottom" wrapText="0"/>
    </xf>
    <xf borderId="0" fillId="0" fontId="18" numFmtId="3" xfId="0" applyFont="1" applyNumberFormat="1"/>
    <xf borderId="14" fillId="0" fontId="26" numFmtId="0" xfId="0" applyAlignment="1" applyBorder="1" applyFont="1">
      <alignment shrinkToFit="0" vertical="center" wrapText="1"/>
    </xf>
    <xf borderId="0" fillId="3" fontId="2" numFmtId="0" xfId="0" applyFont="1"/>
    <xf borderId="0" fillId="0" fontId="8" numFmtId="0" xfId="0" applyFont="1"/>
    <xf borderId="0" fillId="5" fontId="25" numFmtId="164" xfId="0" applyFont="1" applyNumberFormat="1"/>
    <xf borderId="0" fillId="5" fontId="25" numFmtId="0" xfId="0" applyFont="1"/>
    <xf borderId="0" fillId="14" fontId="39" numFmtId="164" xfId="0" applyFill="1" applyFont="1" applyNumberFormat="1"/>
    <xf borderId="0" fillId="0" fontId="25" numFmtId="164" xfId="0" applyFont="1" applyNumberFormat="1"/>
    <xf borderId="0" fillId="5" fontId="1" numFmtId="0" xfId="0" applyAlignment="1" applyFont="1">
      <alignment readingOrder="0" shrinkToFit="0" vertical="bottom" wrapText="0"/>
    </xf>
    <xf borderId="0" fillId="5" fontId="1" numFmtId="0" xfId="0" applyAlignment="1" applyFont="1">
      <alignment shrinkToFit="0" vertical="bottom" wrapText="0"/>
    </xf>
    <xf borderId="11" fillId="0" fontId="26" numFmtId="0" xfId="0" applyAlignment="1" applyBorder="1" applyFont="1">
      <alignment shrinkToFit="0" vertical="center" wrapText="1"/>
    </xf>
    <xf borderId="11" fillId="0" fontId="26" numFmtId="0" xfId="0" applyAlignment="1" applyBorder="1" applyFont="1">
      <alignment readingOrder="0" shrinkToFit="0" vertical="center" wrapText="1"/>
    </xf>
    <xf borderId="1" fillId="0" fontId="4" numFmtId="14" xfId="0" applyAlignment="1" applyBorder="1" applyFont="1" applyNumberFormat="1">
      <alignment readingOrder="0" shrinkToFit="0" vertical="bottom" wrapText="0"/>
    </xf>
    <xf borderId="1" fillId="5" fontId="25" numFmtId="164" xfId="0" applyBorder="1" applyFont="1" applyNumberFormat="1"/>
    <xf borderId="1" fillId="3" fontId="25" numFmtId="0" xfId="0" applyBorder="1" applyFont="1"/>
    <xf borderId="2" fillId="5" fontId="1" numFmtId="0" xfId="0" applyAlignment="1" applyBorder="1" applyFont="1">
      <alignment readingOrder="0" shrinkToFit="0" vertical="bottom" wrapText="0"/>
    </xf>
    <xf borderId="0" fillId="11" fontId="3" numFmtId="0" xfId="0" applyAlignment="1" applyFont="1">
      <alignment readingOrder="0"/>
    </xf>
    <xf borderId="0" fillId="4" fontId="3" numFmtId="0" xfId="0" applyFont="1"/>
    <xf borderId="1" fillId="4" fontId="4" numFmtId="164" xfId="0" applyAlignment="1" applyBorder="1" applyFont="1" applyNumberFormat="1">
      <alignment shrinkToFit="0" vertical="bottom" wrapText="0"/>
    </xf>
    <xf borderId="2" fillId="7" fontId="1" numFmtId="164" xfId="0" applyAlignment="1" applyBorder="1" applyFont="1" applyNumberFormat="1">
      <alignment shrinkToFit="0" vertical="bottom" wrapText="0"/>
    </xf>
    <xf borderId="2" fillId="5" fontId="4" numFmtId="164" xfId="0" applyAlignment="1" applyBorder="1" applyFont="1" applyNumberFormat="1">
      <alignment shrinkToFit="0" vertical="bottom" wrapText="0"/>
    </xf>
    <xf borderId="0" fillId="0" fontId="3" numFmtId="164" xfId="0" applyFont="1" applyNumberFormat="1"/>
    <xf borderId="0" fillId="2" fontId="18" numFmtId="164" xfId="0" applyFont="1" applyNumberFormat="1"/>
    <xf borderId="3" fillId="0" fontId="26" numFmtId="0" xfId="0" applyAlignment="1" applyBorder="1" applyFont="1">
      <alignment horizontal="center" shrinkToFit="0" vertical="center" wrapText="1"/>
    </xf>
    <xf borderId="4" fillId="0" fontId="26" numFmtId="0" xfId="0" applyAlignment="1" applyBorder="1" applyFont="1">
      <alignment horizontal="center" shrinkToFit="0" vertical="center" wrapText="1"/>
    </xf>
    <xf borderId="1" fillId="0" fontId="11" numFmtId="0" xfId="0" applyAlignment="1" applyBorder="1" applyFont="1">
      <alignment horizontal="right" readingOrder="0"/>
    </xf>
    <xf borderId="1" fillId="0" fontId="3" numFmtId="3" xfId="0" applyAlignment="1" applyBorder="1" applyFont="1" applyNumberFormat="1">
      <alignment readingOrder="0"/>
    </xf>
    <xf borderId="1" fillId="0" fontId="11" numFmtId="0" xfId="0" applyAlignment="1" applyBorder="1" applyFont="1">
      <alignment horizontal="center" readingOrder="0"/>
    </xf>
    <xf borderId="1" fillId="0" fontId="32" numFmtId="0" xfId="0" applyAlignment="1" applyBorder="1" applyFont="1">
      <alignment readingOrder="0"/>
    </xf>
    <xf borderId="1" fillId="12" fontId="31" numFmtId="3" xfId="0" applyAlignment="1" applyBorder="1" applyFont="1" applyNumberFormat="1">
      <alignment horizontal="center" readingOrder="0"/>
    </xf>
    <xf borderId="1" fillId="12" fontId="3" numFmtId="0" xfId="0" applyBorder="1" applyFont="1"/>
    <xf borderId="1" fillId="0" fontId="2" numFmtId="3" xfId="0" applyBorder="1" applyFont="1" applyNumberFormat="1"/>
    <xf borderId="0" fillId="0" fontId="2" numFmtId="3" xfId="0" applyFont="1" applyNumberFormat="1"/>
    <xf borderId="1" fillId="0" fontId="11" numFmtId="165" xfId="0" applyAlignment="1" applyBorder="1" applyFont="1" applyNumberFormat="1">
      <alignment horizontal="right" readingOrder="0"/>
    </xf>
    <xf borderId="1" fillId="0" fontId="2" numFmtId="0" xfId="0" applyBorder="1" applyFont="1"/>
    <xf borderId="0" fillId="0" fontId="18" numFmtId="0" xfId="0" applyFont="1"/>
    <xf borderId="0" fillId="5" fontId="3" numFmtId="0" xfId="0" applyAlignment="1" applyFont="1">
      <alignment readingOrder="0"/>
    </xf>
    <xf borderId="0" fillId="5" fontId="3" numFmtId="0" xfId="0" applyFont="1"/>
    <xf borderId="1" fillId="0" fontId="11" numFmtId="165" xfId="0" applyAlignment="1" applyBorder="1" applyFont="1" applyNumberFormat="1">
      <alignment horizontal="right" readingOrder="0" shrinkToFit="0" vertical="bottom" wrapText="0"/>
    </xf>
    <xf borderId="10" fillId="9" fontId="11" numFmtId="3" xfId="0" applyAlignment="1" applyBorder="1" applyFont="1" applyNumberFormat="1">
      <alignment readingOrder="0" shrinkToFit="0" vertical="bottom" wrapText="0"/>
    </xf>
    <xf borderId="0" fillId="0" fontId="30" numFmtId="0" xfId="0" applyAlignment="1" applyFont="1">
      <alignment readingOrder="0"/>
    </xf>
    <xf borderId="0" fillId="0" fontId="40" numFmtId="0" xfId="0" applyAlignment="1" applyFont="1">
      <alignment readingOrder="0" shrinkToFit="0" vertical="bottom" wrapText="0"/>
    </xf>
    <xf borderId="0" fillId="0" fontId="27" numFmtId="3" xfId="0" applyAlignment="1" applyFont="1" applyNumberFormat="1">
      <alignment shrinkToFit="0" vertical="bottom" wrapText="0"/>
    </xf>
    <xf borderId="0" fillId="0" fontId="31" numFmtId="3" xfId="0" applyAlignment="1" applyFont="1" applyNumberFormat="1">
      <alignment shrinkToFit="0" vertical="bottom" wrapText="0"/>
    </xf>
    <xf borderId="1" fillId="0" fontId="11" numFmtId="3" xfId="0" applyAlignment="1" applyBorder="1" applyFont="1" applyNumberFormat="1">
      <alignment readingOrder="0" shrinkToFit="0" vertical="bottom" wrapText="0"/>
    </xf>
    <xf borderId="1" fillId="0" fontId="11" numFmtId="0" xfId="0" applyAlignment="1" applyBorder="1" applyFont="1">
      <alignment shrinkToFit="0" vertical="bottom" wrapText="0"/>
    </xf>
    <xf borderId="0" fillId="0" fontId="15" numFmtId="0" xfId="0" applyFont="1"/>
    <xf borderId="0" fillId="0" fontId="15" numFmtId="0" xfId="0" applyAlignment="1" applyFont="1">
      <alignment readingOrder="0"/>
    </xf>
    <xf borderId="1" fillId="0" fontId="11" numFmtId="0" xfId="0" applyAlignment="1" applyBorder="1" applyFont="1">
      <alignment readingOrder="0" shrinkToFit="0" vertical="bottom" wrapText="0"/>
    </xf>
    <xf borderId="1" fillId="3" fontId="11" numFmtId="0" xfId="0" applyAlignment="1" applyBorder="1" applyFont="1">
      <alignment shrinkToFit="0" vertical="bottom" wrapText="0"/>
    </xf>
    <xf borderId="1" fillId="3" fontId="27" numFmtId="3" xfId="0" applyAlignment="1" applyBorder="1" applyFont="1" applyNumberFormat="1">
      <alignment readingOrder="0" shrinkToFit="0" vertical="bottom" wrapText="0"/>
    </xf>
    <xf borderId="0" fillId="2" fontId="25" numFmtId="3" xfId="0" applyFont="1" applyNumberFormat="1"/>
    <xf borderId="0" fillId="15" fontId="39" numFmtId="3" xfId="0" applyFill="1" applyFont="1" applyNumberFormat="1"/>
    <xf borderId="0" fillId="11" fontId="25" numFmtId="3" xfId="0" applyFont="1" applyNumberFormat="1"/>
    <xf borderId="0" fillId="16" fontId="39" numFmtId="3" xfId="0" applyFill="1" applyFont="1" applyNumberFormat="1"/>
    <xf borderId="0" fillId="0" fontId="38" numFmtId="0" xfId="0" applyAlignment="1" applyFont="1">
      <alignment readingOrder="0"/>
    </xf>
    <xf borderId="0" fillId="9" fontId="27" numFmtId="0" xfId="0" applyAlignment="1" applyFont="1">
      <alignment readingOrder="0" shrinkToFit="0" vertical="bottom" wrapText="0"/>
    </xf>
    <xf borderId="0" fillId="0" fontId="27" numFmtId="3" xfId="0" applyAlignment="1" applyFont="1" applyNumberFormat="1">
      <alignment readingOrder="0" shrinkToFit="0" vertical="bottom" wrapText="0"/>
    </xf>
    <xf borderId="0" fillId="10" fontId="27" numFmtId="3" xfId="0" applyAlignment="1" applyFont="1" applyNumberFormat="1">
      <alignment readingOrder="0" shrinkToFit="0" vertical="bottom" wrapText="0"/>
    </xf>
    <xf borderId="0" fillId="5" fontId="41" numFmtId="0" xfId="0" applyAlignment="1" applyFont="1">
      <alignment readingOrder="0"/>
    </xf>
    <xf borderId="0" fillId="0" fontId="42" numFmtId="0" xfId="0" applyAlignment="1" applyFont="1">
      <alignment readingOrder="0"/>
    </xf>
    <xf borderId="0" fillId="3" fontId="34" numFmtId="0" xfId="0" applyAlignment="1" applyFont="1">
      <alignment readingOrder="0" shrinkToFit="0" wrapText="0"/>
    </xf>
    <xf borderId="13" fillId="0" fontId="42" numFmtId="0" xfId="0" applyAlignment="1" applyBorder="1" applyFont="1">
      <alignment readingOrder="0"/>
    </xf>
    <xf borderId="8" fillId="0" fontId="42" numFmtId="0" xfId="0" applyAlignment="1" applyBorder="1" applyFont="1">
      <alignment readingOrder="0"/>
    </xf>
    <xf borderId="0" fillId="3" fontId="0" numFmtId="0" xfId="0" applyFont="1"/>
    <xf borderId="10" fillId="5" fontId="11" numFmtId="3" xfId="0" applyAlignment="1" applyBorder="1" applyFont="1" applyNumberFormat="1">
      <alignment readingOrder="0" shrinkToFit="0" wrapText="0"/>
    </xf>
    <xf borderId="10" fillId="14" fontId="11" numFmtId="3" xfId="0" applyAlignment="1" applyBorder="1" applyFont="1" applyNumberFormat="1">
      <alignment readingOrder="0" shrinkToFit="0" wrapText="0"/>
    </xf>
    <xf borderId="1" fillId="9" fontId="27" numFmtId="3" xfId="0" applyAlignment="1" applyBorder="1" applyFont="1" applyNumberFormat="1">
      <alignment readingOrder="0" shrinkToFit="0" vertical="bottom" wrapText="0"/>
    </xf>
    <xf borderId="1" fillId="9" fontId="27" numFmtId="0" xfId="0" applyAlignment="1" applyBorder="1" applyFont="1">
      <alignment shrinkToFit="0" vertical="bottom" wrapText="0"/>
    </xf>
    <xf borderId="1" fillId="9" fontId="27" numFmtId="0" xfId="0" applyAlignment="1" applyBorder="1" applyFont="1">
      <alignment readingOrder="0" shrinkToFit="0" vertical="bottom" wrapText="0"/>
    </xf>
    <xf borderId="1" fillId="10" fontId="27" numFmtId="3" xfId="0" applyAlignment="1" applyBorder="1" applyFont="1" applyNumberFormat="1">
      <alignment readingOrder="0" shrinkToFit="0" vertical="bottom" wrapText="0"/>
    </xf>
    <xf borderId="0" fillId="5" fontId="31" numFmtId="0" xfId="0" applyAlignment="1" applyFont="1">
      <alignment readingOrder="0" shrinkToFit="0" vertical="bottom" wrapText="0"/>
    </xf>
    <xf borderId="0" fillId="5" fontId="31" numFmtId="0" xfId="0" applyAlignment="1" applyFont="1">
      <alignment shrinkToFit="0" vertical="bottom" wrapText="0"/>
    </xf>
    <xf borderId="0" fillId="4" fontId="11" numFmtId="0" xfId="0" applyAlignment="1" applyFont="1">
      <alignment shrinkToFit="0" vertical="bottom" wrapText="0"/>
    </xf>
    <xf borderId="0" fillId="0" fontId="27" numFmtId="0" xfId="0" applyAlignment="1" applyFont="1">
      <alignment shrinkToFit="0" vertical="bottom" wrapText="0"/>
    </xf>
    <xf borderId="0" fillId="5" fontId="43" numFmtId="0" xfId="0" applyAlignment="1" applyFont="1">
      <alignment readingOrder="0" shrinkToFit="0" vertical="bottom" wrapText="0"/>
    </xf>
    <xf borderId="0" fillId="5" fontId="43" numFmtId="0" xfId="0" applyAlignment="1" applyFont="1">
      <alignment shrinkToFit="0" vertical="bottom" wrapText="0"/>
    </xf>
    <xf borderId="2" fillId="5" fontId="43" numFmtId="0" xfId="0" applyAlignment="1" applyBorder="1" applyFont="1">
      <alignment shrinkToFit="0" vertical="bottom" wrapText="0"/>
    </xf>
    <xf borderId="2" fillId="5" fontId="43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center" readingOrder="0"/>
    </xf>
    <xf borderId="4" fillId="0" fontId="26" numFmtId="0" xfId="0" applyAlignment="1" applyBorder="1" applyFont="1">
      <alignment readingOrder="0" shrinkToFit="0" vertical="center" wrapText="1"/>
    </xf>
    <xf borderId="1" fillId="0" fontId="3" numFmtId="1" xfId="0" applyBorder="1" applyFont="1" applyNumberFormat="1"/>
    <xf borderId="0" fillId="0" fontId="3" numFmtId="1" xfId="0" applyFont="1" applyNumberFormat="1"/>
    <xf borderId="15" fillId="7" fontId="1" numFmtId="164" xfId="0" applyAlignment="1" applyBorder="1" applyFont="1" applyNumberFormat="1">
      <alignment shrinkToFit="0" vertical="bottom" wrapText="0"/>
    </xf>
    <xf borderId="0" fillId="5" fontId="44" numFmtId="0" xfId="0" applyAlignment="1" applyFont="1">
      <alignment readingOrder="0"/>
    </xf>
    <xf borderId="1" fillId="0" fontId="4" numFmtId="164" xfId="0" applyAlignment="1" applyBorder="1" applyFont="1" applyNumberFormat="1">
      <alignment horizontal="right" vertical="bottom"/>
    </xf>
    <xf borderId="0" fillId="3" fontId="15" numFmtId="164" xfId="0" applyFont="1" applyNumberFormat="1"/>
    <xf borderId="0" fillId="0" fontId="2" numFmtId="164" xfId="0" applyFont="1" applyNumberFormat="1"/>
    <xf borderId="0" fillId="2" fontId="2" numFmtId="164" xfId="0" applyFont="1" applyNumberFormat="1"/>
    <xf borderId="0" fillId="17" fontId="45" numFmtId="0" xfId="0" applyAlignment="1" applyFill="1" applyFont="1">
      <alignment readingOrder="0" shrinkToFit="0" vertical="bottom" wrapText="0"/>
    </xf>
    <xf borderId="0" fillId="17" fontId="45" numFmtId="0" xfId="0" applyAlignment="1" applyFont="1">
      <alignment shrinkToFit="0" vertical="bottom" wrapText="0"/>
    </xf>
    <xf borderId="0" fillId="17" fontId="11" numFmtId="0" xfId="0" applyAlignment="1" applyFont="1">
      <alignment shrinkToFit="0" vertical="bottom" wrapText="0"/>
    </xf>
    <xf borderId="1" fillId="8" fontId="27" numFmtId="0" xfId="0" applyAlignment="1" applyBorder="1" applyFont="1">
      <alignment readingOrder="0"/>
    </xf>
    <xf borderId="10" fillId="0" fontId="27" numFmtId="3" xfId="0" applyAlignment="1" applyBorder="1" applyFont="1" applyNumberFormat="1">
      <alignment readingOrder="0" shrinkToFit="0" vertical="bottom" wrapText="0"/>
    </xf>
    <xf borderId="10" fillId="0" fontId="31" numFmtId="3" xfId="0" applyAlignment="1" applyBorder="1" applyFont="1" applyNumberFormat="1">
      <alignment readingOrder="0" shrinkToFit="0" vertical="bottom" wrapText="0"/>
    </xf>
    <xf borderId="0" fillId="8" fontId="27" numFmtId="0" xfId="0" applyAlignment="1" applyFont="1">
      <alignment readingOrder="0"/>
    </xf>
    <xf borderId="0" fillId="17" fontId="45" numFmtId="0" xfId="0" applyAlignment="1" applyFont="1">
      <alignment readingOrder="0" shrinkToFit="0" wrapText="0"/>
    </xf>
    <xf borderId="0" fillId="5" fontId="5" numFmtId="0" xfId="0" applyFont="1"/>
    <xf borderId="0" fillId="0" fontId="2" numFmtId="0" xfId="0" applyFont="1"/>
    <xf borderId="10" fillId="0" fontId="11" numFmtId="3" xfId="0" applyAlignment="1" applyBorder="1" applyFont="1" applyNumberFormat="1">
      <alignment shrinkToFit="0" vertical="bottom" wrapText="0"/>
    </xf>
    <xf borderId="0" fillId="2" fontId="46" numFmtId="0" xfId="0" applyAlignment="1" applyFont="1">
      <alignment readingOrder="0"/>
    </xf>
    <xf borderId="0" fillId="5" fontId="2" numFmtId="3" xfId="0" applyFont="1" applyNumberFormat="1"/>
    <xf borderId="1" fillId="0" fontId="4" numFmtId="3" xfId="0" applyAlignment="1" applyBorder="1" applyFont="1" applyNumberFormat="1">
      <alignment horizontal="right" vertical="bottom"/>
    </xf>
    <xf borderId="0" fillId="3" fontId="47" numFmtId="0" xfId="0" applyFont="1"/>
    <xf borderId="0" fillId="5" fontId="18" numFmtId="3" xfId="0" applyFont="1" applyNumberFormat="1"/>
    <xf borderId="0" fillId="3" fontId="27" numFmtId="0" xfId="0" applyAlignment="1" applyFont="1">
      <alignment readingOrder="0"/>
    </xf>
    <xf borderId="0" fillId="3" fontId="27" numFmtId="0" xfId="0" applyAlignment="1" applyFont="1">
      <alignment readingOrder="0" shrinkToFit="0" wrapText="0"/>
    </xf>
    <xf borderId="0" fillId="3" fontId="45" numFmtId="0" xfId="0" applyAlignment="1" applyFont="1">
      <alignment readingOrder="0" shrinkToFit="0" vertical="bottom" wrapText="0"/>
    </xf>
    <xf borderId="0" fillId="3" fontId="45" numFmtId="0" xfId="0" applyAlignment="1" applyFont="1">
      <alignment shrinkToFit="0" vertical="bottom" wrapText="0"/>
    </xf>
    <xf borderId="0" fillId="3" fontId="45" numFmtId="0" xfId="0" applyAlignment="1" applyFont="1">
      <alignment readingOrder="0" shrinkToFit="0" wrapText="0"/>
    </xf>
    <xf borderId="1" fillId="3" fontId="27" numFmtId="0" xfId="0" applyAlignment="1" applyBorder="1" applyFont="1">
      <alignment readingOrder="0"/>
    </xf>
    <xf borderId="9" fillId="3" fontId="27" numFmtId="0" xfId="0" applyAlignment="1" applyBorder="1" applyFont="1">
      <alignment readingOrder="0" shrinkToFit="0" wrapText="0"/>
    </xf>
    <xf borderId="0" fillId="5" fontId="2" numFmtId="0" xfId="0" applyFont="1"/>
    <xf borderId="0" fillId="18" fontId="18" numFmtId="0" xfId="0" applyAlignment="1" applyFill="1" applyFont="1">
      <alignment readingOrder="0"/>
    </xf>
    <xf borderId="1" fillId="0" fontId="30" numFmtId="0" xfId="0" applyAlignment="1" applyBorder="1" applyFont="1">
      <alignment readingOrder="0"/>
    </xf>
    <xf borderId="9" fillId="0" fontId="30" numFmtId="0" xfId="0" applyAlignment="1" applyBorder="1" applyFont="1">
      <alignment horizontal="center" readingOrder="0"/>
    </xf>
    <xf borderId="9" fillId="0" fontId="30" numFmtId="0" xfId="0" applyAlignment="1" applyBorder="1" applyFont="1">
      <alignment readingOrder="0"/>
    </xf>
    <xf borderId="11" fillId="0" fontId="11" numFmtId="0" xfId="0" applyAlignment="1" applyBorder="1" applyFont="1">
      <alignment horizontal="center" readingOrder="0" shrinkToFit="0" wrapText="0"/>
    </xf>
    <xf borderId="10" fillId="0" fontId="28" numFmtId="0" xfId="0" applyAlignment="1" applyBorder="1" applyFont="1">
      <alignment readingOrder="0" shrinkToFit="0" vertical="bottom" wrapText="0"/>
    </xf>
    <xf borderId="10" fillId="0" fontId="28" numFmtId="0" xfId="0" applyAlignment="1" applyBorder="1" applyFont="1">
      <alignment shrinkToFit="0" vertical="bottom" wrapText="0"/>
    </xf>
    <xf borderId="1" fillId="0" fontId="11" numFmtId="3" xfId="0" applyAlignment="1" applyBorder="1" applyFont="1" applyNumberFormat="1">
      <alignment horizontal="right" readingOrder="0" shrinkToFit="0" wrapText="0"/>
    </xf>
    <xf borderId="11" fillId="0" fontId="28" numFmtId="0" xfId="0" applyAlignment="1" applyBorder="1" applyFont="1">
      <alignment shrinkToFit="0" vertical="bottom" wrapText="0"/>
    </xf>
    <xf borderId="10" fillId="9" fontId="27" numFmtId="3" xfId="0" applyAlignment="1" applyBorder="1" applyFont="1" applyNumberFormat="1">
      <alignment horizontal="center" readingOrder="0" shrinkToFit="0" wrapText="0"/>
    </xf>
    <xf borderId="10" fillId="9" fontId="28" numFmtId="0" xfId="0" applyAlignment="1" applyBorder="1" applyFont="1">
      <alignment shrinkToFit="0" wrapText="0"/>
    </xf>
    <xf borderId="10" fillId="5" fontId="27" numFmtId="3" xfId="0" applyAlignment="1" applyBorder="1" applyFont="1" applyNumberFormat="1">
      <alignment horizontal="right" readingOrder="0" shrinkToFit="0" vertical="bottom" wrapText="0"/>
    </xf>
    <xf borderId="0" fillId="0" fontId="11" numFmtId="3" xfId="0" applyAlignment="1" applyFont="1" applyNumberFormat="1">
      <alignment horizontal="right" readingOrder="0" shrinkToFit="0" vertical="bottom" wrapText="0"/>
    </xf>
    <xf borderId="0" fillId="10" fontId="27" numFmtId="3" xfId="0" applyAlignment="1" applyFont="1" applyNumberFormat="1">
      <alignment horizontal="right" readingOrder="0" shrinkToFit="0" vertical="bottom" wrapText="0"/>
    </xf>
    <xf borderId="1" fillId="0" fontId="11" numFmtId="3" xfId="0" applyAlignment="1" applyBorder="1" applyFont="1" applyNumberFormat="1">
      <alignment horizontal="center" readingOrder="0" shrinkToFit="0" wrapText="0"/>
    </xf>
    <xf borderId="0" fillId="5" fontId="27" numFmtId="3" xfId="0" applyAlignment="1" applyFont="1" applyNumberFormat="1">
      <alignment horizontal="right" readingOrder="0" shrinkToFit="0" vertical="bottom" wrapText="0"/>
    </xf>
    <xf borderId="11" fillId="0" fontId="11" numFmtId="165" xfId="0" applyAlignment="1" applyBorder="1" applyFont="1" applyNumberFormat="1">
      <alignment horizontal="center" readingOrder="0" shrinkToFit="0" wrapText="0"/>
    </xf>
    <xf borderId="0" fillId="11" fontId="11" numFmtId="0" xfId="0" applyAlignment="1" applyFont="1">
      <alignment shrinkToFit="0" vertical="bottom" wrapText="0"/>
    </xf>
    <xf borderId="0" fillId="0" fontId="11" numFmtId="3" xfId="0" applyAlignment="1" applyFont="1" applyNumberFormat="1">
      <alignment shrinkToFit="0" vertical="bottom" wrapText="0"/>
    </xf>
    <xf borderId="0" fillId="14" fontId="45" numFmtId="3" xfId="0" applyAlignment="1" applyFont="1" applyNumberFormat="1">
      <alignment shrinkToFit="0" vertical="bottom" wrapText="0"/>
    </xf>
    <xf borderId="0" fillId="14" fontId="45" numFmtId="3" xfId="0" applyAlignment="1" applyFont="1" applyNumberFormat="1">
      <alignment horizontal="right" readingOrder="0" shrinkToFit="0" vertical="bottom" wrapText="0"/>
    </xf>
    <xf borderId="0" fillId="3" fontId="27" numFmtId="3" xfId="0" applyAlignment="1" applyFont="1" applyNumberFormat="1">
      <alignment horizontal="right" readingOrder="0" shrinkToFit="0" vertical="bottom" wrapText="0"/>
    </xf>
    <xf borderId="0" fillId="17" fontId="31" numFmtId="3" xfId="0" applyAlignment="1" applyFont="1" applyNumberFormat="1">
      <alignment horizontal="right" readingOrder="0" shrinkToFit="0" vertical="bottom" wrapText="0"/>
    </xf>
    <xf borderId="0" fillId="11" fontId="3" numFmtId="3" xfId="0" applyFont="1" applyNumberFormat="1"/>
    <xf borderId="0" fillId="5" fontId="27" numFmtId="3" xfId="0" applyAlignment="1" applyFont="1" applyNumberFormat="1">
      <alignment horizontal="center" readingOrder="0" shrinkToFit="0" vertical="bottom" wrapText="0"/>
    </xf>
    <xf borderId="0" fillId="19" fontId="2" numFmtId="3" xfId="0" applyFill="1" applyFont="1" applyNumberFormat="1"/>
    <xf borderId="0" fillId="0" fontId="18" numFmtId="0" xfId="0" applyAlignment="1" applyFont="1">
      <alignment readingOrder="0"/>
    </xf>
    <xf borderId="16" fillId="8" fontId="27" numFmtId="0" xfId="0" applyAlignment="1" applyBorder="1" applyFont="1">
      <alignment readingOrder="0" shrinkToFit="0" wrapText="0"/>
    </xf>
    <xf borderId="0" fillId="0" fontId="11" numFmtId="165" xfId="0" applyAlignment="1" applyFont="1" applyNumberFormat="1">
      <alignment horizontal="right" readingOrder="0" shrinkToFit="0" vertical="bottom" wrapText="0"/>
    </xf>
    <xf borderId="0" fillId="2" fontId="18" numFmtId="3" xfId="0" applyFont="1" applyNumberFormat="1"/>
    <xf borderId="1" fillId="6" fontId="1" numFmtId="0" xfId="0" applyAlignment="1" applyBorder="1" applyFont="1">
      <alignment shrinkToFit="0" vertical="center" wrapText="1"/>
    </xf>
    <xf borderId="0" fillId="0" fontId="25" numFmtId="0" xfId="0" applyAlignment="1" applyFont="1">
      <alignment readingOrder="0"/>
    </xf>
    <xf borderId="8" fillId="0" fontId="3" numFmtId="0" xfId="0" applyAlignment="1" applyBorder="1" applyFont="1">
      <alignment readingOrder="0"/>
    </xf>
    <xf borderId="6" fillId="0" fontId="29" numFmtId="0" xfId="0" applyBorder="1" applyFont="1"/>
    <xf borderId="7" fillId="0" fontId="29" numFmtId="0" xfId="0" applyBorder="1" applyFont="1"/>
    <xf borderId="7" fillId="0" fontId="30" numFmtId="0" xfId="0" applyAlignment="1" applyBorder="1" applyFont="1">
      <alignment horizontal="center" readingOrder="0"/>
    </xf>
    <xf borderId="7" fillId="0" fontId="3" numFmtId="0" xfId="0" applyAlignment="1" applyBorder="1" applyFont="1">
      <alignment readingOrder="0"/>
    </xf>
    <xf borderId="9" fillId="0" fontId="11" numFmtId="3" xfId="0" applyAlignment="1" applyBorder="1" applyFont="1" applyNumberFormat="1">
      <alignment horizontal="center" readingOrder="0"/>
    </xf>
    <xf borderId="9" fillId="0" fontId="3" numFmtId="0" xfId="0" applyBorder="1" applyFont="1"/>
    <xf borderId="11" fillId="0" fontId="11" numFmtId="0" xfId="0" applyAlignment="1" applyBorder="1" applyFont="1">
      <alignment horizontal="right" readingOrder="0"/>
    </xf>
    <xf borderId="10" fillId="0" fontId="11" numFmtId="3" xfId="0" applyAlignment="1" applyBorder="1" applyFont="1" applyNumberFormat="1">
      <alignment horizontal="center" readingOrder="0"/>
    </xf>
    <xf borderId="10" fillId="0" fontId="3" numFmtId="0" xfId="0" applyBorder="1" applyFont="1"/>
    <xf borderId="10" fillId="0" fontId="11" numFmtId="0" xfId="0" applyAlignment="1" applyBorder="1" applyFont="1">
      <alignment horizontal="center" readingOrder="0"/>
    </xf>
    <xf borderId="11" fillId="0" fontId="32" numFmtId="0" xfId="0" applyAlignment="1" applyBorder="1" applyFont="1">
      <alignment readingOrder="0"/>
    </xf>
    <xf borderId="10" fillId="12" fontId="31" numFmtId="3" xfId="0" applyAlignment="1" applyBorder="1" applyFont="1" applyNumberFormat="1">
      <alignment horizontal="center" readingOrder="0"/>
    </xf>
    <xf borderId="10" fillId="12" fontId="3" numFmtId="0" xfId="0" applyBorder="1" applyFont="1"/>
    <xf borderId="11" fillId="0" fontId="11" numFmtId="165" xfId="0" applyAlignment="1" applyBorder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2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33.43"/>
    <col customWidth="1" min="3" max="3" width="15.14"/>
    <col customWidth="1" min="4" max="4" width="12.57"/>
    <col customWidth="1" min="5" max="5" width="48.14"/>
    <col customWidth="1" min="6" max="6" width="15.57"/>
    <col customWidth="1" min="7" max="7" width="13.14"/>
    <col customWidth="1" min="8" max="8" width="13.0"/>
    <col customWidth="1" min="9" max="9" width="10.71"/>
    <col customWidth="1" min="10" max="10" width="10.86"/>
    <col customWidth="1" min="11" max="11" width="15.86"/>
    <col customWidth="1" min="12" max="12" width="10.57"/>
    <col customWidth="1" min="13" max="13" width="10.71"/>
    <col customWidth="1" min="14" max="27" width="8.0"/>
  </cols>
  <sheetData>
    <row r="1" ht="14.2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8</v>
      </c>
      <c r="K1" s="4" t="s">
        <v>9</v>
      </c>
      <c r="L1" s="4" t="s">
        <v>10</v>
      </c>
    </row>
    <row r="2" ht="14.25" customHeight="1">
      <c r="A2" s="5">
        <v>1.0</v>
      </c>
      <c r="B2" s="5" t="s">
        <v>11</v>
      </c>
      <c r="C2" s="6">
        <f>'Uwamahoro consolee'!G19</f>
        <v>100000</v>
      </c>
      <c r="D2" s="7">
        <f>'Uwamahoro consolee'!J19</f>
        <v>100000</v>
      </c>
      <c r="E2" s="8" t="s">
        <v>12</v>
      </c>
      <c r="F2" s="9">
        <v>45303.0</v>
      </c>
      <c r="G2" s="10">
        <f t="shared" ref="G2:G49" si="1">C2*80/100</f>
        <v>80000</v>
      </c>
      <c r="H2" s="10">
        <f t="shared" ref="H2:H49" si="2">C2*10/100</f>
        <v>10000</v>
      </c>
      <c r="I2" s="10">
        <f t="shared" ref="I2:I49" si="3">C2*5/100</f>
        <v>5000</v>
      </c>
      <c r="J2" s="10">
        <f t="shared" ref="J2:J49" si="4">C2*5/100</f>
        <v>5000</v>
      </c>
      <c r="K2" s="10"/>
      <c r="L2" s="4">
        <v>2600.0</v>
      </c>
      <c r="M2" s="4" t="s">
        <v>13</v>
      </c>
    </row>
    <row r="3" ht="14.25" customHeight="1">
      <c r="A3" s="5">
        <v>2.0</v>
      </c>
      <c r="B3" s="11" t="s">
        <v>14</v>
      </c>
      <c r="C3" s="7">
        <f>VESTINE_Francoise_CLOSED!G19</f>
        <v>75000</v>
      </c>
      <c r="D3" s="11">
        <v>0.0</v>
      </c>
      <c r="E3" s="12">
        <v>0.0</v>
      </c>
      <c r="F3" s="13" t="s">
        <v>15</v>
      </c>
      <c r="G3" s="10">
        <f t="shared" si="1"/>
        <v>60000</v>
      </c>
      <c r="H3" s="10">
        <f t="shared" si="2"/>
        <v>7500</v>
      </c>
      <c r="I3" s="10">
        <f t="shared" si="3"/>
        <v>3750</v>
      </c>
      <c r="J3" s="10">
        <f t="shared" si="4"/>
        <v>3750</v>
      </c>
      <c r="K3" s="10"/>
      <c r="L3" s="4">
        <v>4000.0</v>
      </c>
      <c r="M3" s="10"/>
    </row>
    <row r="4" ht="14.25" customHeight="1">
      <c r="A4" s="14">
        <v>3.0</v>
      </c>
      <c r="B4" s="14" t="s">
        <v>16</v>
      </c>
      <c r="C4" s="15">
        <f>'Mujawase EpiphanieCLOSED'!G31</f>
        <v>80000</v>
      </c>
      <c r="D4" s="15">
        <f>'Mujawase EpiphanieCLOSED'!J31</f>
        <v>0</v>
      </c>
      <c r="E4" s="16" t="s">
        <v>17</v>
      </c>
      <c r="F4" s="13" t="s">
        <v>15</v>
      </c>
      <c r="G4" s="10">
        <f t="shared" si="1"/>
        <v>64000</v>
      </c>
      <c r="H4" s="10">
        <f t="shared" si="2"/>
        <v>8000</v>
      </c>
      <c r="I4" s="10">
        <f t="shared" si="3"/>
        <v>4000</v>
      </c>
      <c r="J4" s="10">
        <f t="shared" si="4"/>
        <v>4000</v>
      </c>
      <c r="K4" s="10"/>
      <c r="L4" s="4">
        <v>2450.0</v>
      </c>
      <c r="M4" s="4" t="s">
        <v>18</v>
      </c>
    </row>
    <row r="5" ht="14.25" customHeight="1">
      <c r="A5" s="5">
        <v>4.0</v>
      </c>
      <c r="B5" s="5" t="s">
        <v>19</v>
      </c>
      <c r="C5" s="7">
        <f>'Nyirarukundo Mwamini CLOSED'!G19</f>
        <v>60000</v>
      </c>
      <c r="D5" s="11">
        <v>0.0</v>
      </c>
      <c r="E5" s="17" t="s">
        <v>20</v>
      </c>
      <c r="F5" s="18" t="s">
        <v>15</v>
      </c>
      <c r="G5" s="10">
        <f t="shared" si="1"/>
        <v>48000</v>
      </c>
      <c r="H5" s="10">
        <f t="shared" si="2"/>
        <v>6000</v>
      </c>
      <c r="I5" s="10">
        <f t="shared" si="3"/>
        <v>3000</v>
      </c>
      <c r="J5" s="10">
        <f t="shared" si="4"/>
        <v>3000</v>
      </c>
      <c r="K5" s="10"/>
      <c r="L5" s="19">
        <v>2585.0</v>
      </c>
      <c r="M5" s="4" t="s">
        <v>18</v>
      </c>
    </row>
    <row r="6" ht="14.25" customHeight="1">
      <c r="A6" s="5">
        <v>5.0</v>
      </c>
      <c r="B6" s="11" t="s">
        <v>21</v>
      </c>
      <c r="C6" s="6">
        <v>24000.0</v>
      </c>
      <c r="D6" s="11">
        <v>0.0</v>
      </c>
      <c r="E6" s="20"/>
      <c r="F6" s="18" t="s">
        <v>15</v>
      </c>
      <c r="G6" s="10">
        <f t="shared" si="1"/>
        <v>19200</v>
      </c>
      <c r="H6" s="10">
        <f t="shared" si="2"/>
        <v>2400</v>
      </c>
      <c r="I6" s="10">
        <f t="shared" si="3"/>
        <v>1200</v>
      </c>
      <c r="J6" s="10">
        <f t="shared" si="4"/>
        <v>1200</v>
      </c>
      <c r="K6" s="10"/>
      <c r="L6" s="10"/>
      <c r="M6" s="10"/>
    </row>
    <row r="7" ht="14.25" customHeight="1">
      <c r="A7" s="5">
        <v>6.0</v>
      </c>
      <c r="B7" s="5" t="s">
        <v>22</v>
      </c>
      <c r="C7" s="7">
        <f>'UWABABYEYI Aline_CLOSED'!G13</f>
        <v>12000</v>
      </c>
      <c r="D7" s="21">
        <f>'UWABABYEYI Aline_CLOSED'!J13</f>
        <v>0</v>
      </c>
      <c r="E7" s="20"/>
      <c r="F7" s="18" t="s">
        <v>15</v>
      </c>
      <c r="G7" s="10">
        <f t="shared" si="1"/>
        <v>9600</v>
      </c>
      <c r="H7" s="10">
        <f t="shared" si="2"/>
        <v>1200</v>
      </c>
      <c r="I7" s="10">
        <f t="shared" si="3"/>
        <v>600</v>
      </c>
      <c r="J7" s="10">
        <f t="shared" si="4"/>
        <v>600</v>
      </c>
      <c r="K7" s="10"/>
      <c r="L7" s="4">
        <v>950.0</v>
      </c>
      <c r="M7" s="10"/>
    </row>
    <row r="8" ht="14.25" customHeight="1">
      <c r="A8" s="5">
        <v>7.0</v>
      </c>
      <c r="B8" s="11" t="s">
        <v>23</v>
      </c>
      <c r="C8" s="7">
        <f>'Nezerwa Alice_CLOSED'!G10</f>
        <v>30000</v>
      </c>
      <c r="D8" s="11">
        <v>0.0</v>
      </c>
      <c r="E8" s="20"/>
      <c r="F8" s="18" t="s">
        <v>15</v>
      </c>
      <c r="G8" s="10">
        <f t="shared" si="1"/>
        <v>24000</v>
      </c>
      <c r="H8" s="10">
        <f t="shared" si="2"/>
        <v>3000</v>
      </c>
      <c r="I8" s="10">
        <f t="shared" si="3"/>
        <v>1500</v>
      </c>
      <c r="J8" s="10">
        <f t="shared" si="4"/>
        <v>1500</v>
      </c>
      <c r="K8" s="10"/>
      <c r="L8" s="4">
        <v>8835.0</v>
      </c>
      <c r="M8" s="10"/>
    </row>
    <row r="9" ht="14.25" customHeight="1">
      <c r="A9" s="5">
        <v>8.0</v>
      </c>
      <c r="B9" s="22" t="s">
        <v>24</v>
      </c>
      <c r="C9" s="23">
        <f>Francoise1_CLOSED!G33</f>
        <v>90000</v>
      </c>
      <c r="D9" s="24">
        <f>Francoise1_CLOSED!J33</f>
        <v>0</v>
      </c>
      <c r="E9" s="20"/>
      <c r="F9" s="18" t="s">
        <v>15</v>
      </c>
      <c r="G9" s="10">
        <f t="shared" si="1"/>
        <v>72000</v>
      </c>
      <c r="H9" s="10">
        <f t="shared" si="2"/>
        <v>9000</v>
      </c>
      <c r="I9" s="10">
        <f t="shared" si="3"/>
        <v>4500</v>
      </c>
      <c r="J9" s="10">
        <f t="shared" si="4"/>
        <v>4500</v>
      </c>
      <c r="K9" s="4"/>
      <c r="L9" s="4">
        <f t="shared" ref="L9:L11" si="5">1550+1550</f>
        <v>3100</v>
      </c>
      <c r="M9" s="10"/>
    </row>
    <row r="10" ht="14.25" customHeight="1">
      <c r="A10" s="5">
        <v>9.0</v>
      </c>
      <c r="B10" s="22" t="s">
        <v>25</v>
      </c>
      <c r="C10" s="23">
        <f>Francoise2!G33</f>
        <v>100000</v>
      </c>
      <c r="D10" s="24">
        <f>Francoise2!J33</f>
        <v>430000</v>
      </c>
      <c r="E10" s="8" t="s">
        <v>26</v>
      </c>
      <c r="F10" s="25">
        <v>45334.0</v>
      </c>
      <c r="G10" s="10">
        <f t="shared" si="1"/>
        <v>80000</v>
      </c>
      <c r="H10" s="10">
        <f t="shared" si="2"/>
        <v>10000</v>
      </c>
      <c r="I10" s="10">
        <f t="shared" si="3"/>
        <v>5000</v>
      </c>
      <c r="J10" s="10">
        <f t="shared" si="4"/>
        <v>5000</v>
      </c>
      <c r="K10" s="4"/>
      <c r="L10" s="4">
        <f t="shared" si="5"/>
        <v>3100</v>
      </c>
      <c r="M10" s="10"/>
    </row>
    <row r="11" ht="14.25" customHeight="1">
      <c r="A11" s="5">
        <v>10.0</v>
      </c>
      <c r="B11" s="22" t="s">
        <v>27</v>
      </c>
      <c r="C11" s="23">
        <f>Francoise3!G32</f>
        <v>100000</v>
      </c>
      <c r="D11" s="24">
        <f>Francoise3!J32</f>
        <v>430000</v>
      </c>
      <c r="E11" s="8" t="s">
        <v>26</v>
      </c>
      <c r="F11" s="25">
        <v>45334.0</v>
      </c>
      <c r="G11" s="10">
        <f t="shared" si="1"/>
        <v>80000</v>
      </c>
      <c r="H11" s="10">
        <f t="shared" si="2"/>
        <v>10000</v>
      </c>
      <c r="I11" s="10">
        <f t="shared" si="3"/>
        <v>5000</v>
      </c>
      <c r="J11" s="10">
        <f t="shared" si="4"/>
        <v>5000</v>
      </c>
      <c r="K11" s="4"/>
      <c r="L11" s="4">
        <f t="shared" si="5"/>
        <v>3100</v>
      </c>
      <c r="M11" s="10"/>
    </row>
    <row r="12" ht="14.25" customHeight="1">
      <c r="A12" s="22">
        <v>11.0</v>
      </c>
      <c r="B12" s="22" t="s">
        <v>28</v>
      </c>
      <c r="C12" s="23">
        <f>Solange1CLOSED!G15</f>
        <v>72000</v>
      </c>
      <c r="D12" s="26">
        <f>Solange1CLOSED!K15</f>
        <v>0</v>
      </c>
      <c r="E12" s="20"/>
      <c r="F12" s="13" t="s">
        <v>15</v>
      </c>
      <c r="G12" s="10">
        <f t="shared" si="1"/>
        <v>57600</v>
      </c>
      <c r="H12" s="27">
        <f t="shared" si="2"/>
        <v>7200</v>
      </c>
      <c r="I12" s="27">
        <f t="shared" si="3"/>
        <v>3600</v>
      </c>
      <c r="J12" s="27">
        <f t="shared" si="4"/>
        <v>3600</v>
      </c>
      <c r="K12" s="27"/>
      <c r="L12" s="27"/>
      <c r="M12" s="27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ht="14.25" customHeight="1">
      <c r="A13" s="22">
        <v>12.0</v>
      </c>
      <c r="B13" s="22" t="s">
        <v>29</v>
      </c>
      <c r="C13" s="23">
        <f>Solange2CLOSED!G14</f>
        <v>72000</v>
      </c>
      <c r="D13" s="26">
        <f>Solange2CLOSED!K14</f>
        <v>0</v>
      </c>
      <c r="E13" s="20"/>
      <c r="F13" s="13" t="s">
        <v>15</v>
      </c>
      <c r="G13" s="10">
        <f t="shared" si="1"/>
        <v>57600</v>
      </c>
      <c r="H13" s="27">
        <f t="shared" si="2"/>
        <v>7200</v>
      </c>
      <c r="I13" s="27">
        <f t="shared" si="3"/>
        <v>3600</v>
      </c>
      <c r="J13" s="27">
        <f t="shared" si="4"/>
        <v>3600</v>
      </c>
      <c r="K13" s="27"/>
      <c r="L13" s="27"/>
      <c r="M13" s="27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ht="14.25" customHeight="1">
      <c r="A14" s="22">
        <v>13.0</v>
      </c>
      <c r="B14" s="29" t="s">
        <v>30</v>
      </c>
      <c r="C14" s="23">
        <f>'UWIRAGIYE Jeanine_L1 _CLOSED'!G14</f>
        <v>12000</v>
      </c>
      <c r="D14" s="26">
        <f>'UWIRAGIYE Jeanine_L1 _CLOSED'!J14</f>
        <v>0</v>
      </c>
      <c r="E14" s="20"/>
      <c r="F14" s="13" t="s">
        <v>15</v>
      </c>
      <c r="G14" s="10">
        <f t="shared" si="1"/>
        <v>9600</v>
      </c>
      <c r="H14" s="30">
        <f t="shared" si="2"/>
        <v>1200</v>
      </c>
      <c r="I14" s="27">
        <f t="shared" si="3"/>
        <v>600</v>
      </c>
      <c r="J14" s="27">
        <f t="shared" si="4"/>
        <v>600</v>
      </c>
      <c r="K14" s="27"/>
      <c r="L14" s="31">
        <v>775.0</v>
      </c>
      <c r="M14" s="32" t="s">
        <v>18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ht="14.25" customHeight="1">
      <c r="A15" s="5">
        <v>14.0</v>
      </c>
      <c r="B15" s="11" t="s">
        <v>31</v>
      </c>
      <c r="C15" s="7">
        <f>'sonia 1_ CLOSED '!G18</f>
        <v>40000</v>
      </c>
      <c r="D15" s="21">
        <f>'sonia 1_ CLOSED '!K18</f>
        <v>0</v>
      </c>
      <c r="E15" s="20"/>
      <c r="F15" s="13" t="s">
        <v>15</v>
      </c>
      <c r="G15" s="10">
        <f t="shared" si="1"/>
        <v>32000</v>
      </c>
      <c r="H15" s="10">
        <f t="shared" si="2"/>
        <v>4000</v>
      </c>
      <c r="I15" s="10">
        <f t="shared" si="3"/>
        <v>2000</v>
      </c>
      <c r="J15" s="10">
        <f t="shared" si="4"/>
        <v>2000</v>
      </c>
      <c r="K15" s="10"/>
      <c r="L15" s="10"/>
      <c r="M15" s="10"/>
    </row>
    <row r="16" ht="14.25" customHeight="1">
      <c r="A16" s="5">
        <v>15.0</v>
      </c>
      <c r="B16" s="11" t="s">
        <v>32</v>
      </c>
      <c r="C16" s="7">
        <f>'sonia2 _ CLOSED'!G18</f>
        <v>40000</v>
      </c>
      <c r="D16" s="21">
        <f>'sonia2 _ CLOSED'!K18</f>
        <v>0</v>
      </c>
      <c r="E16" s="20"/>
      <c r="F16" s="13" t="s">
        <v>15</v>
      </c>
      <c r="G16" s="10">
        <f t="shared" si="1"/>
        <v>32000</v>
      </c>
      <c r="H16" s="10">
        <f t="shared" si="2"/>
        <v>4000</v>
      </c>
      <c r="I16" s="10">
        <f t="shared" si="3"/>
        <v>2000</v>
      </c>
      <c r="J16" s="10">
        <f t="shared" si="4"/>
        <v>2000</v>
      </c>
      <c r="K16" s="10"/>
      <c r="L16" s="10"/>
      <c r="M16" s="10"/>
    </row>
    <row r="17" ht="14.25" customHeight="1">
      <c r="A17" s="22">
        <v>16.0</v>
      </c>
      <c r="B17" s="22" t="s">
        <v>33</v>
      </c>
      <c r="C17" s="23">
        <f>'Uwamahoro Francine'!G32</f>
        <v>140000</v>
      </c>
      <c r="D17" s="26">
        <f>'Uwamahoro Francine'!K32</f>
        <v>311000</v>
      </c>
      <c r="E17" s="33" t="s">
        <v>34</v>
      </c>
      <c r="F17" s="9">
        <v>45661.0</v>
      </c>
      <c r="G17" s="10">
        <f t="shared" si="1"/>
        <v>112000</v>
      </c>
      <c r="H17" s="27">
        <f t="shared" si="2"/>
        <v>14000</v>
      </c>
      <c r="I17" s="27">
        <f t="shared" si="3"/>
        <v>7000</v>
      </c>
      <c r="J17" s="27">
        <f t="shared" si="4"/>
        <v>7000</v>
      </c>
      <c r="K17" s="27"/>
      <c r="L17" s="31">
        <v>1550.0</v>
      </c>
      <c r="M17" s="32" t="s">
        <v>35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ht="14.25" customHeight="1">
      <c r="A18" s="5">
        <v>17.0</v>
      </c>
      <c r="B18" s="11" t="s">
        <v>36</v>
      </c>
      <c r="C18" s="7">
        <f>'MUKANKUBANA Priscille_CLOSED'!G10</f>
        <v>20000</v>
      </c>
      <c r="D18" s="21">
        <f>'MUKANKUBANA Priscille_CLOSED'!J10</f>
        <v>0</v>
      </c>
      <c r="E18" s="20"/>
      <c r="F18" s="13" t="s">
        <v>15</v>
      </c>
      <c r="G18" s="10">
        <f t="shared" si="1"/>
        <v>16000</v>
      </c>
      <c r="H18" s="10">
        <f t="shared" si="2"/>
        <v>2000</v>
      </c>
      <c r="I18" s="10">
        <f t="shared" si="3"/>
        <v>1000</v>
      </c>
      <c r="J18" s="10">
        <f t="shared" si="4"/>
        <v>1000</v>
      </c>
      <c r="K18" s="10"/>
      <c r="L18" s="10"/>
      <c r="M18" s="10"/>
    </row>
    <row r="19" ht="14.25" customHeight="1">
      <c r="A19" s="34">
        <v>18.0</v>
      </c>
      <c r="B19" s="35" t="s">
        <v>37</v>
      </c>
      <c r="C19" s="36">
        <f>'Mukansanga Josephine2CLOSED'!G16</f>
        <v>50000</v>
      </c>
      <c r="D19" s="37">
        <f>'Mukansanga Josephine2CLOSED'!J16</f>
        <v>0</v>
      </c>
      <c r="E19" s="38"/>
      <c r="F19" s="13" t="s">
        <v>15</v>
      </c>
      <c r="G19" s="10">
        <f t="shared" si="1"/>
        <v>40000</v>
      </c>
      <c r="H19" s="27">
        <f t="shared" si="2"/>
        <v>5000</v>
      </c>
      <c r="I19" s="27">
        <f t="shared" si="3"/>
        <v>2500</v>
      </c>
      <c r="J19" s="27">
        <f t="shared" si="4"/>
        <v>2500</v>
      </c>
      <c r="K19" s="27"/>
      <c r="L19" s="27"/>
      <c r="M19" s="27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ht="14.25" customHeight="1">
      <c r="A20" s="5">
        <v>19.0</v>
      </c>
      <c r="B20" s="29" t="s">
        <v>38</v>
      </c>
      <c r="C20" s="39">
        <f>'Nezerwa Alice2CLOSED 31_5_24'!G10</f>
        <v>21200</v>
      </c>
      <c r="D20" s="40">
        <f>'Nezerwa Alice2CLOSED 31_5_24'!J10</f>
        <v>-100</v>
      </c>
      <c r="E20" s="20"/>
      <c r="F20" s="13" t="s">
        <v>15</v>
      </c>
      <c r="G20" s="10">
        <f t="shared" si="1"/>
        <v>16960</v>
      </c>
      <c r="H20" s="27">
        <f t="shared" si="2"/>
        <v>2120</v>
      </c>
      <c r="I20" s="27">
        <f t="shared" si="3"/>
        <v>1060</v>
      </c>
      <c r="J20" s="27">
        <f t="shared" si="4"/>
        <v>1060</v>
      </c>
      <c r="K20" s="27"/>
      <c r="L20" s="27"/>
      <c r="M20" s="27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ht="14.25" customHeight="1">
      <c r="A21" s="5">
        <v>20.0</v>
      </c>
      <c r="B21" s="11" t="s">
        <v>39</v>
      </c>
      <c r="C21" s="7">
        <f>'VESTINE_Francoise2 _ CLOSED'!G19</f>
        <v>75000</v>
      </c>
      <c r="D21" s="41">
        <f>'VESTINE_Francoise2 _ CLOSED'!K19</f>
        <v>-1000</v>
      </c>
      <c r="E21" s="42" t="s">
        <v>40</v>
      </c>
      <c r="F21" s="43" t="s">
        <v>15</v>
      </c>
      <c r="G21" s="10">
        <f t="shared" si="1"/>
        <v>60000</v>
      </c>
      <c r="H21" s="10">
        <f t="shared" si="2"/>
        <v>7500</v>
      </c>
      <c r="I21" s="10">
        <f t="shared" si="3"/>
        <v>3750</v>
      </c>
      <c r="J21" s="10">
        <f t="shared" si="4"/>
        <v>3750</v>
      </c>
      <c r="K21" s="10"/>
      <c r="L21" s="10">
        <f>2400+2400</f>
        <v>4800</v>
      </c>
      <c r="M21" s="10"/>
    </row>
    <row r="22" ht="14.25" customHeight="1">
      <c r="A22" s="22">
        <v>21.0</v>
      </c>
      <c r="B22" s="29" t="s">
        <v>41</v>
      </c>
      <c r="C22" s="23">
        <f>'MUKANKUBANA Priscille2_CLOSED'!G10</f>
        <v>20000</v>
      </c>
      <c r="D22" s="40">
        <f>'MUKANKUBANA Priscille2_CLOSED'!J10</f>
        <v>0</v>
      </c>
      <c r="E22" s="20"/>
      <c r="F22" s="13" t="s">
        <v>15</v>
      </c>
      <c r="G22" s="10">
        <f t="shared" si="1"/>
        <v>16000</v>
      </c>
      <c r="H22" s="27">
        <f t="shared" si="2"/>
        <v>2000</v>
      </c>
      <c r="I22" s="27">
        <f t="shared" si="3"/>
        <v>1000</v>
      </c>
      <c r="J22" s="27">
        <f t="shared" si="4"/>
        <v>1000</v>
      </c>
      <c r="K22" s="27"/>
      <c r="L22" s="32">
        <v>12500.0</v>
      </c>
      <c r="M22" s="27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ht="14.25" customHeight="1">
      <c r="A23" s="22">
        <v>22.0</v>
      </c>
      <c r="B23" s="32" t="s">
        <v>42</v>
      </c>
      <c r="C23" s="23">
        <f>'Mukarurangwa Odiria'!G20</f>
        <v>70000</v>
      </c>
      <c r="D23" s="40">
        <f>'Mukarurangwa Odiria'!J20</f>
        <v>256000</v>
      </c>
      <c r="E23" s="44" t="s">
        <v>43</v>
      </c>
      <c r="F23" s="45" t="s">
        <v>44</v>
      </c>
      <c r="G23" s="10">
        <f t="shared" si="1"/>
        <v>56000</v>
      </c>
      <c r="H23" s="27">
        <f t="shared" si="2"/>
        <v>7000</v>
      </c>
      <c r="I23" s="27">
        <f t="shared" si="3"/>
        <v>3500</v>
      </c>
      <c r="J23" s="27">
        <f t="shared" si="4"/>
        <v>3500</v>
      </c>
      <c r="K23" s="27"/>
      <c r="L23" s="27"/>
      <c r="M23" s="27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ht="14.25" customHeight="1">
      <c r="A24" s="22">
        <v>23.0</v>
      </c>
      <c r="B24" s="32" t="s">
        <v>45</v>
      </c>
      <c r="C24" s="46">
        <f>'MUKANSANGA JosephineL4'!G14</f>
        <v>16000</v>
      </c>
      <c r="D24" s="46">
        <f>'MUKANSANGA JosephineL4'!J14</f>
        <v>260000</v>
      </c>
      <c r="E24" s="47" t="s">
        <v>46</v>
      </c>
      <c r="F24" s="13" t="s">
        <v>15</v>
      </c>
      <c r="G24" s="10">
        <f t="shared" si="1"/>
        <v>12800</v>
      </c>
      <c r="H24" s="27">
        <f t="shared" si="2"/>
        <v>1600</v>
      </c>
      <c r="I24" s="27">
        <f t="shared" si="3"/>
        <v>800</v>
      </c>
      <c r="J24" s="27">
        <f t="shared" si="4"/>
        <v>800</v>
      </c>
      <c r="K24" s="27"/>
      <c r="L24" s="27"/>
      <c r="M24" s="27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ht="14.25" customHeight="1">
      <c r="A25" s="48">
        <v>24.0</v>
      </c>
      <c r="B25" s="49" t="s">
        <v>47</v>
      </c>
      <c r="C25" s="50">
        <f>'Sonia 1.2CLOSED'!G14</f>
        <v>28950</v>
      </c>
      <c r="D25" s="51">
        <f>'Sonia 1.2CLOSED'!J14</f>
        <v>0</v>
      </c>
      <c r="E25" s="52" t="s">
        <v>48</v>
      </c>
      <c r="F25" s="13" t="s">
        <v>15</v>
      </c>
      <c r="G25" s="10">
        <f t="shared" si="1"/>
        <v>23160</v>
      </c>
      <c r="H25" s="27">
        <f t="shared" si="2"/>
        <v>2895</v>
      </c>
      <c r="I25" s="27">
        <f t="shared" si="3"/>
        <v>1447.5</v>
      </c>
      <c r="J25" s="27">
        <f t="shared" si="4"/>
        <v>1447.5</v>
      </c>
      <c r="K25" s="51"/>
      <c r="L25" s="8">
        <v>3935.0</v>
      </c>
      <c r="M25" s="8" t="s">
        <v>49</v>
      </c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 ht="14.25" customHeight="1">
      <c r="A26" s="48">
        <v>25.0</v>
      </c>
      <c r="B26" s="49" t="s">
        <v>50</v>
      </c>
      <c r="C26" s="50">
        <f>'Sonia2.2. CLOSED'!G14</f>
        <v>28950</v>
      </c>
      <c r="D26" s="51">
        <f>'Sonia2.2. CLOSED'!J14</f>
        <v>0</v>
      </c>
      <c r="E26" s="52" t="s">
        <v>51</v>
      </c>
      <c r="F26" s="13" t="s">
        <v>15</v>
      </c>
      <c r="G26" s="10">
        <f t="shared" si="1"/>
        <v>23160</v>
      </c>
      <c r="H26" s="27">
        <f t="shared" si="2"/>
        <v>2895</v>
      </c>
      <c r="I26" s="27">
        <f t="shared" si="3"/>
        <v>1447.5</v>
      </c>
      <c r="J26" s="27">
        <f t="shared" si="4"/>
        <v>1447.5</v>
      </c>
      <c r="K26" s="51"/>
      <c r="L26" s="8">
        <v>3935.0</v>
      </c>
      <c r="M26" s="8" t="s">
        <v>49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 ht="14.25" customHeight="1">
      <c r="A27" s="5">
        <v>26.0</v>
      </c>
      <c r="B27" s="29" t="s">
        <v>52</v>
      </c>
      <c r="C27" s="10">
        <f>'Nezerwa Alice 3CLOSED'!G10</f>
        <v>22200</v>
      </c>
      <c r="D27" s="41">
        <f>'Nezerwa Alice 3CLOSED'!J10</f>
        <v>0</v>
      </c>
      <c r="E27" s="47" t="s">
        <v>53</v>
      </c>
      <c r="F27" s="13" t="s">
        <v>15</v>
      </c>
      <c r="G27" s="10">
        <f t="shared" si="1"/>
        <v>17760</v>
      </c>
      <c r="H27" s="27">
        <f t="shared" si="2"/>
        <v>2220</v>
      </c>
      <c r="I27" s="27">
        <f t="shared" si="3"/>
        <v>1110</v>
      </c>
      <c r="J27" s="27">
        <f t="shared" si="4"/>
        <v>1110</v>
      </c>
      <c r="K27" s="10"/>
      <c r="L27" s="4">
        <v>9800.0</v>
      </c>
      <c r="M27" s="4" t="s">
        <v>54</v>
      </c>
    </row>
    <row r="28" ht="14.25" customHeight="1">
      <c r="A28" s="54">
        <v>27.0</v>
      </c>
      <c r="B28" s="29" t="s">
        <v>55</v>
      </c>
      <c r="C28" s="40">
        <f>'MUKANKUBANA Priscille_3 CLOSED'!G12</f>
        <v>30000</v>
      </c>
      <c r="D28" s="40">
        <f>'MUKANKUBANA Priscille_3 CLOSED'!J12</f>
        <v>0</v>
      </c>
      <c r="E28" s="55" t="s">
        <v>56</v>
      </c>
      <c r="F28" s="13" t="s">
        <v>15</v>
      </c>
      <c r="G28" s="27">
        <f t="shared" si="1"/>
        <v>24000</v>
      </c>
      <c r="H28" s="27">
        <f t="shared" si="2"/>
        <v>3000</v>
      </c>
      <c r="I28" s="27">
        <f t="shared" si="3"/>
        <v>1500</v>
      </c>
      <c r="J28" s="27">
        <f t="shared" si="4"/>
        <v>1500</v>
      </c>
      <c r="K28" s="27"/>
      <c r="L28" s="32">
        <v>5500.0</v>
      </c>
      <c r="M28" s="32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ht="14.25" customHeight="1">
      <c r="A29" s="5">
        <v>28.0</v>
      </c>
      <c r="B29" s="32" t="s">
        <v>57</v>
      </c>
      <c r="C29" s="56">
        <f>'Solange1 L2_CLOSED'!G14</f>
        <v>26000</v>
      </c>
      <c r="D29" s="57">
        <v>0.0</v>
      </c>
      <c r="E29" s="20" t="s">
        <v>58</v>
      </c>
      <c r="F29" s="13" t="s">
        <v>15</v>
      </c>
      <c r="G29" s="10">
        <f t="shared" si="1"/>
        <v>20800</v>
      </c>
      <c r="H29" s="27">
        <f t="shared" si="2"/>
        <v>2600</v>
      </c>
      <c r="I29" s="27">
        <f t="shared" si="3"/>
        <v>1300</v>
      </c>
      <c r="J29" s="27">
        <f t="shared" si="4"/>
        <v>1300</v>
      </c>
      <c r="K29" s="27"/>
      <c r="L29" s="27"/>
      <c r="M29" s="27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ht="14.25" customHeight="1">
      <c r="A30" s="4">
        <v>29.0</v>
      </c>
      <c r="B30" s="32" t="s">
        <v>57</v>
      </c>
      <c r="C30" s="56">
        <f>'Solange2 L2_CLOSED'!G14</f>
        <v>26000</v>
      </c>
      <c r="D30" s="57">
        <v>0.0</v>
      </c>
      <c r="E30" s="20" t="s">
        <v>58</v>
      </c>
      <c r="F30" s="13" t="s">
        <v>15</v>
      </c>
      <c r="G30" s="10">
        <f t="shared" si="1"/>
        <v>20800</v>
      </c>
      <c r="H30" s="27">
        <f t="shared" si="2"/>
        <v>2600</v>
      </c>
      <c r="I30" s="27">
        <f t="shared" si="3"/>
        <v>1300</v>
      </c>
      <c r="J30" s="27">
        <f t="shared" si="4"/>
        <v>1300</v>
      </c>
      <c r="K30" s="27"/>
      <c r="L30" s="27"/>
      <c r="M30" s="27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ht="14.25" customHeight="1">
      <c r="A31" s="5">
        <v>30.0</v>
      </c>
      <c r="B31" s="32" t="s">
        <v>30</v>
      </c>
      <c r="C31" s="56">
        <f>'UWIRAGIYE Jeanine_L2'!G28</f>
        <v>78000</v>
      </c>
      <c r="D31" s="56">
        <f>'UWIRAGIYE Jeanine_L2'!J28</f>
        <v>203000</v>
      </c>
      <c r="E31" s="33" t="s">
        <v>59</v>
      </c>
      <c r="F31" s="58">
        <v>45785.0</v>
      </c>
      <c r="G31" s="10">
        <f t="shared" si="1"/>
        <v>62400</v>
      </c>
      <c r="H31" s="27">
        <f t="shared" si="2"/>
        <v>7800</v>
      </c>
      <c r="I31" s="27">
        <f t="shared" si="3"/>
        <v>3900</v>
      </c>
      <c r="J31" s="27">
        <f t="shared" si="4"/>
        <v>3900</v>
      </c>
      <c r="K31" s="27"/>
      <c r="L31" s="27"/>
      <c r="M31" s="27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ht="14.25" customHeight="1">
      <c r="A32" s="59">
        <v>31.0</v>
      </c>
      <c r="B32" s="5" t="s">
        <v>22</v>
      </c>
      <c r="C32" s="56">
        <f>'UWABABYEYI ALINE L2'!G20</f>
        <v>51680</v>
      </c>
      <c r="D32" s="56">
        <f>'UWABABYEYI ALINE L2'!J20</f>
        <v>531530</v>
      </c>
      <c r="E32" s="60" t="s">
        <v>43</v>
      </c>
      <c r="F32" s="61" t="s">
        <v>60</v>
      </c>
      <c r="G32" s="10">
        <f t="shared" si="1"/>
        <v>41344</v>
      </c>
      <c r="H32" s="27">
        <f t="shared" si="2"/>
        <v>5168</v>
      </c>
      <c r="I32" s="27">
        <f t="shared" si="3"/>
        <v>2584</v>
      </c>
      <c r="J32" s="27">
        <f t="shared" si="4"/>
        <v>2584</v>
      </c>
      <c r="K32" s="62"/>
      <c r="L32" s="62"/>
      <c r="M32" s="27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ht="14.25" customHeight="1">
      <c r="A33" s="5">
        <v>32.0</v>
      </c>
      <c r="B33" s="11" t="s">
        <v>61</v>
      </c>
      <c r="C33" s="63">
        <f>'VESTINE_Francoise L3'!G27</f>
        <v>100000</v>
      </c>
      <c r="D33" s="63">
        <f>'VESTINE_Francoise L3'!J27</f>
        <v>124800</v>
      </c>
      <c r="E33" s="64"/>
      <c r="F33" s="65" t="s">
        <v>62</v>
      </c>
      <c r="G33" s="10">
        <f t="shared" si="1"/>
        <v>80000</v>
      </c>
      <c r="H33" s="27">
        <f t="shared" si="2"/>
        <v>10000</v>
      </c>
      <c r="I33" s="27">
        <f t="shared" si="3"/>
        <v>5000</v>
      </c>
      <c r="J33" s="27">
        <f t="shared" si="4"/>
        <v>5000</v>
      </c>
      <c r="K33" s="66"/>
      <c r="L33" s="44">
        <f>1575+1800+1800+1800</f>
        <v>6975</v>
      </c>
      <c r="M33" s="67" t="s">
        <v>63</v>
      </c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</row>
    <row r="34" ht="14.25" customHeight="1">
      <c r="A34" s="69">
        <v>33.0</v>
      </c>
      <c r="B34" s="20" t="s">
        <v>64</v>
      </c>
      <c r="C34" s="70">
        <f>'UWIMANA NadineCLOSED'!G31</f>
        <v>22000</v>
      </c>
      <c r="D34" s="71">
        <f>'UWIMANA NadineCLOSED'!J31</f>
        <v>0</v>
      </c>
      <c r="E34" s="70" t="s">
        <v>65</v>
      </c>
      <c r="F34" s="70" t="s">
        <v>15</v>
      </c>
      <c r="G34" s="10">
        <f t="shared" si="1"/>
        <v>17600</v>
      </c>
      <c r="H34" s="27">
        <f t="shared" si="2"/>
        <v>2200</v>
      </c>
      <c r="I34" s="27">
        <f t="shared" si="3"/>
        <v>1100</v>
      </c>
      <c r="J34" s="27">
        <f t="shared" si="4"/>
        <v>1100</v>
      </c>
      <c r="K34" s="72"/>
      <c r="L34" s="27"/>
      <c r="M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ht="14.25" customHeight="1">
      <c r="A35" s="73">
        <v>34.0</v>
      </c>
      <c r="B35" s="73" t="s">
        <v>19</v>
      </c>
      <c r="C35" s="74">
        <f>'Nyirarukundo MwaminiL2'!H32</f>
        <v>109100</v>
      </c>
      <c r="D35" s="63">
        <f>'Nyirarukundo MwaminiL2'!J32</f>
        <v>1126300</v>
      </c>
      <c r="E35" s="64" t="s">
        <v>66</v>
      </c>
      <c r="F35" s="65" t="s">
        <v>67</v>
      </c>
      <c r="G35" s="27">
        <f t="shared" si="1"/>
        <v>87280</v>
      </c>
      <c r="H35" s="27">
        <f t="shared" si="2"/>
        <v>10910</v>
      </c>
      <c r="I35" s="27">
        <f t="shared" si="3"/>
        <v>5455</v>
      </c>
      <c r="J35" s="27">
        <f t="shared" si="4"/>
        <v>5455</v>
      </c>
      <c r="K35" s="75"/>
      <c r="L35" s="44">
        <f>2500+2900</f>
        <v>5400</v>
      </c>
      <c r="M35" s="67" t="s">
        <v>68</v>
      </c>
      <c r="N35" s="28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</row>
    <row r="36" ht="14.25" customHeight="1">
      <c r="A36" s="77">
        <v>35.0</v>
      </c>
      <c r="B36" s="78" t="s">
        <v>69</v>
      </c>
      <c r="C36" s="79">
        <f>'Nezerwa Alice L4'!F31</f>
        <v>26240</v>
      </c>
      <c r="D36" s="80">
        <f>'Nezerwa Alice L4'!I31</f>
        <v>889972</v>
      </c>
      <c r="E36" s="81" t="s">
        <v>70</v>
      </c>
      <c r="F36" s="82" t="s">
        <v>71</v>
      </c>
      <c r="G36" s="83">
        <f t="shared" si="1"/>
        <v>20992</v>
      </c>
      <c r="H36" s="83">
        <f t="shared" si="2"/>
        <v>2624</v>
      </c>
      <c r="I36" s="83">
        <f t="shared" si="3"/>
        <v>1312</v>
      </c>
      <c r="J36" s="83">
        <f t="shared" si="4"/>
        <v>1312</v>
      </c>
      <c r="K36" s="84"/>
      <c r="L36" s="83"/>
      <c r="M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 ht="14.25" customHeight="1">
      <c r="A37" s="86">
        <v>36.0</v>
      </c>
      <c r="B37" s="87" t="s">
        <v>72</v>
      </c>
      <c r="C37" s="88">
        <f>'Mushimiyimana Mombi _L2'!G33</f>
        <v>16942</v>
      </c>
      <c r="D37" s="89">
        <f>'Mushimiyimana Mombi _L2'!J33</f>
        <v>275810</v>
      </c>
      <c r="E37" s="90" t="s">
        <v>73</v>
      </c>
      <c r="F37" s="91" t="s">
        <v>74</v>
      </c>
      <c r="G37" s="92">
        <f t="shared" si="1"/>
        <v>13553.6</v>
      </c>
      <c r="H37" s="92">
        <f t="shared" si="2"/>
        <v>1694.2</v>
      </c>
      <c r="I37" s="92">
        <f t="shared" si="3"/>
        <v>847.1</v>
      </c>
      <c r="J37" s="92">
        <f t="shared" si="4"/>
        <v>847.1</v>
      </c>
      <c r="K37" s="72"/>
      <c r="L37" s="93">
        <v>763.0</v>
      </c>
      <c r="M37" s="54" t="s">
        <v>75</v>
      </c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ht="14.25" customHeight="1">
      <c r="A38" s="69">
        <v>37.0</v>
      </c>
      <c r="B38" s="35" t="s">
        <v>76</v>
      </c>
      <c r="C38" s="71">
        <f>'Sonia 1.3 CLOSED'!G13</f>
        <v>34530</v>
      </c>
      <c r="D38" s="71">
        <f>'Sonia 1.3 CLOSED'!J13</f>
        <v>0</v>
      </c>
      <c r="E38" s="70" t="s">
        <v>65</v>
      </c>
      <c r="F38" s="70" t="s">
        <v>15</v>
      </c>
      <c r="G38" s="10">
        <f t="shared" si="1"/>
        <v>27624</v>
      </c>
      <c r="H38" s="27">
        <f t="shared" si="2"/>
        <v>3453</v>
      </c>
      <c r="I38" s="27">
        <f t="shared" si="3"/>
        <v>1726.5</v>
      </c>
      <c r="J38" s="27">
        <f t="shared" si="4"/>
        <v>1726.5</v>
      </c>
      <c r="K38" s="72"/>
      <c r="L38" s="72"/>
      <c r="M38" s="72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</row>
    <row r="39" ht="14.25" customHeight="1">
      <c r="A39" s="34">
        <v>38.0</v>
      </c>
      <c r="B39" s="35" t="s">
        <v>77</v>
      </c>
      <c r="C39" s="71">
        <f>Sonia2.3CLOSED!G13</f>
        <v>34530</v>
      </c>
      <c r="D39" s="71">
        <f>Sonia2.3CLOSED!J13</f>
        <v>0</v>
      </c>
      <c r="E39" s="70" t="s">
        <v>65</v>
      </c>
      <c r="F39" s="70" t="s">
        <v>15</v>
      </c>
      <c r="G39" s="10">
        <f t="shared" si="1"/>
        <v>27624</v>
      </c>
      <c r="H39" s="27">
        <f t="shared" si="2"/>
        <v>3453</v>
      </c>
      <c r="I39" s="27">
        <f t="shared" si="3"/>
        <v>1726.5</v>
      </c>
      <c r="J39" s="27">
        <f t="shared" si="4"/>
        <v>1726.5</v>
      </c>
      <c r="K39" s="72"/>
      <c r="L39" s="72"/>
      <c r="M39" s="72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</row>
    <row r="40" ht="14.25" customHeight="1">
      <c r="A40" s="59">
        <v>39.0</v>
      </c>
      <c r="B40" s="32" t="s">
        <v>78</v>
      </c>
      <c r="C40" s="41">
        <f>'Solange1 L3'!G13</f>
        <v>28600</v>
      </c>
      <c r="D40" s="56">
        <f>'Solange1 L3'!J13</f>
        <v>386150</v>
      </c>
      <c r="E40" s="94" t="s">
        <v>79</v>
      </c>
      <c r="F40" s="61" t="s">
        <v>60</v>
      </c>
      <c r="G40" s="10">
        <f t="shared" si="1"/>
        <v>22880</v>
      </c>
      <c r="H40" s="27">
        <f t="shared" si="2"/>
        <v>2860</v>
      </c>
      <c r="I40" s="27">
        <f t="shared" si="3"/>
        <v>1430</v>
      </c>
      <c r="J40" s="27">
        <f t="shared" si="4"/>
        <v>1430</v>
      </c>
      <c r="K40" s="72"/>
      <c r="L40" s="72"/>
      <c r="M40" s="72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</row>
    <row r="41" ht="14.25" customHeight="1">
      <c r="A41" s="48">
        <v>40.0</v>
      </c>
      <c r="B41" s="32" t="s">
        <v>80</v>
      </c>
      <c r="C41" s="41">
        <f>'Solange2 L3'!G13</f>
        <v>28600</v>
      </c>
      <c r="D41" s="56">
        <f>'Solange2 L3'!J13</f>
        <v>386150</v>
      </c>
      <c r="E41" s="94" t="s">
        <v>79</v>
      </c>
      <c r="F41" s="61" t="s">
        <v>60</v>
      </c>
      <c r="G41" s="10">
        <f t="shared" si="1"/>
        <v>22880</v>
      </c>
      <c r="H41" s="27">
        <f t="shared" si="2"/>
        <v>2860</v>
      </c>
      <c r="I41" s="27">
        <f t="shared" si="3"/>
        <v>1430</v>
      </c>
      <c r="J41" s="27">
        <f t="shared" si="4"/>
        <v>1430</v>
      </c>
      <c r="K41" s="72"/>
      <c r="L41" s="72"/>
      <c r="M41" s="72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</row>
    <row r="42" ht="14.25" customHeight="1">
      <c r="A42" s="67">
        <v>41.0</v>
      </c>
      <c r="B42" s="44" t="s">
        <v>16</v>
      </c>
      <c r="C42" s="95">
        <f>' Mujawase Epiphanie L2'!G31</f>
        <v>13580</v>
      </c>
      <c r="D42" s="95">
        <f>' Mujawase Epiphanie L2'!J31</f>
        <v>962920</v>
      </c>
      <c r="E42" s="96" t="s">
        <v>81</v>
      </c>
      <c r="F42" s="97">
        <v>45393.0</v>
      </c>
      <c r="G42" s="27">
        <f t="shared" si="1"/>
        <v>10864</v>
      </c>
      <c r="H42" s="27">
        <f t="shared" si="2"/>
        <v>1358</v>
      </c>
      <c r="I42" s="27">
        <f t="shared" si="3"/>
        <v>679</v>
      </c>
      <c r="J42" s="27">
        <f t="shared" si="4"/>
        <v>679</v>
      </c>
      <c r="K42" s="98"/>
      <c r="L42" s="57">
        <v>2100.0</v>
      </c>
      <c r="M42" s="57" t="s">
        <v>82</v>
      </c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</row>
    <row r="43" ht="14.25" customHeight="1">
      <c r="A43" s="48">
        <v>42.0</v>
      </c>
      <c r="B43" s="32" t="s">
        <v>83</v>
      </c>
      <c r="C43" s="98">
        <f>'MUKANSANGA JosephineL4'!G14</f>
        <v>16000</v>
      </c>
      <c r="D43" s="56">
        <f>'MUKANSANGA JosephineL4'!J14</f>
        <v>260000</v>
      </c>
      <c r="E43" s="57" t="s">
        <v>43</v>
      </c>
      <c r="F43" s="58">
        <v>45547.0</v>
      </c>
      <c r="G43" s="10">
        <f t="shared" si="1"/>
        <v>12800</v>
      </c>
      <c r="H43" s="27">
        <f t="shared" si="2"/>
        <v>1600</v>
      </c>
      <c r="I43" s="27">
        <f t="shared" si="3"/>
        <v>800</v>
      </c>
      <c r="J43" s="27">
        <f t="shared" si="4"/>
        <v>800</v>
      </c>
      <c r="K43" s="98"/>
      <c r="L43" s="98"/>
      <c r="M43" s="9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</row>
    <row r="44" ht="14.25" customHeight="1">
      <c r="A44" s="8">
        <v>43.0</v>
      </c>
      <c r="B44" s="44" t="s">
        <v>64</v>
      </c>
      <c r="C44" s="95">
        <f>'UWIMANA Nadine L2'!G31</f>
        <v>10000</v>
      </c>
      <c r="D44" s="95">
        <f>'UWIMANA Nadine L2'!J31</f>
        <v>708000</v>
      </c>
      <c r="E44" s="57" t="s">
        <v>43</v>
      </c>
      <c r="F44" s="65" t="s">
        <v>84</v>
      </c>
      <c r="G44" s="10">
        <f t="shared" si="1"/>
        <v>8000</v>
      </c>
      <c r="H44" s="27">
        <f t="shared" si="2"/>
        <v>1000</v>
      </c>
      <c r="I44" s="27">
        <f t="shared" si="3"/>
        <v>500</v>
      </c>
      <c r="J44" s="27">
        <f t="shared" si="4"/>
        <v>500</v>
      </c>
      <c r="K44" s="75"/>
      <c r="L44" s="75"/>
      <c r="M44" s="75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</row>
    <row r="45" ht="14.25" customHeight="1">
      <c r="A45" s="86">
        <v>44.0</v>
      </c>
      <c r="B45" s="99" t="s">
        <v>85</v>
      </c>
      <c r="C45" s="79">
        <f>'MUKANKUBANA Priscille_L4'!G12</f>
        <v>0</v>
      </c>
      <c r="D45" s="79">
        <f>'MUKANKUBANA Priscille_L4'!J12</f>
        <v>550000</v>
      </c>
      <c r="E45" s="90" t="s">
        <v>73</v>
      </c>
      <c r="F45" s="100" t="s">
        <v>60</v>
      </c>
      <c r="G45" s="10">
        <f t="shared" si="1"/>
        <v>0</v>
      </c>
      <c r="H45" s="27">
        <f t="shared" si="2"/>
        <v>0</v>
      </c>
      <c r="I45" s="27">
        <f t="shared" si="3"/>
        <v>0</v>
      </c>
      <c r="J45" s="27">
        <f t="shared" si="4"/>
        <v>0</v>
      </c>
      <c r="K45" s="101"/>
      <c r="L45" s="101"/>
      <c r="M45" s="101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</row>
    <row r="46" ht="14.25" customHeight="1">
      <c r="A46" s="8">
        <v>45.0</v>
      </c>
      <c r="B46" s="49" t="s">
        <v>86</v>
      </c>
      <c r="C46" s="56">
        <f>'Sonia 1.4'!G11</f>
        <v>0</v>
      </c>
      <c r="D46" s="56">
        <f>'Sonia 1.4'!J11</f>
        <v>780000</v>
      </c>
      <c r="E46" s="57" t="s">
        <v>43</v>
      </c>
      <c r="F46" s="61" t="s">
        <v>87</v>
      </c>
      <c r="G46" s="10">
        <f t="shared" si="1"/>
        <v>0</v>
      </c>
      <c r="H46" s="27">
        <f t="shared" si="2"/>
        <v>0</v>
      </c>
      <c r="I46" s="27">
        <f t="shared" si="3"/>
        <v>0</v>
      </c>
      <c r="J46" s="27">
        <f t="shared" si="4"/>
        <v>0</v>
      </c>
      <c r="K46" s="10">
        <f>G47*80/100</f>
        <v>0</v>
      </c>
      <c r="L46" s="72"/>
      <c r="M46" s="72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</row>
    <row r="47" ht="14.25" customHeight="1">
      <c r="A47" s="48">
        <v>46.0</v>
      </c>
      <c r="B47" s="49" t="s">
        <v>88</v>
      </c>
      <c r="C47" s="56">
        <f>'Sonia 2.4'!G11</f>
        <v>0</v>
      </c>
      <c r="D47" s="56">
        <f>'Sonia 2.4'!J11</f>
        <v>780000</v>
      </c>
      <c r="E47" s="57" t="s">
        <v>43</v>
      </c>
      <c r="F47" s="61" t="s">
        <v>89</v>
      </c>
      <c r="G47" s="10">
        <f t="shared" si="1"/>
        <v>0</v>
      </c>
      <c r="H47" s="27">
        <f t="shared" si="2"/>
        <v>0</v>
      </c>
      <c r="I47" s="27">
        <f t="shared" si="3"/>
        <v>0</v>
      </c>
      <c r="J47" s="27">
        <f t="shared" si="4"/>
        <v>0</v>
      </c>
      <c r="L47" s="72"/>
      <c r="M47" s="72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</row>
    <row r="48" ht="14.25" customHeight="1">
      <c r="A48" s="8">
        <v>47.0</v>
      </c>
      <c r="B48" s="54" t="s">
        <v>90</v>
      </c>
      <c r="C48" s="102">
        <f>' Francoise1 L2'!G33</f>
        <v>0</v>
      </c>
      <c r="D48" s="103">
        <f>' Francoise1 L2'!J33</f>
        <v>1480000</v>
      </c>
      <c r="E48" s="57" t="s">
        <v>43</v>
      </c>
      <c r="F48" s="58">
        <v>45334.0</v>
      </c>
      <c r="G48" s="10">
        <f t="shared" si="1"/>
        <v>0</v>
      </c>
      <c r="H48" s="27">
        <f t="shared" si="2"/>
        <v>0</v>
      </c>
      <c r="I48" s="27">
        <f t="shared" si="3"/>
        <v>0</v>
      </c>
      <c r="J48" s="27">
        <f t="shared" si="4"/>
        <v>0</v>
      </c>
      <c r="K48" s="10">
        <f t="shared" ref="K48:L48" si="6">G48*80/100</f>
        <v>0</v>
      </c>
      <c r="L48" s="10">
        <f t="shared" si="6"/>
        <v>0</v>
      </c>
      <c r="M48" s="72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</row>
    <row r="49" ht="14.25" customHeight="1">
      <c r="A49" s="48">
        <v>48.0</v>
      </c>
      <c r="B49" s="32" t="s">
        <v>91</v>
      </c>
      <c r="C49" s="56">
        <f>'Ntamitondero Jean Bosco'!G11</f>
        <v>15000</v>
      </c>
      <c r="D49" s="56">
        <f>'Ntamitondero Jean Bosco'!H11</f>
        <v>150000</v>
      </c>
      <c r="E49" s="57" t="s">
        <v>43</v>
      </c>
      <c r="F49" s="58">
        <v>41164.0</v>
      </c>
      <c r="G49" s="10">
        <f t="shared" si="1"/>
        <v>12000</v>
      </c>
      <c r="H49" s="27">
        <f t="shared" si="2"/>
        <v>1500</v>
      </c>
      <c r="I49" s="27">
        <f t="shared" si="3"/>
        <v>750</v>
      </c>
      <c r="J49" s="27">
        <f t="shared" si="4"/>
        <v>750</v>
      </c>
      <c r="K49" s="10">
        <f t="shared" ref="K49:L49" si="7">G49*80/100</f>
        <v>9600</v>
      </c>
      <c r="L49" s="10">
        <f t="shared" si="7"/>
        <v>1200</v>
      </c>
      <c r="M49" s="72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</row>
    <row r="50" ht="14.25" customHeight="1">
      <c r="B50" s="104" t="s">
        <v>92</v>
      </c>
      <c r="C50" s="105">
        <f t="shared" ref="C50:D50" si="8">SUM(C2:C49)</f>
        <v>2066102</v>
      </c>
      <c r="D50" s="105">
        <f t="shared" si="8"/>
        <v>11380532</v>
      </c>
      <c r="E50" s="106"/>
      <c r="F50" s="106"/>
      <c r="G50" s="106">
        <f t="shared" ref="G50:M50" si="9">SUM(G2:G49)</f>
        <v>1652881.6</v>
      </c>
      <c r="H50" s="106">
        <f t="shared" si="9"/>
        <v>206610.2</v>
      </c>
      <c r="I50" s="106">
        <f t="shared" si="9"/>
        <v>103305.1</v>
      </c>
      <c r="J50" s="106">
        <f t="shared" si="9"/>
        <v>103305.1</v>
      </c>
      <c r="K50" s="106">
        <f t="shared" si="9"/>
        <v>9600</v>
      </c>
      <c r="L50" s="106">
        <f t="shared" si="9"/>
        <v>89953</v>
      </c>
      <c r="M50" s="106">
        <f t="shared" si="9"/>
        <v>0</v>
      </c>
    </row>
    <row r="51" ht="14.25" customHeight="1">
      <c r="J51" s="107">
        <f>J50/20</f>
        <v>5165.255</v>
      </c>
      <c r="L51" s="59" t="s">
        <v>93</v>
      </c>
    </row>
    <row r="52" ht="14.25" customHeight="1">
      <c r="J52" s="108" t="s">
        <v>94</v>
      </c>
    </row>
    <row r="53" ht="14.25" customHeight="1">
      <c r="L53" s="109"/>
    </row>
    <row r="54" ht="14.25" customHeight="1"/>
    <row r="55" ht="14.25" customHeight="1"/>
    <row r="56" ht="14.25" customHeight="1">
      <c r="G56" s="110"/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</sheetData>
  <autoFilter ref="$A$1:$M$53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5" max="5" width="13.14"/>
    <col customWidth="1" min="6" max="6" width="9.43"/>
    <col customWidth="1" min="9" max="9" width="14.29"/>
    <col customWidth="1" min="10" max="10" width="13.14"/>
  </cols>
  <sheetData>
    <row r="1">
      <c r="A1" s="123" t="s">
        <v>175</v>
      </c>
      <c r="D1" s="124"/>
      <c r="E1" s="124"/>
      <c r="F1" s="124"/>
      <c r="G1" s="125"/>
      <c r="H1" s="125"/>
      <c r="I1" s="126"/>
      <c r="J1" s="126"/>
    </row>
    <row r="2">
      <c r="A2" s="123" t="s">
        <v>176</v>
      </c>
      <c r="F2" s="124"/>
      <c r="G2" s="125"/>
      <c r="H2" s="125"/>
      <c r="I2" s="126"/>
      <c r="J2" s="126"/>
    </row>
    <row r="3">
      <c r="A3" s="123" t="s">
        <v>112</v>
      </c>
      <c r="E3" s="124"/>
      <c r="F3" s="124"/>
      <c r="G3" s="125"/>
      <c r="H3" s="125"/>
      <c r="I3" s="126"/>
      <c r="J3" s="126"/>
    </row>
    <row r="4">
      <c r="A4" s="123" t="s">
        <v>113</v>
      </c>
      <c r="C4" s="124"/>
      <c r="D4" s="124"/>
      <c r="E4" s="124"/>
      <c r="F4" s="124"/>
      <c r="G4" s="125"/>
      <c r="H4" s="125"/>
      <c r="I4" s="126"/>
      <c r="J4" s="126"/>
    </row>
    <row r="5">
      <c r="A5" s="127" t="s">
        <v>177</v>
      </c>
      <c r="B5" s="128"/>
      <c r="C5" s="128"/>
      <c r="D5" s="124"/>
      <c r="E5" s="124"/>
      <c r="F5" s="124"/>
      <c r="G5" s="125"/>
      <c r="H5" s="125"/>
      <c r="I5" s="126"/>
      <c r="J5" s="126"/>
    </row>
    <row r="6">
      <c r="A6" s="129" t="s">
        <v>100</v>
      </c>
      <c r="B6" s="130" t="s">
        <v>101</v>
      </c>
      <c r="C6" s="130" t="s">
        <v>102</v>
      </c>
      <c r="D6" s="131" t="s">
        <v>103</v>
      </c>
      <c r="E6" s="131" t="s">
        <v>115</v>
      </c>
      <c r="F6" s="131" t="s">
        <v>105</v>
      </c>
      <c r="G6" s="132" t="s">
        <v>106</v>
      </c>
      <c r="H6" s="132" t="s">
        <v>107</v>
      </c>
      <c r="I6" s="126"/>
      <c r="J6" s="126"/>
    </row>
    <row r="7">
      <c r="A7" s="150" t="s">
        <v>178</v>
      </c>
      <c r="B7" s="135">
        <v>100000.0</v>
      </c>
      <c r="C7" s="135">
        <v>10000.0</v>
      </c>
      <c r="D7" s="135">
        <f t="shared" ref="D7:D11" si="1">B7+C7</f>
        <v>110000</v>
      </c>
      <c r="E7" s="135">
        <f>550000-D7</f>
        <v>440000</v>
      </c>
      <c r="F7" s="136"/>
      <c r="G7" s="180"/>
      <c r="H7" s="180"/>
      <c r="I7" s="181" t="s">
        <v>179</v>
      </c>
      <c r="J7" s="139"/>
    </row>
    <row r="8">
      <c r="A8" s="154" t="s">
        <v>60</v>
      </c>
      <c r="B8" s="141">
        <v>100000.0</v>
      </c>
      <c r="C8" s="141">
        <v>10000.0</v>
      </c>
      <c r="D8" s="135">
        <f t="shared" si="1"/>
        <v>110000</v>
      </c>
      <c r="E8" s="135">
        <f t="shared" ref="E8:E11" si="2">E7-D8</f>
        <v>330000</v>
      </c>
      <c r="F8" s="142"/>
      <c r="G8" s="135"/>
      <c r="H8" s="135"/>
      <c r="I8" s="126"/>
      <c r="J8" s="139"/>
    </row>
    <row r="9">
      <c r="A9" s="154" t="s">
        <v>180</v>
      </c>
      <c r="B9" s="141">
        <v>100000.0</v>
      </c>
      <c r="C9" s="141">
        <v>10000.0</v>
      </c>
      <c r="D9" s="135">
        <f t="shared" si="1"/>
        <v>110000</v>
      </c>
      <c r="E9" s="135">
        <f t="shared" si="2"/>
        <v>220000</v>
      </c>
      <c r="F9" s="142"/>
      <c r="G9" s="173"/>
      <c r="H9" s="173"/>
      <c r="I9" s="126"/>
      <c r="J9" s="126"/>
    </row>
    <row r="10">
      <c r="A10" s="154" t="s">
        <v>181</v>
      </c>
      <c r="B10" s="141">
        <v>100000.0</v>
      </c>
      <c r="C10" s="141">
        <v>10000.0</v>
      </c>
      <c r="D10" s="135">
        <f t="shared" si="1"/>
        <v>110000</v>
      </c>
      <c r="E10" s="135">
        <f t="shared" si="2"/>
        <v>110000</v>
      </c>
      <c r="F10" s="174"/>
      <c r="G10" s="174"/>
      <c r="H10" s="174"/>
      <c r="I10" s="126"/>
      <c r="J10" s="126"/>
    </row>
    <row r="11">
      <c r="A11" s="154" t="s">
        <v>182</v>
      </c>
      <c r="B11" s="141">
        <v>100000.0</v>
      </c>
      <c r="C11" s="141">
        <v>10000.0</v>
      </c>
      <c r="D11" s="135">
        <f t="shared" si="1"/>
        <v>110000</v>
      </c>
      <c r="E11" s="135">
        <f t="shared" si="2"/>
        <v>0</v>
      </c>
      <c r="F11" s="175"/>
      <c r="G11" s="176"/>
      <c r="H11" s="176"/>
      <c r="I11" s="177"/>
      <c r="J11" s="17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125"/>
      <c r="B12" s="145">
        <f t="shared" ref="B12:D12" si="3">SUM(B7:B11)</f>
        <v>500000</v>
      </c>
      <c r="C12" s="145">
        <f t="shared" si="3"/>
        <v>50000</v>
      </c>
      <c r="D12" s="145">
        <f t="shared" si="3"/>
        <v>550000</v>
      </c>
      <c r="E12" s="145"/>
      <c r="F12" s="125"/>
      <c r="G12" s="147">
        <f t="shared" ref="G12:H12" si="4">SUM(G7:G10)</f>
        <v>0</v>
      </c>
      <c r="H12" s="147">
        <f t="shared" si="4"/>
        <v>0</v>
      </c>
      <c r="I12" s="179">
        <f>G12+H12</f>
        <v>0</v>
      </c>
      <c r="J12" s="148">
        <f>D12-I12</f>
        <v>550000</v>
      </c>
    </row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8.0"/>
    <col customWidth="1" min="4" max="4" width="12.86"/>
    <col customWidth="1" min="5" max="5" width="12.57"/>
    <col customWidth="1" min="6" max="6" width="15.86"/>
    <col customWidth="1" min="7" max="7" width="14.57"/>
    <col customWidth="1" min="8" max="8" width="16.71"/>
    <col customWidth="1" min="9" max="9" width="9.43"/>
    <col customWidth="1" min="10" max="10" width="10.0"/>
    <col customWidth="1" min="11" max="26" width="8.0"/>
  </cols>
  <sheetData>
    <row r="1" ht="14.25" customHeight="1">
      <c r="A1" s="182" t="s">
        <v>183</v>
      </c>
      <c r="D1" s="183"/>
      <c r="E1" s="183"/>
      <c r="F1" s="183"/>
      <c r="G1" s="126"/>
      <c r="H1" s="126"/>
      <c r="I1" s="126"/>
      <c r="J1" s="126"/>
      <c r="K1" s="126"/>
      <c r="L1" s="126"/>
      <c r="M1" s="126"/>
    </row>
    <row r="2" ht="14.25" customHeight="1">
      <c r="A2" s="182" t="s">
        <v>184</v>
      </c>
      <c r="F2" s="183"/>
      <c r="G2" s="126"/>
      <c r="H2" s="126"/>
      <c r="I2" s="126"/>
      <c r="J2" s="126"/>
      <c r="K2" s="126"/>
      <c r="L2" s="126"/>
      <c r="M2" s="126"/>
    </row>
    <row r="3" ht="14.25" customHeight="1">
      <c r="A3" s="182" t="s">
        <v>97</v>
      </c>
      <c r="D3" s="183"/>
      <c r="E3" s="183"/>
      <c r="F3" s="183"/>
      <c r="G3" s="126"/>
      <c r="H3" s="126"/>
      <c r="I3" s="126"/>
      <c r="J3" s="126"/>
      <c r="K3" s="126"/>
      <c r="L3" s="126"/>
      <c r="M3" s="126"/>
    </row>
    <row r="4" ht="14.25" customHeight="1">
      <c r="A4" s="182" t="s">
        <v>98</v>
      </c>
      <c r="C4" s="183"/>
      <c r="D4" s="183"/>
      <c r="E4" s="183"/>
      <c r="F4" s="183"/>
      <c r="G4" s="126"/>
      <c r="H4" s="126"/>
      <c r="I4" s="126"/>
      <c r="J4" s="126"/>
      <c r="K4" s="126"/>
      <c r="L4" s="126"/>
      <c r="M4" s="126"/>
    </row>
    <row r="5" ht="14.25" customHeight="1">
      <c r="A5" s="182" t="s">
        <v>185</v>
      </c>
      <c r="D5" s="183"/>
      <c r="E5" s="183"/>
      <c r="F5" s="183"/>
      <c r="G5" s="126"/>
      <c r="H5" s="126"/>
      <c r="I5" s="126"/>
      <c r="J5" s="126"/>
      <c r="K5" s="126"/>
      <c r="L5" s="126"/>
      <c r="M5" s="126"/>
    </row>
    <row r="6" ht="14.25" customHeight="1">
      <c r="A6" s="184" t="s">
        <v>100</v>
      </c>
      <c r="B6" s="131" t="s">
        <v>101</v>
      </c>
      <c r="C6" s="131" t="s">
        <v>102</v>
      </c>
      <c r="D6" s="131" t="s">
        <v>103</v>
      </c>
      <c r="E6" s="131" t="s">
        <v>115</v>
      </c>
      <c r="F6" s="131" t="s">
        <v>105</v>
      </c>
      <c r="G6" s="185" t="s">
        <v>106</v>
      </c>
      <c r="H6" s="132" t="s">
        <v>107</v>
      </c>
      <c r="I6" s="186" t="s">
        <v>116</v>
      </c>
      <c r="J6" s="126"/>
      <c r="K6" s="126"/>
      <c r="L6" s="126"/>
      <c r="M6" s="126"/>
    </row>
    <row r="7" ht="14.25" customHeight="1">
      <c r="A7" s="187" t="s">
        <v>186</v>
      </c>
      <c r="B7" s="151">
        <v>41750.0</v>
      </c>
      <c r="C7" s="151">
        <v>6250.0</v>
      </c>
      <c r="D7" s="151">
        <v>48000.0</v>
      </c>
      <c r="E7" s="151">
        <v>527000.0</v>
      </c>
      <c r="F7" s="188" t="s">
        <v>187</v>
      </c>
      <c r="G7" s="155">
        <v>6250.0</v>
      </c>
      <c r="H7" s="155">
        <v>41750.0</v>
      </c>
      <c r="I7" s="126"/>
      <c r="J7" s="126"/>
      <c r="K7" s="126"/>
      <c r="L7" s="126"/>
      <c r="M7" s="126"/>
    </row>
    <row r="8" ht="14.25" customHeight="1">
      <c r="A8" s="189" t="s">
        <v>188</v>
      </c>
      <c r="B8" s="155">
        <v>41750.0</v>
      </c>
      <c r="C8" s="155">
        <v>6250.0</v>
      </c>
      <c r="D8" s="155">
        <v>48000.0</v>
      </c>
      <c r="E8" s="155">
        <v>479000.0</v>
      </c>
      <c r="F8" s="190" t="s">
        <v>187</v>
      </c>
      <c r="G8" s="155">
        <v>6250.0</v>
      </c>
      <c r="H8" s="155">
        <v>41750.0</v>
      </c>
      <c r="I8" s="126"/>
      <c r="J8" s="126"/>
      <c r="K8" s="126"/>
      <c r="L8" s="126"/>
      <c r="M8" s="126"/>
    </row>
    <row r="9" ht="14.25" customHeight="1">
      <c r="A9" s="191">
        <v>45293.0</v>
      </c>
      <c r="B9" s="155">
        <v>41750.0</v>
      </c>
      <c r="C9" s="155">
        <v>6250.0</v>
      </c>
      <c r="D9" s="155">
        <v>48000.0</v>
      </c>
      <c r="E9" s="155">
        <v>431000.0</v>
      </c>
      <c r="F9" s="190" t="s">
        <v>187</v>
      </c>
      <c r="G9" s="155">
        <v>6250.0</v>
      </c>
      <c r="H9" s="155">
        <v>41750.0</v>
      </c>
      <c r="I9" s="126"/>
      <c r="J9" s="126"/>
      <c r="K9" s="126"/>
      <c r="L9" s="126"/>
      <c r="M9" s="126"/>
    </row>
    <row r="10" ht="14.25" customHeight="1">
      <c r="A10" s="191">
        <v>45506.0</v>
      </c>
      <c r="B10" s="155">
        <v>41750.0</v>
      </c>
      <c r="C10" s="155">
        <v>6250.0</v>
      </c>
      <c r="D10" s="155">
        <v>48000.0</v>
      </c>
      <c r="E10" s="155">
        <v>383000.0</v>
      </c>
      <c r="F10" s="192" t="s">
        <v>189</v>
      </c>
      <c r="G10" s="155">
        <v>6250.0</v>
      </c>
      <c r="H10" s="155">
        <v>41750.0</v>
      </c>
      <c r="I10" s="179">
        <v>2400.0</v>
      </c>
      <c r="J10" s="126"/>
      <c r="K10" s="126"/>
      <c r="L10" s="126"/>
      <c r="M10" s="126"/>
    </row>
    <row r="11" ht="14.25" customHeight="1">
      <c r="A11" s="189" t="s">
        <v>190</v>
      </c>
      <c r="B11" s="155">
        <v>41750.0</v>
      </c>
      <c r="C11" s="155">
        <v>6250.0</v>
      </c>
      <c r="D11" s="155">
        <v>48000.0</v>
      </c>
      <c r="E11" s="155">
        <v>335000.0</v>
      </c>
      <c r="F11" s="190" t="s">
        <v>187</v>
      </c>
      <c r="G11" s="155">
        <v>6250.0</v>
      </c>
      <c r="H11" s="155">
        <v>41750.0</v>
      </c>
      <c r="I11" s="126"/>
      <c r="J11" s="126"/>
      <c r="K11" s="126"/>
      <c r="L11" s="126"/>
      <c r="M11" s="126"/>
    </row>
    <row r="12" ht="14.25" customHeight="1">
      <c r="A12" s="189" t="s">
        <v>191</v>
      </c>
      <c r="B12" s="155">
        <v>41750.0</v>
      </c>
      <c r="C12" s="155">
        <v>6250.0</v>
      </c>
      <c r="D12" s="155">
        <v>48000.0</v>
      </c>
      <c r="E12" s="155">
        <v>287000.0</v>
      </c>
      <c r="F12" s="190" t="s">
        <v>187</v>
      </c>
      <c r="G12" s="155">
        <v>6250.0</v>
      </c>
      <c r="H12" s="155">
        <v>41750.0</v>
      </c>
      <c r="I12" s="126"/>
      <c r="J12" s="126"/>
      <c r="K12" s="126"/>
      <c r="L12" s="126"/>
      <c r="M12" s="126"/>
    </row>
    <row r="13" ht="14.25" customHeight="1">
      <c r="A13" s="189" t="s">
        <v>192</v>
      </c>
      <c r="B13" s="155">
        <v>41750.0</v>
      </c>
      <c r="C13" s="155">
        <v>6250.0</v>
      </c>
      <c r="D13" s="155">
        <v>48000.0</v>
      </c>
      <c r="E13" s="155">
        <v>239000.0</v>
      </c>
      <c r="F13" s="190" t="s">
        <v>187</v>
      </c>
      <c r="G13" s="155">
        <v>6250.0</v>
      </c>
      <c r="H13" s="155">
        <v>41750.0</v>
      </c>
      <c r="I13" s="126"/>
      <c r="J13" s="126"/>
      <c r="K13" s="126"/>
      <c r="L13" s="126"/>
      <c r="M13" s="126"/>
    </row>
    <row r="14" ht="14.25" customHeight="1">
      <c r="A14" s="191">
        <v>45476.0</v>
      </c>
      <c r="B14" s="155">
        <v>41750.0</v>
      </c>
      <c r="C14" s="155">
        <v>6250.0</v>
      </c>
      <c r="D14" s="155">
        <v>48000.0</v>
      </c>
      <c r="E14" s="155">
        <v>191000.0</v>
      </c>
      <c r="F14" s="190" t="s">
        <v>187</v>
      </c>
      <c r="G14" s="155">
        <v>6250.0</v>
      </c>
      <c r="H14" s="155">
        <v>41750.0</v>
      </c>
      <c r="I14" s="126"/>
      <c r="J14" s="126"/>
      <c r="K14" s="126"/>
      <c r="L14" s="126"/>
      <c r="M14" s="126"/>
    </row>
    <row r="15" ht="14.25" customHeight="1">
      <c r="A15" s="189" t="s">
        <v>193</v>
      </c>
      <c r="B15" s="155">
        <v>41750.0</v>
      </c>
      <c r="C15" s="155">
        <v>6250.0</v>
      </c>
      <c r="D15" s="155">
        <v>48000.0</v>
      </c>
      <c r="E15" s="155">
        <v>143000.0</v>
      </c>
      <c r="F15" s="192" t="s">
        <v>189</v>
      </c>
      <c r="G15" s="155">
        <v>6250.0</v>
      </c>
      <c r="H15" s="155">
        <v>41750.0</v>
      </c>
      <c r="I15" s="193">
        <v>2000.0</v>
      </c>
      <c r="J15" s="126"/>
      <c r="K15" s="126"/>
      <c r="L15" s="126"/>
      <c r="M15" s="126"/>
    </row>
    <row r="16" ht="14.25" customHeight="1">
      <c r="A16" s="189" t="s">
        <v>194</v>
      </c>
      <c r="B16" s="155">
        <v>41750.0</v>
      </c>
      <c r="C16" s="155">
        <v>6250.0</v>
      </c>
      <c r="D16" s="155">
        <v>48000.0</v>
      </c>
      <c r="E16" s="155">
        <v>95000.0</v>
      </c>
      <c r="F16" s="190" t="s">
        <v>187</v>
      </c>
      <c r="G16" s="155">
        <v>6250.0</v>
      </c>
      <c r="H16" s="155">
        <v>41750.0</v>
      </c>
      <c r="I16" s="126"/>
      <c r="J16" s="126"/>
      <c r="K16" s="126"/>
      <c r="L16" s="126"/>
      <c r="M16" s="126"/>
    </row>
    <row r="17" ht="14.25" customHeight="1">
      <c r="A17" s="189" t="s">
        <v>195</v>
      </c>
      <c r="B17" s="155">
        <v>41750.0</v>
      </c>
      <c r="C17" s="155">
        <v>6250.0</v>
      </c>
      <c r="D17" s="155">
        <v>48000.0</v>
      </c>
      <c r="E17" s="155">
        <v>47000.0</v>
      </c>
      <c r="F17" s="190" t="s">
        <v>187</v>
      </c>
      <c r="G17" s="155">
        <v>6250.0</v>
      </c>
      <c r="H17" s="155">
        <v>41750.0</v>
      </c>
      <c r="I17" s="126"/>
      <c r="J17" s="126"/>
      <c r="K17" s="126"/>
      <c r="L17" s="126"/>
      <c r="M17" s="126"/>
    </row>
    <row r="18" ht="14.25" customHeight="1">
      <c r="A18" s="191">
        <v>45386.0</v>
      </c>
      <c r="B18" s="155">
        <v>40750.0</v>
      </c>
      <c r="C18" s="155">
        <v>6250.0</v>
      </c>
      <c r="D18" s="155">
        <v>47000.0</v>
      </c>
      <c r="E18" s="190" t="s">
        <v>121</v>
      </c>
      <c r="F18" s="190" t="s">
        <v>187</v>
      </c>
      <c r="G18" s="155">
        <v>6250.0</v>
      </c>
      <c r="H18" s="155">
        <v>41750.0</v>
      </c>
      <c r="I18" s="126"/>
      <c r="J18" s="126"/>
      <c r="K18" s="126"/>
      <c r="L18" s="126"/>
      <c r="M18" s="126"/>
    </row>
    <row r="19" ht="14.25" customHeight="1">
      <c r="A19" s="126"/>
      <c r="B19" s="194">
        <v>500000.0</v>
      </c>
      <c r="C19" s="194">
        <v>75000.0</v>
      </c>
      <c r="D19" s="194">
        <v>575000.0</v>
      </c>
      <c r="E19" s="195"/>
      <c r="F19" s="126"/>
      <c r="G19" s="196">
        <v>75000.0</v>
      </c>
      <c r="H19" s="197">
        <v>501000.0</v>
      </c>
      <c r="I19" s="179">
        <v>576000.0</v>
      </c>
      <c r="J19" s="198">
        <v>1400.0</v>
      </c>
      <c r="K19" s="126"/>
      <c r="L19" s="126"/>
      <c r="M19" s="126"/>
    </row>
    <row r="20" ht="14.25" customHeight="1">
      <c r="A20" s="126"/>
      <c r="B20" s="126"/>
      <c r="C20" s="126"/>
      <c r="D20" s="199">
        <v>2400.0</v>
      </c>
      <c r="E20" s="126"/>
      <c r="F20" s="126"/>
      <c r="G20" s="126"/>
      <c r="H20" s="126"/>
      <c r="I20" s="126"/>
      <c r="J20" s="200">
        <v>4400.0</v>
      </c>
      <c r="K20" s="201" t="s">
        <v>196</v>
      </c>
      <c r="M20" s="126"/>
    </row>
    <row r="21" ht="14.25" customHeight="1">
      <c r="A21" s="126"/>
      <c r="B21" s="126"/>
      <c r="C21" s="126"/>
      <c r="D21" s="179">
        <v>577400.0</v>
      </c>
      <c r="E21" s="126"/>
      <c r="F21" s="126"/>
      <c r="G21" s="126"/>
      <c r="H21" s="126"/>
      <c r="I21" s="198">
        <v>-1000.0</v>
      </c>
      <c r="J21" s="126"/>
      <c r="K21" s="126"/>
      <c r="L21" s="126"/>
      <c r="M21" s="126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6">
    <mergeCell ref="A1:C1"/>
    <mergeCell ref="A2:E2"/>
    <mergeCell ref="A3:C3"/>
    <mergeCell ref="A4:B4"/>
    <mergeCell ref="A5:C5"/>
    <mergeCell ref="K20:L20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3" width="8.0"/>
    <col customWidth="1" min="4" max="4" width="12.86"/>
    <col customWidth="1" min="5" max="5" width="12.57"/>
    <col customWidth="1" min="6" max="6" width="15.86"/>
    <col customWidth="1" min="7" max="7" width="14.57"/>
    <col customWidth="1" min="8" max="8" width="16.71"/>
    <col customWidth="1" min="9" max="9" width="8.0"/>
    <col customWidth="1" min="10" max="10" width="10.0"/>
    <col customWidth="1" min="11" max="26" width="8.0"/>
  </cols>
  <sheetData>
    <row r="1" ht="14.25" customHeight="1">
      <c r="A1" s="182" t="s">
        <v>197</v>
      </c>
      <c r="D1" s="183"/>
      <c r="E1" s="183"/>
      <c r="F1" s="183"/>
      <c r="G1" s="126"/>
      <c r="H1" s="126"/>
      <c r="I1" s="126"/>
      <c r="J1" s="126"/>
      <c r="K1" s="126"/>
      <c r="L1" s="126"/>
      <c r="M1" s="126"/>
    </row>
    <row r="2" ht="14.25" customHeight="1">
      <c r="A2" s="182" t="s">
        <v>198</v>
      </c>
      <c r="G2" s="126"/>
      <c r="H2" s="126"/>
      <c r="I2" s="126"/>
      <c r="J2" s="126"/>
      <c r="K2" s="126"/>
      <c r="L2" s="126"/>
      <c r="M2" s="126"/>
    </row>
    <row r="3" ht="14.25" customHeight="1">
      <c r="A3" s="182" t="s">
        <v>97</v>
      </c>
      <c r="E3" s="183"/>
      <c r="F3" s="183"/>
      <c r="G3" s="126"/>
      <c r="H3" s="126"/>
      <c r="I3" s="126"/>
      <c r="J3" s="126"/>
      <c r="K3" s="126"/>
      <c r="L3" s="126"/>
      <c r="M3" s="126"/>
    </row>
    <row r="4" ht="14.25" customHeight="1">
      <c r="A4" s="182" t="s">
        <v>199</v>
      </c>
      <c r="C4" s="183"/>
      <c r="D4" s="183"/>
      <c r="E4" s="183"/>
      <c r="F4" s="183"/>
      <c r="G4" s="126"/>
      <c r="H4" s="126"/>
      <c r="I4" s="126"/>
      <c r="J4" s="126"/>
      <c r="K4" s="126"/>
      <c r="L4" s="126"/>
      <c r="M4" s="126"/>
    </row>
    <row r="5" ht="14.25" customHeight="1">
      <c r="A5" s="182" t="s">
        <v>185</v>
      </c>
      <c r="E5" s="183"/>
      <c r="F5" s="183"/>
      <c r="G5" s="126"/>
      <c r="H5" s="126"/>
      <c r="I5" s="126"/>
      <c r="J5" s="126"/>
      <c r="K5" s="126"/>
      <c r="L5" s="126"/>
      <c r="M5" s="126"/>
    </row>
    <row r="6" ht="14.25" customHeight="1">
      <c r="A6" s="202" t="s">
        <v>100</v>
      </c>
      <c r="B6" s="203" t="s">
        <v>101</v>
      </c>
      <c r="C6" s="203" t="s">
        <v>102</v>
      </c>
      <c r="D6" s="203" t="s">
        <v>103</v>
      </c>
      <c r="E6" s="203" t="s">
        <v>115</v>
      </c>
      <c r="F6" s="203" t="s">
        <v>105</v>
      </c>
      <c r="G6" s="204" t="s">
        <v>106</v>
      </c>
      <c r="H6" s="205" t="s">
        <v>107</v>
      </c>
      <c r="I6" s="206" t="s">
        <v>116</v>
      </c>
      <c r="J6" s="207"/>
      <c r="K6" s="126"/>
      <c r="L6" s="126"/>
      <c r="M6" s="126"/>
    </row>
    <row r="7" ht="14.25" customHeight="1">
      <c r="A7" s="208" t="s">
        <v>200</v>
      </c>
      <c r="B7" s="209">
        <v>41750.0</v>
      </c>
      <c r="C7" s="209">
        <v>6250.0</v>
      </c>
      <c r="D7" s="209">
        <v>48000.0</v>
      </c>
      <c r="E7" s="209">
        <v>527000.0</v>
      </c>
      <c r="F7" s="210"/>
      <c r="G7" s="211">
        <v>6250.0</v>
      </c>
      <c r="H7" s="211">
        <v>41750.0</v>
      </c>
      <c r="I7" s="126"/>
      <c r="J7" s="212" t="s">
        <v>201</v>
      </c>
      <c r="K7" s="126"/>
      <c r="L7" s="126"/>
      <c r="M7" s="126"/>
    </row>
    <row r="8" ht="14.25" customHeight="1">
      <c r="A8" s="213" t="s">
        <v>202</v>
      </c>
      <c r="B8" s="211">
        <v>41750.0</v>
      </c>
      <c r="C8" s="211">
        <v>6250.0</v>
      </c>
      <c r="D8" s="211">
        <v>48000.0</v>
      </c>
      <c r="E8" s="211">
        <v>479000.0</v>
      </c>
      <c r="F8" s="214"/>
      <c r="G8" s="211">
        <v>6250.0</v>
      </c>
      <c r="H8" s="211">
        <v>41750.0</v>
      </c>
      <c r="I8" s="210"/>
      <c r="J8" s="207"/>
      <c r="K8" s="126"/>
      <c r="L8" s="126"/>
      <c r="M8" s="126"/>
    </row>
    <row r="9" ht="14.25" customHeight="1">
      <c r="A9" s="215">
        <v>45356.0</v>
      </c>
      <c r="B9" s="211">
        <v>41750.0</v>
      </c>
      <c r="C9" s="211">
        <v>6250.0</v>
      </c>
      <c r="D9" s="211">
        <v>48000.0</v>
      </c>
      <c r="E9" s="211">
        <v>431000.0</v>
      </c>
      <c r="F9" s="214"/>
      <c r="G9" s="211">
        <v>6250.0</v>
      </c>
      <c r="H9" s="211">
        <v>41750.0</v>
      </c>
      <c r="I9" s="214"/>
      <c r="J9" s="207"/>
      <c r="K9" s="126"/>
      <c r="L9" s="126"/>
      <c r="M9" s="126"/>
    </row>
    <row r="10" ht="14.25" customHeight="1">
      <c r="A10" s="215">
        <v>45570.0</v>
      </c>
      <c r="B10" s="211">
        <v>41750.0</v>
      </c>
      <c r="C10" s="211">
        <v>6250.0</v>
      </c>
      <c r="D10" s="211">
        <v>48000.0</v>
      </c>
      <c r="E10" s="211">
        <v>383000.0</v>
      </c>
      <c r="F10" s="214"/>
      <c r="G10" s="211">
        <v>6250.0</v>
      </c>
      <c r="H10" s="211">
        <v>41750.0</v>
      </c>
      <c r="I10" s="214"/>
      <c r="J10" s="207"/>
      <c r="K10" s="126"/>
      <c r="L10" s="126"/>
      <c r="M10" s="126"/>
    </row>
    <row r="11" ht="14.25" customHeight="1">
      <c r="A11" s="213" t="s">
        <v>203</v>
      </c>
      <c r="B11" s="211">
        <v>41750.0</v>
      </c>
      <c r="C11" s="211">
        <v>6250.0</v>
      </c>
      <c r="D11" s="211">
        <v>48000.0</v>
      </c>
      <c r="E11" s="211">
        <v>335000.0</v>
      </c>
      <c r="F11" s="214"/>
      <c r="G11" s="211">
        <v>6250.0</v>
      </c>
      <c r="H11" s="211">
        <v>41750.0</v>
      </c>
      <c r="I11" s="216">
        <f>48000*5/100</f>
        <v>2400</v>
      </c>
      <c r="J11" s="217" t="s">
        <v>204</v>
      </c>
      <c r="K11" s="126"/>
      <c r="L11" s="126"/>
      <c r="M11" s="126"/>
    </row>
    <row r="12" ht="14.25" customHeight="1">
      <c r="A12" s="213" t="s">
        <v>205</v>
      </c>
      <c r="B12" s="211">
        <v>41750.0</v>
      </c>
      <c r="C12" s="211">
        <v>6250.0</v>
      </c>
      <c r="D12" s="211">
        <v>48000.0</v>
      </c>
      <c r="E12" s="211">
        <v>287000.0</v>
      </c>
      <c r="F12" s="214"/>
      <c r="G12" s="211">
        <v>6250.0</v>
      </c>
      <c r="H12" s="211">
        <v>41750.0</v>
      </c>
      <c r="I12" s="192">
        <v>2400.0</v>
      </c>
      <c r="J12" s="217" t="s">
        <v>204</v>
      </c>
      <c r="K12" s="126"/>
      <c r="L12" s="126"/>
      <c r="M12" s="126"/>
    </row>
    <row r="13" ht="14.25" customHeight="1">
      <c r="A13" s="213" t="s">
        <v>125</v>
      </c>
      <c r="B13" s="211">
        <v>41750.0</v>
      </c>
      <c r="C13" s="211">
        <v>6250.0</v>
      </c>
      <c r="D13" s="211">
        <v>48000.0</v>
      </c>
      <c r="E13" s="211">
        <v>239000.0</v>
      </c>
      <c r="F13" s="214"/>
      <c r="G13" s="211">
        <v>6250.0</v>
      </c>
      <c r="H13" s="211">
        <v>41750.0</v>
      </c>
      <c r="I13" s="214"/>
      <c r="J13" s="207"/>
      <c r="K13" s="126"/>
      <c r="L13" s="126"/>
      <c r="M13" s="126"/>
    </row>
    <row r="14" ht="14.25" customHeight="1">
      <c r="A14" s="215">
        <v>45479.0</v>
      </c>
      <c r="B14" s="211">
        <v>41750.0</v>
      </c>
      <c r="C14" s="211">
        <v>6250.0</v>
      </c>
      <c r="D14" s="211">
        <v>48000.0</v>
      </c>
      <c r="E14" s="211">
        <v>191000.0</v>
      </c>
      <c r="F14" s="214"/>
      <c r="G14" s="211">
        <v>6250.0</v>
      </c>
      <c r="H14" s="211">
        <v>41750.0</v>
      </c>
      <c r="I14" s="214"/>
      <c r="J14" s="207"/>
      <c r="K14" s="126"/>
      <c r="L14" s="126"/>
      <c r="M14" s="126"/>
    </row>
    <row r="15" ht="14.25" customHeight="1">
      <c r="A15" s="213" t="s">
        <v>206</v>
      </c>
      <c r="B15" s="211">
        <v>41750.0</v>
      </c>
      <c r="C15" s="211">
        <v>6250.0</v>
      </c>
      <c r="D15" s="211">
        <v>48000.0</v>
      </c>
      <c r="E15" s="211">
        <v>143000.0</v>
      </c>
      <c r="F15" s="214"/>
      <c r="G15" s="211">
        <v>6250.0</v>
      </c>
      <c r="H15" s="211">
        <v>41750.0</v>
      </c>
      <c r="I15" s="218"/>
      <c r="J15" s="207"/>
      <c r="K15" s="126"/>
      <c r="L15" s="126"/>
      <c r="M15" s="126"/>
    </row>
    <row r="16" ht="14.25" customHeight="1">
      <c r="A16" s="213" t="s">
        <v>207</v>
      </c>
      <c r="B16" s="211">
        <v>41750.0</v>
      </c>
      <c r="C16" s="211">
        <v>6250.0</v>
      </c>
      <c r="D16" s="211">
        <v>48000.0</v>
      </c>
      <c r="E16" s="211">
        <v>95000.0</v>
      </c>
      <c r="F16" s="214"/>
      <c r="G16" s="211">
        <v>6250.0</v>
      </c>
      <c r="H16" s="211">
        <v>41750.0</v>
      </c>
      <c r="I16" s="214"/>
      <c r="J16" s="207"/>
      <c r="K16" s="126"/>
      <c r="L16" s="126"/>
      <c r="M16" s="126"/>
    </row>
    <row r="17" ht="14.25" customHeight="1">
      <c r="A17" s="213" t="s">
        <v>208</v>
      </c>
      <c r="B17" s="211">
        <v>41750.0</v>
      </c>
      <c r="C17" s="211">
        <v>6250.0</v>
      </c>
      <c r="D17" s="211">
        <v>48000.0</v>
      </c>
      <c r="E17" s="211">
        <v>47000.0</v>
      </c>
      <c r="F17" s="214"/>
      <c r="G17" s="211">
        <v>6250.0</v>
      </c>
      <c r="H17" s="211">
        <v>41750.0</v>
      </c>
      <c r="I17" s="214"/>
      <c r="J17" s="207"/>
      <c r="K17" s="126"/>
      <c r="L17" s="126"/>
      <c r="M17" s="126"/>
    </row>
    <row r="18" ht="14.25" customHeight="1">
      <c r="A18" s="215">
        <v>45419.0</v>
      </c>
      <c r="B18" s="211">
        <v>40750.0</v>
      </c>
      <c r="C18" s="211">
        <v>6250.0</v>
      </c>
      <c r="D18" s="211">
        <v>47000.0</v>
      </c>
      <c r="E18" s="219" t="s">
        <v>121</v>
      </c>
      <c r="F18" s="214"/>
      <c r="G18" s="211">
        <v>6250.0</v>
      </c>
      <c r="H18" s="211">
        <v>41750.0</v>
      </c>
      <c r="I18" s="214"/>
      <c r="J18" s="207"/>
      <c r="K18" s="126"/>
      <c r="L18" s="126"/>
      <c r="M18" s="126"/>
    </row>
    <row r="19" ht="14.25" customHeight="1">
      <c r="A19" s="220"/>
      <c r="B19" s="221">
        <v>500000.0</v>
      </c>
      <c r="C19" s="221">
        <v>75000.0</v>
      </c>
      <c r="D19" s="221">
        <v>575000.0</v>
      </c>
      <c r="E19" s="218"/>
      <c r="F19" s="214"/>
      <c r="G19" s="221">
        <f t="shared" ref="G19:H19" si="1">SUM(G7:G18)</f>
        <v>75000</v>
      </c>
      <c r="H19" s="221">
        <f t="shared" si="1"/>
        <v>501000</v>
      </c>
      <c r="I19" s="214"/>
      <c r="J19" s="222">
        <f>G19+H19</f>
        <v>576000</v>
      </c>
      <c r="K19" s="223">
        <f>D19-J19</f>
        <v>-1000</v>
      </c>
      <c r="L19" s="126"/>
      <c r="M19" s="126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</sheetData>
  <mergeCells count="5">
    <mergeCell ref="A1:C1"/>
    <mergeCell ref="A2:F2"/>
    <mergeCell ref="A3:D3"/>
    <mergeCell ref="A4:B4"/>
    <mergeCell ref="A5:D5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0.14"/>
    <col customWidth="1" min="3" max="3" width="13.86"/>
    <col customWidth="1" min="4" max="4" width="12.86"/>
    <col customWidth="1" min="5" max="5" width="12.57"/>
    <col customWidth="1" min="6" max="6" width="11.86"/>
    <col customWidth="1" min="7" max="7" width="11.14"/>
    <col customWidth="1" min="8" max="8" width="12.29"/>
    <col customWidth="1" min="9" max="9" width="9.71"/>
    <col customWidth="1" min="10" max="10" width="10.0"/>
    <col customWidth="1" min="11" max="26" width="8.0"/>
  </cols>
  <sheetData>
    <row r="1" ht="14.25" customHeight="1">
      <c r="A1" s="182" t="s">
        <v>209</v>
      </c>
      <c r="D1" s="183"/>
      <c r="E1" s="183"/>
      <c r="F1" s="183"/>
      <c r="G1" s="126"/>
      <c r="H1" s="126"/>
    </row>
    <row r="2" ht="14.25" customHeight="1">
      <c r="A2" s="182" t="s">
        <v>210</v>
      </c>
      <c r="F2" s="183"/>
      <c r="G2" s="126"/>
      <c r="H2" s="126"/>
    </row>
    <row r="3" ht="14.25" customHeight="1">
      <c r="A3" s="182" t="s">
        <v>97</v>
      </c>
      <c r="E3" s="183"/>
      <c r="F3" s="183"/>
      <c r="G3" s="126"/>
      <c r="H3" s="126"/>
    </row>
    <row r="4" ht="14.25" customHeight="1">
      <c r="A4" s="182" t="s">
        <v>211</v>
      </c>
      <c r="C4" s="183"/>
      <c r="D4" s="183"/>
      <c r="E4" s="183"/>
      <c r="F4" s="183"/>
      <c r="G4" s="126"/>
      <c r="H4" s="126"/>
    </row>
    <row r="5" ht="14.25" customHeight="1">
      <c r="A5" s="182" t="s">
        <v>177</v>
      </c>
      <c r="D5" s="183"/>
      <c r="E5" s="183"/>
      <c r="F5" s="183"/>
      <c r="G5" s="126"/>
      <c r="H5" s="126"/>
    </row>
    <row r="6" ht="14.25" customHeight="1">
      <c r="A6" s="184" t="s">
        <v>100</v>
      </c>
      <c r="B6" s="224" t="s">
        <v>101</v>
      </c>
      <c r="C6" s="224" t="s">
        <v>102</v>
      </c>
      <c r="D6" s="224" t="s">
        <v>103</v>
      </c>
      <c r="E6" s="224" t="s">
        <v>115</v>
      </c>
      <c r="F6" s="224" t="s">
        <v>105</v>
      </c>
      <c r="G6" s="185" t="s">
        <v>106</v>
      </c>
      <c r="H6" s="132" t="s">
        <v>107</v>
      </c>
      <c r="I6" s="59" t="s">
        <v>212</v>
      </c>
    </row>
    <row r="7" ht="14.25" customHeight="1">
      <c r="A7" s="187" t="s">
        <v>213</v>
      </c>
      <c r="B7" s="151">
        <v>25000.0</v>
      </c>
      <c r="C7" s="151">
        <v>6250.0</v>
      </c>
      <c r="D7" s="151">
        <v>31250.0</v>
      </c>
      <c r="E7" s="151">
        <v>593750.0</v>
      </c>
      <c r="F7" s="225"/>
      <c r="G7" s="151">
        <v>6250.0</v>
      </c>
      <c r="H7" s="151">
        <v>25000.0</v>
      </c>
    </row>
    <row r="8" ht="14.25" customHeight="1">
      <c r="A8" s="189" t="s">
        <v>214</v>
      </c>
      <c r="B8" s="155">
        <v>25000.0</v>
      </c>
      <c r="C8" s="155">
        <v>6250.0</v>
      </c>
      <c r="D8" s="155">
        <v>31250.0</v>
      </c>
      <c r="E8" s="155">
        <v>562500.0</v>
      </c>
      <c r="F8" s="226"/>
      <c r="G8" s="151">
        <v>6250.0</v>
      </c>
      <c r="H8" s="151">
        <v>25000.0</v>
      </c>
    </row>
    <row r="9" ht="14.25" customHeight="1">
      <c r="A9" s="191">
        <v>45330.0</v>
      </c>
      <c r="B9" s="155">
        <v>25000.0</v>
      </c>
      <c r="C9" s="155">
        <v>6250.0</v>
      </c>
      <c r="D9" s="155">
        <v>31250.0</v>
      </c>
      <c r="E9" s="155">
        <v>531250.0</v>
      </c>
      <c r="F9" s="226"/>
      <c r="G9" s="151">
        <v>6250.0</v>
      </c>
      <c r="H9" s="151">
        <v>25000.0</v>
      </c>
    </row>
    <row r="10" ht="14.25" customHeight="1">
      <c r="A10" s="227">
        <v>45543.0</v>
      </c>
      <c r="B10" s="228">
        <v>25000.0</v>
      </c>
      <c r="C10" s="228">
        <v>6250.0</v>
      </c>
      <c r="D10" s="228">
        <v>31250.0</v>
      </c>
      <c r="E10" s="228">
        <v>500000.0</v>
      </c>
      <c r="F10" s="229"/>
      <c r="G10" s="151">
        <v>6250.0</v>
      </c>
      <c r="H10" s="151">
        <v>25000.0</v>
      </c>
      <c r="I10" s="107">
        <f>31500*5%</f>
        <v>1575</v>
      </c>
      <c r="J10" s="230"/>
      <c r="K10" s="230"/>
      <c r="L10" s="230"/>
      <c r="M10" s="230"/>
      <c r="N10" s="230"/>
      <c r="O10" s="230"/>
      <c r="P10" s="230"/>
      <c r="Q10" s="230"/>
      <c r="R10" s="230"/>
      <c r="S10" s="230"/>
      <c r="T10" s="230"/>
      <c r="U10" s="230"/>
      <c r="V10" s="230"/>
      <c r="W10" s="230"/>
      <c r="X10" s="230"/>
      <c r="Y10" s="230"/>
      <c r="Z10" s="230"/>
    </row>
    <row r="11" ht="14.25" customHeight="1">
      <c r="A11" s="189" t="s">
        <v>215</v>
      </c>
      <c r="B11" s="155">
        <v>25000.0</v>
      </c>
      <c r="C11" s="155">
        <v>6250.0</v>
      </c>
      <c r="D11" s="155">
        <v>31250.0</v>
      </c>
      <c r="E11" s="155">
        <v>468750.0</v>
      </c>
      <c r="F11" s="226"/>
      <c r="G11" s="151">
        <v>6250.0</v>
      </c>
      <c r="H11" s="151">
        <v>25000.0</v>
      </c>
    </row>
    <row r="12" ht="14.25" customHeight="1">
      <c r="A12" s="189" t="s">
        <v>216</v>
      </c>
      <c r="B12" s="155">
        <v>25000.0</v>
      </c>
      <c r="C12" s="155">
        <v>6250.0</v>
      </c>
      <c r="D12" s="155">
        <v>31250.0</v>
      </c>
      <c r="E12" s="155">
        <v>437500.0</v>
      </c>
      <c r="F12" s="226"/>
      <c r="G12" s="151">
        <v>6250.0</v>
      </c>
      <c r="H12" s="151">
        <v>25000.0</v>
      </c>
      <c r="M12" s="107">
        <f>31250*5/100</f>
        <v>1562.5</v>
      </c>
    </row>
    <row r="13" ht="14.25" customHeight="1">
      <c r="A13" s="189" t="s">
        <v>142</v>
      </c>
      <c r="B13" s="155">
        <v>25000.0</v>
      </c>
      <c r="C13" s="155">
        <v>6250.0</v>
      </c>
      <c r="D13" s="155">
        <v>31250.0</v>
      </c>
      <c r="E13" s="155">
        <v>406250.0</v>
      </c>
      <c r="F13" s="226"/>
      <c r="G13" s="151">
        <v>6250.0</v>
      </c>
      <c r="H13" s="151">
        <v>25000.0</v>
      </c>
    </row>
    <row r="14" ht="14.25" customHeight="1">
      <c r="A14" s="191">
        <v>45452.0</v>
      </c>
      <c r="B14" s="155">
        <v>25000.0</v>
      </c>
      <c r="C14" s="155">
        <v>6250.0</v>
      </c>
      <c r="D14" s="155">
        <v>31250.0</v>
      </c>
      <c r="E14" s="155">
        <v>375000.0</v>
      </c>
      <c r="F14" s="226"/>
      <c r="G14" s="151">
        <v>6250.0</v>
      </c>
      <c r="H14" s="151">
        <v>25000.0</v>
      </c>
      <c r="I14" s="231" t="s">
        <v>217</v>
      </c>
    </row>
    <row r="15" ht="14.25" customHeight="1">
      <c r="A15" s="189" t="s">
        <v>218</v>
      </c>
      <c r="B15" s="155">
        <v>25000.0</v>
      </c>
      <c r="C15" s="155">
        <v>6250.0</v>
      </c>
      <c r="D15" s="155">
        <v>31250.0</v>
      </c>
      <c r="E15" s="155">
        <v>343750.0</v>
      </c>
      <c r="F15" s="226"/>
      <c r="G15" s="151">
        <v>6250.0</v>
      </c>
      <c r="H15" s="151">
        <v>25000.0</v>
      </c>
      <c r="I15" s="59" t="s">
        <v>219</v>
      </c>
    </row>
    <row r="16" ht="14.25" customHeight="1">
      <c r="A16" s="189" t="s">
        <v>220</v>
      </c>
      <c r="B16" s="155">
        <v>25000.0</v>
      </c>
      <c r="C16" s="155">
        <v>6250.0</v>
      </c>
      <c r="D16" s="155">
        <v>31250.0</v>
      </c>
      <c r="E16" s="155">
        <v>312500.0</v>
      </c>
      <c r="F16" s="226"/>
      <c r="G16" s="232">
        <v>6250.0</v>
      </c>
      <c r="H16" s="233">
        <v>25000.0</v>
      </c>
    </row>
    <row r="17" ht="14.25" customHeight="1">
      <c r="A17" s="189" t="s">
        <v>221</v>
      </c>
      <c r="B17" s="155">
        <v>25000.0</v>
      </c>
      <c r="C17" s="155">
        <v>6250.0</v>
      </c>
      <c r="D17" s="155">
        <v>31250.0</v>
      </c>
      <c r="E17" s="155">
        <v>281250.0</v>
      </c>
      <c r="F17" s="226"/>
      <c r="G17" s="151">
        <v>6250.0</v>
      </c>
      <c r="H17" s="151">
        <v>25000.0</v>
      </c>
    </row>
    <row r="18" ht="14.25" customHeight="1">
      <c r="A18" s="191">
        <v>45392.0</v>
      </c>
      <c r="B18" s="155">
        <v>25000.0</v>
      </c>
      <c r="C18" s="155">
        <v>6250.0</v>
      </c>
      <c r="D18" s="155">
        <v>31250.0</v>
      </c>
      <c r="E18" s="155">
        <v>250000.0</v>
      </c>
      <c r="F18" s="226"/>
      <c r="G18" s="173">
        <v>6250.0</v>
      </c>
      <c r="H18" s="173">
        <v>25000.0</v>
      </c>
      <c r="I18" s="107">
        <f>64300-62500</f>
        <v>1800</v>
      </c>
    </row>
    <row r="19" ht="14.25" customHeight="1">
      <c r="A19" s="191">
        <v>45606.0</v>
      </c>
      <c r="B19" s="155">
        <v>25000.0</v>
      </c>
      <c r="C19" s="155">
        <v>6250.0</v>
      </c>
      <c r="D19" s="155">
        <v>31250.0</v>
      </c>
      <c r="E19" s="155">
        <v>218750.0</v>
      </c>
      <c r="F19" s="226"/>
      <c r="G19" s="173">
        <v>6250.0</v>
      </c>
      <c r="H19" s="173">
        <v>25000.0</v>
      </c>
    </row>
    <row r="20" ht="14.25" customHeight="1">
      <c r="A20" s="189" t="s">
        <v>222</v>
      </c>
      <c r="B20" s="155">
        <v>25000.0</v>
      </c>
      <c r="C20" s="155">
        <v>6250.0</v>
      </c>
      <c r="D20" s="155">
        <v>31250.0</v>
      </c>
      <c r="E20" s="155">
        <v>187500.0</v>
      </c>
      <c r="F20" s="226"/>
      <c r="G20" s="173">
        <v>6250.0</v>
      </c>
      <c r="H20" s="173">
        <v>25000.0</v>
      </c>
      <c r="I20" s="59">
        <v>1800.0</v>
      </c>
    </row>
    <row r="21" ht="14.25" customHeight="1">
      <c r="A21" s="189" t="s">
        <v>223</v>
      </c>
      <c r="B21" s="155">
        <v>25000.0</v>
      </c>
      <c r="C21" s="155">
        <v>6250.0</v>
      </c>
      <c r="D21" s="155">
        <v>31250.0</v>
      </c>
      <c r="E21" s="155">
        <v>156250.0</v>
      </c>
      <c r="F21" s="226"/>
      <c r="G21" s="173">
        <v>6250.0</v>
      </c>
      <c r="H21" s="173">
        <f t="shared" ref="H21:H22" si="1">25000+100</f>
        <v>25100</v>
      </c>
      <c r="K21" s="170">
        <f>50000+G18+G17</f>
        <v>62500</v>
      </c>
    </row>
    <row r="22" ht="14.25" customHeight="1">
      <c r="A22" s="191">
        <v>45302.0</v>
      </c>
      <c r="B22" s="155">
        <v>25000.0</v>
      </c>
      <c r="C22" s="155">
        <v>6250.0</v>
      </c>
      <c r="D22" s="155">
        <v>31250.0</v>
      </c>
      <c r="E22" s="155">
        <v>125000.0</v>
      </c>
      <c r="F22" s="226"/>
      <c r="G22" s="173">
        <v>6250.0</v>
      </c>
      <c r="H22" s="173">
        <f t="shared" si="1"/>
        <v>25100</v>
      </c>
    </row>
    <row r="23" ht="14.25" customHeight="1">
      <c r="A23" s="191">
        <v>45515.0</v>
      </c>
      <c r="B23" s="155">
        <v>25000.0</v>
      </c>
      <c r="C23" s="155">
        <v>6250.0</v>
      </c>
      <c r="D23" s="155">
        <v>31250.0</v>
      </c>
      <c r="E23" s="155">
        <v>93750.0</v>
      </c>
      <c r="F23" s="226"/>
      <c r="G23" s="216"/>
      <c r="H23" s="216"/>
    </row>
    <row r="24" ht="14.25" customHeight="1">
      <c r="A24" s="189" t="s">
        <v>224</v>
      </c>
      <c r="B24" s="155">
        <v>25000.0</v>
      </c>
      <c r="C24" s="155">
        <v>6250.0</v>
      </c>
      <c r="D24" s="155">
        <v>31250.0</v>
      </c>
      <c r="E24" s="155">
        <v>62500.0</v>
      </c>
      <c r="F24" s="226"/>
      <c r="G24" s="226"/>
      <c r="H24" s="226"/>
    </row>
    <row r="25" ht="14.25" customHeight="1">
      <c r="A25" s="189" t="s">
        <v>67</v>
      </c>
      <c r="B25" s="155">
        <v>25000.0</v>
      </c>
      <c r="C25" s="155">
        <v>6250.0</v>
      </c>
      <c r="D25" s="155">
        <v>31250.0</v>
      </c>
      <c r="E25" s="155">
        <v>31250.0</v>
      </c>
      <c r="F25" s="226"/>
      <c r="G25" s="226"/>
      <c r="H25" s="226"/>
    </row>
    <row r="26" ht="14.25" customHeight="1">
      <c r="A26" s="234" t="s">
        <v>225</v>
      </c>
      <c r="B26" s="155">
        <v>25000.0</v>
      </c>
      <c r="C26" s="155">
        <v>6250.0</v>
      </c>
      <c r="D26" s="155">
        <v>31250.0</v>
      </c>
      <c r="E26" s="190" t="s">
        <v>121</v>
      </c>
      <c r="F26" s="226"/>
      <c r="G26" s="226"/>
      <c r="H26" s="226"/>
    </row>
    <row r="27" ht="14.25" customHeight="1">
      <c r="A27" s="126"/>
      <c r="B27" s="235">
        <v>500000.0</v>
      </c>
      <c r="C27" s="236">
        <v>125000.0</v>
      </c>
      <c r="D27" s="236">
        <v>625000.0</v>
      </c>
      <c r="E27" s="237"/>
      <c r="F27" s="237"/>
      <c r="G27" s="238">
        <f t="shared" ref="G27:H27" si="2">SUM(G7:G26)</f>
        <v>100000</v>
      </c>
      <c r="H27" s="238">
        <f t="shared" si="2"/>
        <v>400200</v>
      </c>
      <c r="I27" s="239">
        <f>G27+H27</f>
        <v>500200</v>
      </c>
      <c r="J27" s="239">
        <f>D27-I27</f>
        <v>124800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2.86"/>
    <col customWidth="1" min="3" max="3" width="13.29"/>
    <col customWidth="1" min="4" max="4" width="12.43"/>
    <col customWidth="1" min="5" max="5" width="17.29"/>
    <col customWidth="1" min="6" max="6" width="15.14"/>
    <col customWidth="1" min="7" max="7" width="13.86"/>
    <col customWidth="1" min="8" max="8" width="15.14"/>
    <col customWidth="1" min="9" max="9" width="11.71"/>
    <col customWidth="1" min="10" max="10" width="10.71"/>
    <col customWidth="1" min="11" max="11" width="9.86"/>
    <col customWidth="1" min="12" max="26" width="8.0"/>
  </cols>
  <sheetData>
    <row r="1" ht="14.25" customHeight="1">
      <c r="A1" s="111" t="s">
        <v>95</v>
      </c>
      <c r="B1" s="111"/>
      <c r="C1" s="111"/>
      <c r="D1" s="111"/>
      <c r="E1" s="111"/>
      <c r="F1" s="111"/>
    </row>
    <row r="2" ht="14.25" customHeight="1">
      <c r="A2" s="111" t="s">
        <v>96</v>
      </c>
      <c r="B2" s="111"/>
      <c r="C2" s="111"/>
      <c r="D2" s="111"/>
      <c r="E2" s="111"/>
      <c r="F2" s="111"/>
    </row>
    <row r="3" ht="14.25" customHeight="1">
      <c r="A3" s="111" t="s">
        <v>97</v>
      </c>
      <c r="B3" s="111"/>
      <c r="C3" s="111"/>
      <c r="D3" s="111"/>
      <c r="E3" s="111"/>
      <c r="F3" s="111"/>
    </row>
    <row r="4" ht="14.25" customHeight="1">
      <c r="A4" s="111" t="s">
        <v>98</v>
      </c>
      <c r="B4" s="111"/>
      <c r="C4" s="111"/>
      <c r="D4" s="111"/>
      <c r="E4" s="111"/>
      <c r="F4" s="111"/>
    </row>
    <row r="5" ht="15.0" customHeight="1">
      <c r="A5" s="111" t="s">
        <v>99</v>
      </c>
      <c r="B5" s="111"/>
      <c r="C5" s="111"/>
      <c r="D5" s="111"/>
      <c r="E5" s="111"/>
      <c r="F5" s="111"/>
    </row>
    <row r="6" ht="63.0" customHeight="1">
      <c r="A6" s="112" t="s">
        <v>100</v>
      </c>
      <c r="B6" s="112" t="s">
        <v>101</v>
      </c>
      <c r="C6" s="113" t="s">
        <v>102</v>
      </c>
      <c r="D6" s="113" t="s">
        <v>103</v>
      </c>
      <c r="E6" s="113" t="s">
        <v>226</v>
      </c>
      <c r="F6" s="240" t="s">
        <v>105</v>
      </c>
      <c r="G6" s="114" t="s">
        <v>106</v>
      </c>
      <c r="H6" s="114" t="s">
        <v>107</v>
      </c>
    </row>
    <row r="7" ht="14.25" customHeight="1">
      <c r="A7" s="115">
        <v>45293.0</v>
      </c>
      <c r="B7" s="6">
        <v>21000.0</v>
      </c>
      <c r="C7" s="7">
        <v>10000.0</v>
      </c>
      <c r="D7" s="7">
        <f t="shared" ref="D7:D30" si="1">B7+C7</f>
        <v>31000</v>
      </c>
      <c r="E7" s="7">
        <f>740000-D7</f>
        <v>709000</v>
      </c>
      <c r="F7" s="5"/>
      <c r="G7" s="6">
        <v>10000.0</v>
      </c>
      <c r="H7" s="6">
        <v>21000.0</v>
      </c>
    </row>
    <row r="8" ht="14.25" customHeight="1">
      <c r="A8" s="115">
        <v>45294.0</v>
      </c>
      <c r="B8" s="6">
        <v>21000.0</v>
      </c>
      <c r="C8" s="7">
        <v>10000.0</v>
      </c>
      <c r="D8" s="7">
        <f t="shared" si="1"/>
        <v>31000</v>
      </c>
      <c r="E8" s="7">
        <f t="shared" ref="E8:E30" si="2">E7-D8</f>
        <v>678000</v>
      </c>
      <c r="F8" s="5"/>
      <c r="G8" s="6">
        <v>10000.0</v>
      </c>
      <c r="H8" s="6">
        <v>21000.0</v>
      </c>
    </row>
    <row r="9" ht="14.25" customHeight="1">
      <c r="A9" s="115">
        <v>45295.0</v>
      </c>
      <c r="B9" s="6">
        <v>21000.0</v>
      </c>
      <c r="C9" s="7">
        <v>10000.0</v>
      </c>
      <c r="D9" s="7">
        <f t="shared" si="1"/>
        <v>31000</v>
      </c>
      <c r="E9" s="7">
        <f t="shared" si="2"/>
        <v>647000</v>
      </c>
      <c r="F9" s="5"/>
      <c r="G9" s="6">
        <v>10000.0</v>
      </c>
      <c r="H9" s="6">
        <v>21000.0</v>
      </c>
    </row>
    <row r="10" ht="14.25" customHeight="1">
      <c r="A10" s="115">
        <v>45296.0</v>
      </c>
      <c r="B10" s="6">
        <v>21000.0</v>
      </c>
      <c r="C10" s="7">
        <v>10000.0</v>
      </c>
      <c r="D10" s="7">
        <f t="shared" si="1"/>
        <v>31000</v>
      </c>
      <c r="E10" s="7">
        <f t="shared" si="2"/>
        <v>616000</v>
      </c>
      <c r="F10" s="5"/>
      <c r="G10" s="6">
        <v>10000.0</v>
      </c>
      <c r="H10" s="6">
        <v>21000.0</v>
      </c>
    </row>
    <row r="11" ht="14.25" customHeight="1">
      <c r="A11" s="115">
        <v>45297.0</v>
      </c>
      <c r="B11" s="6">
        <v>21000.0</v>
      </c>
      <c r="C11" s="7">
        <v>10000.0</v>
      </c>
      <c r="D11" s="7">
        <f t="shared" si="1"/>
        <v>31000</v>
      </c>
      <c r="E11" s="7">
        <f t="shared" si="2"/>
        <v>585000</v>
      </c>
      <c r="F11" s="5"/>
      <c r="G11" s="6">
        <v>10000.0</v>
      </c>
      <c r="H11" s="6">
        <v>21000.0</v>
      </c>
    </row>
    <row r="12" ht="14.25" customHeight="1">
      <c r="A12" s="115">
        <v>45298.0</v>
      </c>
      <c r="B12" s="6">
        <v>21000.0</v>
      </c>
      <c r="C12" s="7">
        <v>10000.0</v>
      </c>
      <c r="D12" s="7">
        <f t="shared" si="1"/>
        <v>31000</v>
      </c>
      <c r="E12" s="7">
        <f t="shared" si="2"/>
        <v>554000</v>
      </c>
      <c r="F12" s="5"/>
      <c r="G12" s="6">
        <v>10000.0</v>
      </c>
      <c r="H12" s="6">
        <v>21000.0</v>
      </c>
    </row>
    <row r="13" ht="14.25" customHeight="1">
      <c r="A13" s="115">
        <v>45299.0</v>
      </c>
      <c r="B13" s="6">
        <v>21000.0</v>
      </c>
      <c r="C13" s="7">
        <v>10000.0</v>
      </c>
      <c r="D13" s="7">
        <f t="shared" si="1"/>
        <v>31000</v>
      </c>
      <c r="E13" s="7">
        <f t="shared" si="2"/>
        <v>523000</v>
      </c>
      <c r="F13" s="5"/>
      <c r="G13" s="6">
        <v>10000.0</v>
      </c>
      <c r="H13" s="6">
        <v>21000.0</v>
      </c>
    </row>
    <row r="14" ht="14.25" customHeight="1">
      <c r="A14" s="115">
        <v>45300.0</v>
      </c>
      <c r="B14" s="6">
        <v>21000.0</v>
      </c>
      <c r="C14" s="7">
        <v>10000.0</v>
      </c>
      <c r="D14" s="7">
        <f t="shared" si="1"/>
        <v>31000</v>
      </c>
      <c r="E14" s="7">
        <f t="shared" si="2"/>
        <v>492000</v>
      </c>
      <c r="F14" s="5"/>
      <c r="G14" s="6">
        <v>10000.0</v>
      </c>
      <c r="H14" s="6">
        <v>21000.0</v>
      </c>
    </row>
    <row r="15" ht="14.25" customHeight="1">
      <c r="A15" s="115">
        <v>45301.0</v>
      </c>
      <c r="B15" s="6">
        <v>21000.0</v>
      </c>
      <c r="C15" s="7"/>
      <c r="D15" s="7">
        <f t="shared" si="1"/>
        <v>21000</v>
      </c>
      <c r="E15" s="7">
        <f t="shared" si="2"/>
        <v>471000</v>
      </c>
      <c r="F15" s="5"/>
      <c r="G15" s="7"/>
      <c r="H15" s="6">
        <v>21000.0</v>
      </c>
    </row>
    <row r="16" ht="14.25" customHeight="1">
      <c r="A16" s="115">
        <v>45302.0</v>
      </c>
      <c r="B16" s="6">
        <v>21000.0</v>
      </c>
      <c r="C16" s="7"/>
      <c r="D16" s="7">
        <f t="shared" si="1"/>
        <v>21000</v>
      </c>
      <c r="E16" s="7">
        <f t="shared" si="2"/>
        <v>450000</v>
      </c>
      <c r="F16" s="5"/>
      <c r="G16" s="7"/>
      <c r="H16" s="6">
        <v>21000.0</v>
      </c>
    </row>
    <row r="17" ht="14.25" customHeight="1">
      <c r="A17" s="115">
        <v>45303.0</v>
      </c>
      <c r="B17" s="6">
        <v>21000.0</v>
      </c>
      <c r="C17" s="7"/>
      <c r="D17" s="7">
        <f t="shared" si="1"/>
        <v>21000</v>
      </c>
      <c r="E17" s="7">
        <f t="shared" si="2"/>
        <v>429000</v>
      </c>
      <c r="F17" s="5"/>
      <c r="G17" s="7"/>
      <c r="H17" s="6">
        <v>21000.0</v>
      </c>
    </row>
    <row r="18" ht="14.25" customHeight="1">
      <c r="A18" s="115">
        <v>45658.0</v>
      </c>
      <c r="B18" s="6">
        <v>21000.0</v>
      </c>
      <c r="C18" s="7"/>
      <c r="D18" s="7">
        <f t="shared" si="1"/>
        <v>21000</v>
      </c>
      <c r="E18" s="7">
        <f t="shared" si="2"/>
        <v>408000</v>
      </c>
      <c r="F18" s="5"/>
      <c r="G18" s="7"/>
      <c r="H18" s="6">
        <v>21000.0</v>
      </c>
    </row>
    <row r="19" ht="14.25" customHeight="1">
      <c r="A19" s="115">
        <v>45659.0</v>
      </c>
      <c r="B19" s="6">
        <v>21000.0</v>
      </c>
      <c r="C19" s="7"/>
      <c r="D19" s="7">
        <f t="shared" si="1"/>
        <v>21000</v>
      </c>
      <c r="E19" s="7">
        <f t="shared" si="2"/>
        <v>387000</v>
      </c>
      <c r="F19" s="10"/>
      <c r="G19" s="23"/>
      <c r="H19" s="6">
        <v>21000.0</v>
      </c>
      <c r="I19" s="28"/>
      <c r="J19" s="241"/>
    </row>
    <row r="20" ht="14.25" customHeight="1">
      <c r="A20" s="115">
        <v>45660.0</v>
      </c>
      <c r="B20" s="6">
        <v>21000.0</v>
      </c>
      <c r="C20" s="7"/>
      <c r="D20" s="7">
        <f t="shared" si="1"/>
        <v>21000</v>
      </c>
      <c r="E20" s="7">
        <f t="shared" si="2"/>
        <v>366000</v>
      </c>
      <c r="F20" s="10"/>
      <c r="G20" s="10"/>
      <c r="H20" s="6">
        <v>21000.0</v>
      </c>
    </row>
    <row r="21" ht="14.25" customHeight="1">
      <c r="A21" s="115">
        <v>45661.0</v>
      </c>
      <c r="B21" s="6">
        <v>21000.0</v>
      </c>
      <c r="C21" s="7"/>
      <c r="D21" s="7">
        <f t="shared" si="1"/>
        <v>21000</v>
      </c>
      <c r="E21" s="7">
        <f t="shared" si="2"/>
        <v>345000</v>
      </c>
      <c r="F21" s="10"/>
      <c r="G21" s="10"/>
      <c r="H21" s="6">
        <v>21000.0</v>
      </c>
    </row>
    <row r="22" ht="14.25" customHeight="1">
      <c r="A22" s="115">
        <v>45662.0</v>
      </c>
      <c r="B22" s="6">
        <v>21000.0</v>
      </c>
      <c r="C22" s="7"/>
      <c r="D22" s="7">
        <f t="shared" si="1"/>
        <v>21000</v>
      </c>
      <c r="E22" s="7">
        <f t="shared" si="2"/>
        <v>324000</v>
      </c>
      <c r="F22" s="10"/>
      <c r="G22" s="10"/>
      <c r="H22" s="6">
        <v>21000.0</v>
      </c>
    </row>
    <row r="23" ht="14.25" customHeight="1">
      <c r="A23" s="115">
        <v>45663.0</v>
      </c>
      <c r="B23" s="6">
        <v>21000.0</v>
      </c>
      <c r="C23" s="7"/>
      <c r="D23" s="7">
        <f t="shared" si="1"/>
        <v>21000</v>
      </c>
      <c r="E23" s="7">
        <f t="shared" si="2"/>
        <v>303000</v>
      </c>
      <c r="F23" s="10"/>
      <c r="G23" s="10"/>
      <c r="H23" s="6">
        <v>21000.0</v>
      </c>
    </row>
    <row r="24" ht="14.25" customHeight="1">
      <c r="A24" s="115">
        <v>45664.0</v>
      </c>
      <c r="B24" s="6">
        <v>21000.0</v>
      </c>
      <c r="C24" s="7"/>
      <c r="D24" s="7">
        <f t="shared" si="1"/>
        <v>21000</v>
      </c>
      <c r="E24" s="7">
        <f t="shared" si="2"/>
        <v>282000</v>
      </c>
      <c r="F24" s="10"/>
      <c r="G24" s="10"/>
      <c r="H24" s="6">
        <v>21000.0</v>
      </c>
    </row>
    <row r="25" ht="14.25" customHeight="1">
      <c r="A25" s="115">
        <v>45665.0</v>
      </c>
      <c r="B25" s="6">
        <v>21000.0</v>
      </c>
      <c r="C25" s="7"/>
      <c r="D25" s="7">
        <f t="shared" si="1"/>
        <v>21000</v>
      </c>
      <c r="E25" s="7">
        <f t="shared" si="2"/>
        <v>261000</v>
      </c>
      <c r="F25" s="10"/>
      <c r="G25" s="10"/>
      <c r="H25" s="6">
        <v>21000.0</v>
      </c>
    </row>
    <row r="26" ht="14.25" customHeight="1">
      <c r="A26" s="115">
        <v>45666.0</v>
      </c>
      <c r="B26" s="6">
        <v>21000.0</v>
      </c>
      <c r="C26" s="7"/>
      <c r="D26" s="7">
        <f t="shared" si="1"/>
        <v>21000</v>
      </c>
      <c r="E26" s="7">
        <f t="shared" si="2"/>
        <v>240000</v>
      </c>
      <c r="F26" s="10"/>
      <c r="G26" s="10"/>
      <c r="H26" s="6">
        <v>21000.0</v>
      </c>
    </row>
    <row r="27" ht="14.25" customHeight="1">
      <c r="A27" s="115">
        <v>45667.0</v>
      </c>
      <c r="B27" s="6">
        <v>21000.0</v>
      </c>
      <c r="C27" s="7"/>
      <c r="D27" s="7">
        <f t="shared" si="1"/>
        <v>21000</v>
      </c>
      <c r="E27" s="7">
        <f t="shared" si="2"/>
        <v>219000</v>
      </c>
      <c r="F27" s="10"/>
      <c r="G27" s="10"/>
      <c r="H27" s="6">
        <v>21000.0</v>
      </c>
    </row>
    <row r="28" ht="14.25" customHeight="1">
      <c r="A28" s="115">
        <v>45668.0</v>
      </c>
      <c r="B28" s="6">
        <v>21000.0</v>
      </c>
      <c r="C28" s="7"/>
      <c r="D28" s="7">
        <f t="shared" si="1"/>
        <v>21000</v>
      </c>
      <c r="E28" s="7">
        <f t="shared" si="2"/>
        <v>198000</v>
      </c>
      <c r="F28" s="10"/>
      <c r="G28" s="10"/>
      <c r="H28" s="6">
        <v>21000.0</v>
      </c>
    </row>
    <row r="29" ht="14.25" customHeight="1">
      <c r="A29" s="115">
        <v>45669.0</v>
      </c>
      <c r="B29" s="6">
        <v>21000.0</v>
      </c>
      <c r="C29" s="7"/>
      <c r="D29" s="7">
        <f t="shared" si="1"/>
        <v>21000</v>
      </c>
      <c r="E29" s="7">
        <f t="shared" si="2"/>
        <v>177000</v>
      </c>
      <c r="F29" s="10"/>
      <c r="G29" s="10"/>
      <c r="H29" s="6">
        <v>21000.0</v>
      </c>
    </row>
    <row r="30" ht="14.25" customHeight="1">
      <c r="A30" s="115">
        <v>45670.0</v>
      </c>
      <c r="B30" s="6">
        <f>21000-4000</f>
        <v>17000</v>
      </c>
      <c r="C30" s="7"/>
      <c r="D30" s="7">
        <f t="shared" si="1"/>
        <v>17000</v>
      </c>
      <c r="E30" s="7">
        <f t="shared" si="2"/>
        <v>160000</v>
      </c>
      <c r="F30" s="10"/>
      <c r="G30" s="10"/>
      <c r="H30" s="6">
        <f>21000-4000</f>
        <v>17000</v>
      </c>
    </row>
    <row r="31" ht="14.25" customHeight="1">
      <c r="A31" s="242"/>
      <c r="B31" s="243">
        <f t="shared" ref="B31:D31" si="3">SUM(B7:B30)</f>
        <v>500000</v>
      </c>
      <c r="C31" s="243">
        <f t="shared" si="3"/>
        <v>80000</v>
      </c>
      <c r="D31" s="243">
        <f t="shared" si="3"/>
        <v>580000</v>
      </c>
      <c r="E31" s="244"/>
      <c r="F31" s="244"/>
      <c r="G31" s="243">
        <f t="shared" ref="G31:H31" si="4">SUM(G7:G30)</f>
        <v>80000</v>
      </c>
      <c r="H31" s="243">
        <f t="shared" si="4"/>
        <v>500000</v>
      </c>
      <c r="I31" s="245">
        <f>G31+H31</f>
        <v>580000</v>
      </c>
      <c r="J31" s="246">
        <f>D31-I31</f>
        <v>0</v>
      </c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</row>
    <row r="32" ht="14.25" customHeight="1"/>
    <row r="33" ht="14.25" customHeight="1">
      <c r="I33" s="59" t="s">
        <v>227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2.86"/>
    <col customWidth="1" min="3" max="3" width="13.29"/>
    <col customWidth="1" min="4" max="4" width="12.43"/>
    <col customWidth="1" min="5" max="5" width="17.29"/>
    <col customWidth="1" min="6" max="6" width="10.14"/>
    <col customWidth="1" min="7" max="7" width="11.14"/>
    <col customWidth="1" min="8" max="8" width="15.14"/>
    <col customWidth="1" min="9" max="9" width="10.0"/>
    <col customWidth="1" min="10" max="10" width="12.71"/>
    <col customWidth="1" min="11" max="11" width="9.86"/>
    <col customWidth="1" min="12" max="26" width="8.0"/>
  </cols>
  <sheetData>
    <row r="1" ht="14.25" customHeight="1">
      <c r="A1" s="247" t="s">
        <v>228</v>
      </c>
      <c r="B1" s="248"/>
      <c r="C1" s="248"/>
      <c r="D1" s="248"/>
      <c r="E1" s="248"/>
      <c r="F1" s="248"/>
    </row>
    <row r="2" ht="14.25" customHeight="1">
      <c r="A2" s="247" t="s">
        <v>229</v>
      </c>
      <c r="B2" s="248"/>
      <c r="C2" s="248"/>
      <c r="D2" s="248"/>
      <c r="E2" s="248"/>
      <c r="F2" s="248"/>
    </row>
    <row r="3" ht="14.25" customHeight="1">
      <c r="A3" s="248" t="s">
        <v>97</v>
      </c>
      <c r="B3" s="248"/>
      <c r="C3" s="248"/>
      <c r="D3" s="248"/>
      <c r="E3" s="248"/>
      <c r="F3" s="248"/>
    </row>
    <row r="4" ht="14.25" customHeight="1">
      <c r="A4" s="247" t="s">
        <v>230</v>
      </c>
      <c r="B4" s="248"/>
      <c r="C4" s="248"/>
      <c r="D4" s="248"/>
      <c r="E4" s="248"/>
      <c r="F4" s="248"/>
    </row>
    <row r="5" ht="15.0" customHeight="1">
      <c r="A5" s="247" t="s">
        <v>139</v>
      </c>
      <c r="B5" s="248"/>
      <c r="C5" s="248"/>
      <c r="D5" s="248"/>
      <c r="E5" s="248"/>
      <c r="F5" s="248"/>
    </row>
    <row r="6" ht="63.0" customHeight="1">
      <c r="A6" s="249" t="s">
        <v>100</v>
      </c>
      <c r="B6" s="249" t="s">
        <v>101</v>
      </c>
      <c r="C6" s="249" t="s">
        <v>102</v>
      </c>
      <c r="D6" s="249" t="s">
        <v>103</v>
      </c>
      <c r="E6" s="250" t="s">
        <v>231</v>
      </c>
      <c r="F6" s="249" t="s">
        <v>105</v>
      </c>
      <c r="G6" s="114" t="s">
        <v>106</v>
      </c>
      <c r="H6" s="114" t="s">
        <v>107</v>
      </c>
    </row>
    <row r="7" ht="14.25" customHeight="1">
      <c r="A7" s="11" t="s">
        <v>232</v>
      </c>
      <c r="B7" s="6">
        <v>21000.0</v>
      </c>
      <c r="C7" s="6">
        <v>10000.0</v>
      </c>
      <c r="D7" s="7">
        <f t="shared" ref="D7:D30" si="1">B7+C7</f>
        <v>31000</v>
      </c>
      <c r="E7" s="7">
        <f>D31-D7</f>
        <v>709000</v>
      </c>
      <c r="F7" s="5"/>
      <c r="G7" s="6">
        <v>10000.0</v>
      </c>
      <c r="H7" s="6">
        <v>22000.0</v>
      </c>
    </row>
    <row r="8" ht="14.25" customHeight="1">
      <c r="A8" s="11" t="s">
        <v>84</v>
      </c>
      <c r="B8" s="6">
        <v>21000.0</v>
      </c>
      <c r="C8" s="6">
        <v>10000.0</v>
      </c>
      <c r="D8" s="7">
        <f t="shared" si="1"/>
        <v>31000</v>
      </c>
      <c r="E8" s="7">
        <f t="shared" ref="E8:E30" si="2">E7-D8</f>
        <v>678000</v>
      </c>
      <c r="F8" s="5"/>
      <c r="G8" s="6"/>
      <c r="H8" s="6"/>
    </row>
    <row r="9" ht="14.25" customHeight="1">
      <c r="A9" s="251">
        <v>45577.0</v>
      </c>
      <c r="B9" s="6">
        <v>21000.0</v>
      </c>
      <c r="C9" s="6">
        <v>10000.0</v>
      </c>
      <c r="D9" s="7">
        <f t="shared" si="1"/>
        <v>31000</v>
      </c>
      <c r="E9" s="7">
        <f t="shared" si="2"/>
        <v>647000</v>
      </c>
      <c r="F9" s="5"/>
      <c r="G9" s="6"/>
      <c r="H9" s="6"/>
    </row>
    <row r="10" ht="14.25" customHeight="1">
      <c r="A10" s="251">
        <v>45931.0</v>
      </c>
      <c r="B10" s="6">
        <v>21000.0</v>
      </c>
      <c r="C10" s="6">
        <v>10000.0</v>
      </c>
      <c r="D10" s="7">
        <f t="shared" si="1"/>
        <v>31000</v>
      </c>
      <c r="E10" s="7">
        <f t="shared" si="2"/>
        <v>616000</v>
      </c>
      <c r="F10" s="5"/>
      <c r="G10" s="6"/>
      <c r="H10" s="6"/>
    </row>
    <row r="11" ht="14.25" customHeight="1">
      <c r="A11" s="251">
        <v>45932.0</v>
      </c>
      <c r="B11" s="6">
        <v>21000.0</v>
      </c>
      <c r="C11" s="6">
        <v>10000.0</v>
      </c>
      <c r="D11" s="7">
        <f t="shared" si="1"/>
        <v>31000</v>
      </c>
      <c r="E11" s="7">
        <f t="shared" si="2"/>
        <v>585000</v>
      </c>
      <c r="F11" s="5"/>
      <c r="G11" s="6"/>
      <c r="H11" s="6"/>
    </row>
    <row r="12" ht="14.25" customHeight="1">
      <c r="A12" s="251">
        <v>45933.0</v>
      </c>
      <c r="B12" s="6">
        <v>21000.0</v>
      </c>
      <c r="C12" s="6">
        <v>10000.0</v>
      </c>
      <c r="D12" s="7">
        <f t="shared" si="1"/>
        <v>31000</v>
      </c>
      <c r="E12" s="7">
        <f t="shared" si="2"/>
        <v>554000</v>
      </c>
      <c r="F12" s="5"/>
      <c r="G12" s="6"/>
      <c r="H12" s="6"/>
    </row>
    <row r="13" ht="14.25" customHeight="1">
      <c r="A13" s="251">
        <v>45934.0</v>
      </c>
      <c r="B13" s="6">
        <v>21000.0</v>
      </c>
      <c r="C13" s="6">
        <v>10000.0</v>
      </c>
      <c r="D13" s="7">
        <f t="shared" si="1"/>
        <v>31000</v>
      </c>
      <c r="E13" s="7">
        <f t="shared" si="2"/>
        <v>523000</v>
      </c>
      <c r="F13" s="5"/>
      <c r="G13" s="6"/>
      <c r="H13" s="6"/>
    </row>
    <row r="14" ht="14.25" customHeight="1">
      <c r="A14" s="251">
        <v>45935.0</v>
      </c>
      <c r="B14" s="6">
        <v>21000.0</v>
      </c>
      <c r="C14" s="6">
        <v>10000.0</v>
      </c>
      <c r="D14" s="7">
        <f t="shared" si="1"/>
        <v>31000</v>
      </c>
      <c r="E14" s="7">
        <f t="shared" si="2"/>
        <v>492000</v>
      </c>
      <c r="F14" s="5"/>
      <c r="G14" s="6"/>
      <c r="H14" s="6"/>
    </row>
    <row r="15" ht="14.25" customHeight="1">
      <c r="A15" s="251">
        <v>45936.0</v>
      </c>
      <c r="B15" s="6">
        <v>21000.0</v>
      </c>
      <c r="C15" s="6">
        <v>10000.0</v>
      </c>
      <c r="D15" s="7">
        <f t="shared" si="1"/>
        <v>31000</v>
      </c>
      <c r="E15" s="7">
        <f t="shared" si="2"/>
        <v>461000</v>
      </c>
      <c r="F15" s="5"/>
      <c r="G15" s="7"/>
      <c r="H15" s="6"/>
    </row>
    <row r="16" ht="14.25" customHeight="1">
      <c r="A16" s="251">
        <v>45937.0</v>
      </c>
      <c r="B16" s="6">
        <v>21000.0</v>
      </c>
      <c r="C16" s="6">
        <v>10000.0</v>
      </c>
      <c r="D16" s="7">
        <f t="shared" si="1"/>
        <v>31000</v>
      </c>
      <c r="E16" s="7">
        <f t="shared" si="2"/>
        <v>430000</v>
      </c>
      <c r="F16" s="5"/>
      <c r="G16" s="7"/>
      <c r="H16" s="6"/>
    </row>
    <row r="17" ht="14.25" customHeight="1">
      <c r="A17" s="251">
        <v>45938.0</v>
      </c>
      <c r="B17" s="6">
        <v>21000.0</v>
      </c>
      <c r="C17" s="6">
        <v>10000.0</v>
      </c>
      <c r="D17" s="7">
        <f t="shared" si="1"/>
        <v>31000</v>
      </c>
      <c r="E17" s="7">
        <f t="shared" si="2"/>
        <v>399000</v>
      </c>
      <c r="F17" s="5"/>
      <c r="G17" s="7"/>
      <c r="H17" s="6"/>
    </row>
    <row r="18" ht="14.25" customHeight="1">
      <c r="A18" s="251">
        <v>45939.0</v>
      </c>
      <c r="B18" s="6">
        <v>21000.0</v>
      </c>
      <c r="C18" s="6">
        <v>10000.0</v>
      </c>
      <c r="D18" s="7">
        <f t="shared" si="1"/>
        <v>31000</v>
      </c>
      <c r="E18" s="7">
        <f t="shared" si="2"/>
        <v>368000</v>
      </c>
      <c r="F18" s="5"/>
      <c r="G18" s="7"/>
      <c r="H18" s="6"/>
    </row>
    <row r="19" ht="14.25" customHeight="1">
      <c r="A19" s="251">
        <v>45940.0</v>
      </c>
      <c r="B19" s="6">
        <v>21000.0</v>
      </c>
      <c r="C19" s="6">
        <v>10000.0</v>
      </c>
      <c r="D19" s="7">
        <f t="shared" si="1"/>
        <v>31000</v>
      </c>
      <c r="E19" s="7">
        <f t="shared" si="2"/>
        <v>337000</v>
      </c>
      <c r="F19" s="10"/>
      <c r="G19" s="23"/>
      <c r="H19" s="6"/>
      <c r="I19" s="28"/>
      <c r="J19" s="241"/>
    </row>
    <row r="20" ht="14.25" customHeight="1">
      <c r="A20" s="251">
        <v>45941.0</v>
      </c>
      <c r="B20" s="6">
        <v>21000.0</v>
      </c>
      <c r="C20" s="6">
        <v>10000.0</v>
      </c>
      <c r="D20" s="7">
        <f t="shared" si="1"/>
        <v>31000</v>
      </c>
      <c r="E20" s="7">
        <f t="shared" si="2"/>
        <v>306000</v>
      </c>
      <c r="F20" s="10"/>
      <c r="G20" s="10"/>
      <c r="H20" s="6"/>
    </row>
    <row r="21" ht="14.25" customHeight="1">
      <c r="A21" s="251">
        <v>45942.0</v>
      </c>
      <c r="B21" s="6">
        <v>21000.0</v>
      </c>
      <c r="C21" s="6">
        <v>10000.0</v>
      </c>
      <c r="D21" s="7">
        <f t="shared" si="1"/>
        <v>31000</v>
      </c>
      <c r="E21" s="7">
        <f t="shared" si="2"/>
        <v>275000</v>
      </c>
      <c r="F21" s="10"/>
      <c r="G21" s="10"/>
      <c r="H21" s="6"/>
    </row>
    <row r="22" ht="14.25" customHeight="1">
      <c r="A22" s="251">
        <v>46296.0</v>
      </c>
      <c r="B22" s="6">
        <v>21000.0</v>
      </c>
      <c r="C22" s="6">
        <v>10000.0</v>
      </c>
      <c r="D22" s="7">
        <f t="shared" si="1"/>
        <v>31000</v>
      </c>
      <c r="E22" s="7">
        <f t="shared" si="2"/>
        <v>244000</v>
      </c>
      <c r="F22" s="10"/>
      <c r="G22" s="10"/>
      <c r="H22" s="6"/>
    </row>
    <row r="23" ht="14.25" customHeight="1">
      <c r="A23" s="251">
        <v>46297.0</v>
      </c>
      <c r="B23" s="6">
        <v>21000.0</v>
      </c>
      <c r="C23" s="6">
        <v>10000.0</v>
      </c>
      <c r="D23" s="7">
        <f t="shared" si="1"/>
        <v>31000</v>
      </c>
      <c r="E23" s="7">
        <f t="shared" si="2"/>
        <v>213000</v>
      </c>
      <c r="F23" s="10"/>
      <c r="G23" s="10"/>
      <c r="H23" s="6"/>
    </row>
    <row r="24" ht="14.25" customHeight="1">
      <c r="A24" s="251">
        <v>46298.0</v>
      </c>
      <c r="B24" s="6">
        <v>21000.0</v>
      </c>
      <c r="C24" s="6">
        <v>10000.0</v>
      </c>
      <c r="D24" s="7">
        <f t="shared" si="1"/>
        <v>31000</v>
      </c>
      <c r="E24" s="7">
        <f t="shared" si="2"/>
        <v>182000</v>
      </c>
      <c r="F24" s="10"/>
      <c r="G24" s="10"/>
      <c r="H24" s="6"/>
    </row>
    <row r="25" ht="14.25" customHeight="1">
      <c r="A25" s="251">
        <v>46299.0</v>
      </c>
      <c r="B25" s="6">
        <v>21000.0</v>
      </c>
      <c r="C25" s="6">
        <v>10000.0</v>
      </c>
      <c r="D25" s="7">
        <f t="shared" si="1"/>
        <v>31000</v>
      </c>
      <c r="E25" s="7">
        <f t="shared" si="2"/>
        <v>151000</v>
      </c>
      <c r="F25" s="10"/>
      <c r="G25" s="10"/>
      <c r="H25" s="6"/>
    </row>
    <row r="26" ht="14.25" customHeight="1">
      <c r="A26" s="251">
        <v>46300.0</v>
      </c>
      <c r="B26" s="6">
        <v>21000.0</v>
      </c>
      <c r="C26" s="6">
        <v>10000.0</v>
      </c>
      <c r="D26" s="7">
        <f t="shared" si="1"/>
        <v>31000</v>
      </c>
      <c r="E26" s="7">
        <f t="shared" si="2"/>
        <v>120000</v>
      </c>
      <c r="F26" s="10"/>
      <c r="G26" s="10"/>
      <c r="H26" s="6"/>
    </row>
    <row r="27" ht="14.25" customHeight="1">
      <c r="A27" s="251">
        <v>46301.0</v>
      </c>
      <c r="B27" s="6">
        <v>21000.0</v>
      </c>
      <c r="C27" s="6">
        <v>10000.0</v>
      </c>
      <c r="D27" s="7">
        <f t="shared" si="1"/>
        <v>31000</v>
      </c>
      <c r="E27" s="7">
        <f t="shared" si="2"/>
        <v>89000</v>
      </c>
      <c r="F27" s="10"/>
      <c r="G27" s="10"/>
      <c r="H27" s="6"/>
    </row>
    <row r="28" ht="14.25" customHeight="1">
      <c r="A28" s="251">
        <v>46302.0</v>
      </c>
      <c r="B28" s="6">
        <v>21000.0</v>
      </c>
      <c r="C28" s="6">
        <v>10000.0</v>
      </c>
      <c r="D28" s="7">
        <f t="shared" si="1"/>
        <v>31000</v>
      </c>
      <c r="E28" s="7">
        <f t="shared" si="2"/>
        <v>58000</v>
      </c>
      <c r="F28" s="10"/>
      <c r="G28" s="10"/>
      <c r="H28" s="6"/>
    </row>
    <row r="29" ht="14.25" customHeight="1">
      <c r="A29" s="251">
        <v>46303.0</v>
      </c>
      <c r="B29" s="6">
        <v>21000.0</v>
      </c>
      <c r="C29" s="6">
        <v>10000.0</v>
      </c>
      <c r="D29" s="7">
        <f t="shared" si="1"/>
        <v>31000</v>
      </c>
      <c r="E29" s="7">
        <f t="shared" si="2"/>
        <v>27000</v>
      </c>
      <c r="F29" s="10"/>
      <c r="G29" s="10"/>
      <c r="H29" s="6"/>
    </row>
    <row r="30" ht="14.25" customHeight="1">
      <c r="A30" s="251">
        <v>46304.0</v>
      </c>
      <c r="B30" s="6">
        <f>21000-4000</f>
        <v>17000</v>
      </c>
      <c r="C30" s="6">
        <v>10000.0</v>
      </c>
      <c r="D30" s="7">
        <f t="shared" si="1"/>
        <v>27000</v>
      </c>
      <c r="E30" s="7">
        <f t="shared" si="2"/>
        <v>0</v>
      </c>
      <c r="F30" s="10"/>
      <c r="G30" s="10"/>
      <c r="H30" s="6"/>
    </row>
    <row r="31" ht="14.25" customHeight="1">
      <c r="A31" s="251"/>
      <c r="B31" s="252">
        <f t="shared" ref="B31:D31" si="3">SUM(B7:B30)</f>
        <v>500000</v>
      </c>
      <c r="C31" s="252">
        <f t="shared" si="3"/>
        <v>240000</v>
      </c>
      <c r="D31" s="252">
        <f t="shared" si="3"/>
        <v>740000</v>
      </c>
      <c r="E31" s="7"/>
      <c r="F31" s="253"/>
      <c r="G31" s="243">
        <f t="shared" ref="G31:H31" si="4">SUM(G7:G30)</f>
        <v>10000</v>
      </c>
      <c r="H31" s="243">
        <f t="shared" si="4"/>
        <v>22000</v>
      </c>
      <c r="I31" s="245">
        <f>G31+H31</f>
        <v>32000</v>
      </c>
      <c r="J31" s="246">
        <f>D31-I31</f>
        <v>708000</v>
      </c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2.86"/>
    <col customWidth="1" min="3" max="3" width="13.29"/>
    <col customWidth="1" min="4" max="4" width="12.43"/>
    <col customWidth="1" min="5" max="5" width="15.71"/>
    <col customWidth="1" min="6" max="6" width="12.14"/>
    <col customWidth="1" min="7" max="7" width="13.86"/>
    <col customWidth="1" min="8" max="8" width="12.29"/>
    <col customWidth="1" min="9" max="9" width="10.86"/>
    <col customWidth="1" min="10" max="10" width="12.57"/>
    <col customWidth="1" min="11" max="11" width="9.86"/>
    <col customWidth="1" min="12" max="26" width="8.0"/>
  </cols>
  <sheetData>
    <row r="1" ht="14.25" customHeight="1">
      <c r="A1" s="254" t="s">
        <v>233</v>
      </c>
      <c r="B1" s="111"/>
      <c r="C1" s="111"/>
      <c r="D1" s="111"/>
      <c r="E1" s="111"/>
      <c r="F1" s="111"/>
    </row>
    <row r="2" ht="14.25" customHeight="1">
      <c r="A2" s="254" t="s">
        <v>234</v>
      </c>
      <c r="B2" s="111"/>
      <c r="C2" s="111"/>
      <c r="D2" s="111"/>
      <c r="E2" s="111"/>
      <c r="F2" s="111"/>
    </row>
    <row r="3" ht="14.25" customHeight="1">
      <c r="A3" s="111" t="s">
        <v>97</v>
      </c>
      <c r="B3" s="111"/>
      <c r="C3" s="111"/>
      <c r="D3" s="111"/>
      <c r="E3" s="111"/>
      <c r="F3" s="111"/>
    </row>
    <row r="4" ht="14.25" customHeight="1">
      <c r="A4" s="254" t="s">
        <v>230</v>
      </c>
      <c r="B4" s="111"/>
      <c r="C4" s="111"/>
      <c r="D4" s="111"/>
      <c r="E4" s="111"/>
      <c r="F4" s="111"/>
    </row>
    <row r="5" ht="15.0" customHeight="1">
      <c r="A5" s="254" t="s">
        <v>139</v>
      </c>
      <c r="B5" s="111"/>
      <c r="C5" s="111"/>
      <c r="D5" s="111"/>
      <c r="E5" s="111"/>
      <c r="F5" s="111"/>
    </row>
    <row r="6" ht="63.0" customHeight="1">
      <c r="A6" s="112" t="s">
        <v>100</v>
      </c>
      <c r="B6" s="112" t="s">
        <v>101</v>
      </c>
      <c r="C6" s="113" t="s">
        <v>102</v>
      </c>
      <c r="D6" s="113" t="s">
        <v>103</v>
      </c>
      <c r="E6" s="113" t="s">
        <v>226</v>
      </c>
      <c r="F6" s="240" t="s">
        <v>105</v>
      </c>
      <c r="G6" s="114" t="s">
        <v>106</v>
      </c>
      <c r="H6" s="114" t="s">
        <v>107</v>
      </c>
    </row>
    <row r="7" ht="14.25" customHeight="1">
      <c r="A7" s="9">
        <v>45392.0</v>
      </c>
      <c r="B7" s="6">
        <f t="shared" ref="B7:B29" si="1">28300+120</f>
        <v>28420</v>
      </c>
      <c r="C7" s="6">
        <v>13580.0</v>
      </c>
      <c r="D7" s="7">
        <f t="shared" ref="D7:D30" si="2">B7+C7</f>
        <v>42000</v>
      </c>
      <c r="E7" s="7">
        <f>1004920-D7</f>
        <v>962920</v>
      </c>
      <c r="F7" s="5"/>
      <c r="G7" s="6">
        <v>13580.0</v>
      </c>
      <c r="H7" s="6">
        <f>28300+120</f>
        <v>28420</v>
      </c>
      <c r="I7" s="255" t="s">
        <v>235</v>
      </c>
    </row>
    <row r="8" ht="14.25" customHeight="1">
      <c r="A8" s="251">
        <v>45393.0</v>
      </c>
      <c r="B8" s="6">
        <f t="shared" si="1"/>
        <v>28420</v>
      </c>
      <c r="C8" s="6">
        <v>13580.0</v>
      </c>
      <c r="D8" s="7">
        <f t="shared" si="2"/>
        <v>42000</v>
      </c>
      <c r="E8" s="7">
        <f t="shared" ref="E8:E30" si="3">E7-D8</f>
        <v>920920</v>
      </c>
      <c r="F8" s="5"/>
      <c r="G8" s="6"/>
      <c r="H8" s="6"/>
    </row>
    <row r="9" ht="14.25" customHeight="1">
      <c r="A9" s="9">
        <v>45748.0</v>
      </c>
      <c r="B9" s="6">
        <f t="shared" si="1"/>
        <v>28420</v>
      </c>
      <c r="C9" s="6">
        <v>13580.0</v>
      </c>
      <c r="D9" s="7">
        <f t="shared" si="2"/>
        <v>42000</v>
      </c>
      <c r="E9" s="7">
        <f t="shared" si="3"/>
        <v>878920</v>
      </c>
      <c r="F9" s="5"/>
      <c r="G9" s="6"/>
      <c r="H9" s="6"/>
    </row>
    <row r="10" ht="14.25" customHeight="1">
      <c r="A10" s="251">
        <v>45749.0</v>
      </c>
      <c r="B10" s="6">
        <f t="shared" si="1"/>
        <v>28420</v>
      </c>
      <c r="C10" s="6">
        <v>13580.0</v>
      </c>
      <c r="D10" s="7">
        <f t="shared" si="2"/>
        <v>42000</v>
      </c>
      <c r="E10" s="7">
        <f t="shared" si="3"/>
        <v>836920</v>
      </c>
      <c r="F10" s="5"/>
      <c r="G10" s="6"/>
      <c r="H10" s="6"/>
    </row>
    <row r="11" ht="14.25" customHeight="1">
      <c r="A11" s="9">
        <v>45750.0</v>
      </c>
      <c r="B11" s="6">
        <f t="shared" si="1"/>
        <v>28420</v>
      </c>
      <c r="C11" s="6">
        <v>13580.0</v>
      </c>
      <c r="D11" s="7">
        <f t="shared" si="2"/>
        <v>42000</v>
      </c>
      <c r="E11" s="7">
        <f t="shared" si="3"/>
        <v>794920</v>
      </c>
      <c r="F11" s="5"/>
      <c r="G11" s="6"/>
      <c r="H11" s="6"/>
    </row>
    <row r="12" ht="14.25" customHeight="1">
      <c r="A12" s="251">
        <v>45751.0</v>
      </c>
      <c r="B12" s="6">
        <f t="shared" si="1"/>
        <v>28420</v>
      </c>
      <c r="C12" s="6">
        <v>13580.0</v>
      </c>
      <c r="D12" s="7">
        <f t="shared" si="2"/>
        <v>42000</v>
      </c>
      <c r="E12" s="7">
        <f t="shared" si="3"/>
        <v>752920</v>
      </c>
      <c r="F12" s="5"/>
      <c r="G12" s="6"/>
      <c r="H12" s="6"/>
    </row>
    <row r="13" ht="14.25" customHeight="1">
      <c r="A13" s="9">
        <v>45752.0</v>
      </c>
      <c r="B13" s="6">
        <f t="shared" si="1"/>
        <v>28420</v>
      </c>
      <c r="C13" s="6">
        <v>13580.0</v>
      </c>
      <c r="D13" s="7">
        <f t="shared" si="2"/>
        <v>42000</v>
      </c>
      <c r="E13" s="7">
        <f t="shared" si="3"/>
        <v>710920</v>
      </c>
      <c r="F13" s="5"/>
      <c r="G13" s="6"/>
      <c r="H13" s="6"/>
    </row>
    <row r="14" ht="14.25" customHeight="1">
      <c r="A14" s="251">
        <v>45753.0</v>
      </c>
      <c r="B14" s="6">
        <f t="shared" si="1"/>
        <v>28420</v>
      </c>
      <c r="C14" s="6">
        <v>13580.0</v>
      </c>
      <c r="D14" s="7">
        <f t="shared" si="2"/>
        <v>42000</v>
      </c>
      <c r="E14" s="7">
        <f t="shared" si="3"/>
        <v>668920</v>
      </c>
      <c r="F14" s="5"/>
      <c r="G14" s="6"/>
      <c r="H14" s="6"/>
    </row>
    <row r="15" ht="14.25" customHeight="1">
      <c r="A15" s="9">
        <v>45754.0</v>
      </c>
      <c r="B15" s="6">
        <f t="shared" si="1"/>
        <v>28420</v>
      </c>
      <c r="C15" s="6">
        <v>13580.0</v>
      </c>
      <c r="D15" s="7">
        <f t="shared" si="2"/>
        <v>42000</v>
      </c>
      <c r="E15" s="7">
        <f t="shared" si="3"/>
        <v>626920</v>
      </c>
      <c r="F15" s="5"/>
      <c r="G15" s="7"/>
      <c r="H15" s="6"/>
    </row>
    <row r="16" ht="14.25" customHeight="1">
      <c r="A16" s="251">
        <v>45755.0</v>
      </c>
      <c r="B16" s="6">
        <f t="shared" si="1"/>
        <v>28420</v>
      </c>
      <c r="C16" s="6">
        <v>13580.0</v>
      </c>
      <c r="D16" s="7">
        <f t="shared" si="2"/>
        <v>42000</v>
      </c>
      <c r="E16" s="7">
        <f t="shared" si="3"/>
        <v>584920</v>
      </c>
      <c r="F16" s="5"/>
      <c r="G16" s="7"/>
      <c r="H16" s="6"/>
    </row>
    <row r="17" ht="14.25" customHeight="1">
      <c r="A17" s="9">
        <v>45756.0</v>
      </c>
      <c r="B17" s="6">
        <f t="shared" si="1"/>
        <v>28420</v>
      </c>
      <c r="C17" s="6">
        <v>13580.0</v>
      </c>
      <c r="D17" s="7">
        <f t="shared" si="2"/>
        <v>42000</v>
      </c>
      <c r="E17" s="7">
        <f t="shared" si="3"/>
        <v>542920</v>
      </c>
      <c r="F17" s="5"/>
      <c r="G17" s="7"/>
      <c r="H17" s="6"/>
    </row>
    <row r="18" ht="14.25" customHeight="1">
      <c r="A18" s="251">
        <v>45757.0</v>
      </c>
      <c r="B18" s="6">
        <f t="shared" si="1"/>
        <v>28420</v>
      </c>
      <c r="C18" s="6">
        <v>13580.0</v>
      </c>
      <c r="D18" s="7">
        <f t="shared" si="2"/>
        <v>42000</v>
      </c>
      <c r="E18" s="7">
        <f t="shared" si="3"/>
        <v>500920</v>
      </c>
      <c r="F18" s="5"/>
      <c r="G18" s="7"/>
      <c r="H18" s="6"/>
    </row>
    <row r="19" ht="14.25" customHeight="1">
      <c r="A19" s="9">
        <v>45758.0</v>
      </c>
      <c r="B19" s="6">
        <f t="shared" si="1"/>
        <v>28420</v>
      </c>
      <c r="C19" s="6">
        <v>13580.0</v>
      </c>
      <c r="D19" s="7">
        <f t="shared" si="2"/>
        <v>42000</v>
      </c>
      <c r="E19" s="7">
        <f t="shared" si="3"/>
        <v>458920</v>
      </c>
      <c r="F19" s="10"/>
      <c r="G19" s="23"/>
      <c r="H19" s="6"/>
      <c r="I19" s="28"/>
      <c r="J19" s="241"/>
    </row>
    <row r="20" ht="14.25" customHeight="1">
      <c r="A20" s="9">
        <v>45759.0</v>
      </c>
      <c r="B20" s="6">
        <f t="shared" si="1"/>
        <v>28420</v>
      </c>
      <c r="C20" s="6">
        <v>13580.0</v>
      </c>
      <c r="D20" s="7">
        <f t="shared" si="2"/>
        <v>42000</v>
      </c>
      <c r="E20" s="7">
        <f t="shared" si="3"/>
        <v>416920</v>
      </c>
      <c r="F20" s="10"/>
      <c r="G20" s="10"/>
      <c r="H20" s="6"/>
    </row>
    <row r="21" ht="14.25" customHeight="1">
      <c r="A21" s="251">
        <v>46113.0</v>
      </c>
      <c r="B21" s="6">
        <f t="shared" si="1"/>
        <v>28420</v>
      </c>
      <c r="C21" s="6">
        <v>13580.0</v>
      </c>
      <c r="D21" s="7">
        <f t="shared" si="2"/>
        <v>42000</v>
      </c>
      <c r="E21" s="7">
        <f t="shared" si="3"/>
        <v>374920</v>
      </c>
      <c r="F21" s="10"/>
      <c r="G21" s="10"/>
      <c r="H21" s="6"/>
    </row>
    <row r="22" ht="14.25" customHeight="1">
      <c r="A22" s="251">
        <v>46114.0</v>
      </c>
      <c r="B22" s="6">
        <f t="shared" si="1"/>
        <v>28420</v>
      </c>
      <c r="C22" s="6">
        <v>13580.0</v>
      </c>
      <c r="D22" s="7">
        <f t="shared" si="2"/>
        <v>42000</v>
      </c>
      <c r="E22" s="7">
        <f t="shared" si="3"/>
        <v>332920</v>
      </c>
      <c r="F22" s="10"/>
      <c r="G22" s="10"/>
      <c r="H22" s="6"/>
    </row>
    <row r="23" ht="14.25" customHeight="1">
      <c r="A23" s="251">
        <v>46115.0</v>
      </c>
      <c r="B23" s="6">
        <f t="shared" si="1"/>
        <v>28420</v>
      </c>
      <c r="C23" s="6">
        <v>13580.0</v>
      </c>
      <c r="D23" s="7">
        <f t="shared" si="2"/>
        <v>42000</v>
      </c>
      <c r="E23" s="7">
        <f t="shared" si="3"/>
        <v>290920</v>
      </c>
      <c r="F23" s="10"/>
      <c r="G23" s="10"/>
      <c r="H23" s="6"/>
    </row>
    <row r="24" ht="14.25" customHeight="1">
      <c r="A24" s="251">
        <v>46116.0</v>
      </c>
      <c r="B24" s="6">
        <f t="shared" si="1"/>
        <v>28420</v>
      </c>
      <c r="C24" s="6">
        <v>13580.0</v>
      </c>
      <c r="D24" s="7">
        <f t="shared" si="2"/>
        <v>42000</v>
      </c>
      <c r="E24" s="7">
        <f t="shared" si="3"/>
        <v>248920</v>
      </c>
      <c r="F24" s="10"/>
      <c r="G24" s="10"/>
      <c r="H24" s="6"/>
    </row>
    <row r="25" ht="14.25" customHeight="1">
      <c r="A25" s="251">
        <v>46117.0</v>
      </c>
      <c r="B25" s="6">
        <f t="shared" si="1"/>
        <v>28420</v>
      </c>
      <c r="C25" s="6">
        <v>13580.0</v>
      </c>
      <c r="D25" s="7">
        <f t="shared" si="2"/>
        <v>42000</v>
      </c>
      <c r="E25" s="7">
        <f t="shared" si="3"/>
        <v>206920</v>
      </c>
      <c r="F25" s="10"/>
      <c r="G25" s="10"/>
      <c r="H25" s="6"/>
    </row>
    <row r="26" ht="14.25" customHeight="1">
      <c r="A26" s="251">
        <v>46118.0</v>
      </c>
      <c r="B26" s="6">
        <f t="shared" si="1"/>
        <v>28420</v>
      </c>
      <c r="C26" s="6">
        <v>13580.0</v>
      </c>
      <c r="D26" s="7">
        <f t="shared" si="2"/>
        <v>42000</v>
      </c>
      <c r="E26" s="7">
        <f t="shared" si="3"/>
        <v>164920</v>
      </c>
      <c r="F26" s="10"/>
      <c r="G26" s="10"/>
      <c r="H26" s="6"/>
    </row>
    <row r="27" ht="14.25" customHeight="1">
      <c r="A27" s="251">
        <v>46119.0</v>
      </c>
      <c r="B27" s="6">
        <f t="shared" si="1"/>
        <v>28420</v>
      </c>
      <c r="C27" s="6">
        <v>13580.0</v>
      </c>
      <c r="D27" s="7">
        <f t="shared" si="2"/>
        <v>42000</v>
      </c>
      <c r="E27" s="7">
        <f t="shared" si="3"/>
        <v>122920</v>
      </c>
      <c r="F27" s="10"/>
      <c r="G27" s="10"/>
      <c r="H27" s="6"/>
    </row>
    <row r="28" ht="14.25" customHeight="1">
      <c r="A28" s="251">
        <v>46120.0</v>
      </c>
      <c r="B28" s="6">
        <f t="shared" si="1"/>
        <v>28420</v>
      </c>
      <c r="C28" s="6">
        <v>13580.0</v>
      </c>
      <c r="D28" s="7">
        <f t="shared" si="2"/>
        <v>42000</v>
      </c>
      <c r="E28" s="7">
        <f t="shared" si="3"/>
        <v>80920</v>
      </c>
      <c r="F28" s="10"/>
      <c r="G28" s="10"/>
      <c r="H28" s="6"/>
    </row>
    <row r="29" ht="14.25" customHeight="1">
      <c r="A29" s="251">
        <v>46121.0</v>
      </c>
      <c r="B29" s="6">
        <f t="shared" si="1"/>
        <v>28420</v>
      </c>
      <c r="C29" s="6">
        <v>13580.0</v>
      </c>
      <c r="D29" s="7">
        <f t="shared" si="2"/>
        <v>42000</v>
      </c>
      <c r="E29" s="7">
        <f t="shared" si="3"/>
        <v>38920</v>
      </c>
      <c r="F29" s="10"/>
      <c r="G29" s="10"/>
      <c r="H29" s="6"/>
    </row>
    <row r="30" ht="14.25" customHeight="1">
      <c r="A30" s="251">
        <v>46122.0</v>
      </c>
      <c r="B30" s="6">
        <f>28300+120-3080</f>
        <v>25340</v>
      </c>
      <c r="C30" s="6">
        <v>13580.0</v>
      </c>
      <c r="D30" s="7">
        <f t="shared" si="2"/>
        <v>38920</v>
      </c>
      <c r="E30" s="7">
        <f t="shared" si="3"/>
        <v>0</v>
      </c>
      <c r="F30" s="10"/>
      <c r="G30" s="10"/>
      <c r="H30" s="6"/>
    </row>
    <row r="31" ht="14.25" customHeight="1">
      <c r="A31" s="242"/>
      <c r="B31" s="243">
        <f t="shared" ref="B31:D31" si="4">SUM(B7:B30)</f>
        <v>679000</v>
      </c>
      <c r="C31" s="243">
        <f t="shared" si="4"/>
        <v>325920</v>
      </c>
      <c r="D31" s="243">
        <f t="shared" si="4"/>
        <v>1004920</v>
      </c>
      <c r="E31" s="244"/>
      <c r="F31" s="244"/>
      <c r="G31" s="243">
        <f t="shared" ref="G31:H31" si="5">SUM(G7:G30)</f>
        <v>13580</v>
      </c>
      <c r="H31" s="243">
        <f t="shared" si="5"/>
        <v>28420</v>
      </c>
      <c r="I31" s="245">
        <f>G31+H31</f>
        <v>42000</v>
      </c>
      <c r="J31" s="246">
        <f>D31-I31</f>
        <v>962920</v>
      </c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242"/>
      <c r="Y31" s="242"/>
      <c r="Z31" s="242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29"/>
    <col customWidth="1" min="3" max="3" width="10.86"/>
    <col customWidth="1" min="4" max="4" width="12.0"/>
    <col customWidth="1" min="5" max="5" width="10.0"/>
    <col customWidth="1" min="6" max="6" width="19.43"/>
    <col customWidth="1" min="7" max="7" width="14.0"/>
    <col customWidth="1" min="8" max="8" width="16.29"/>
    <col customWidth="1" min="9" max="9" width="12.29"/>
    <col customWidth="1" min="10" max="10" width="10.57"/>
    <col customWidth="1" min="11" max="26" width="8.0"/>
  </cols>
  <sheetData>
    <row r="1" ht="14.25" customHeight="1">
      <c r="A1" s="111" t="s">
        <v>95</v>
      </c>
      <c r="B1" s="111"/>
      <c r="C1" s="111"/>
      <c r="D1" s="111"/>
      <c r="E1" s="111"/>
      <c r="F1" s="111"/>
    </row>
    <row r="2" ht="14.25" customHeight="1">
      <c r="A2" s="111" t="s">
        <v>96</v>
      </c>
      <c r="B2" s="111"/>
      <c r="C2" s="111"/>
      <c r="D2" s="111"/>
      <c r="E2" s="111"/>
      <c r="F2" s="111"/>
    </row>
    <row r="3" ht="14.25" customHeight="1">
      <c r="A3" s="254" t="s">
        <v>236</v>
      </c>
      <c r="B3" s="111"/>
      <c r="C3" s="111"/>
      <c r="D3" s="111"/>
      <c r="E3" s="111"/>
      <c r="F3" s="111"/>
    </row>
    <row r="4" ht="14.25" customHeight="1">
      <c r="A4" s="254" t="s">
        <v>237</v>
      </c>
      <c r="B4" s="111"/>
      <c r="C4" s="111"/>
      <c r="D4" s="111"/>
      <c r="E4" s="111"/>
      <c r="F4" s="111"/>
    </row>
    <row r="5" ht="15.0" customHeight="1">
      <c r="A5" s="111" t="s">
        <v>99</v>
      </c>
      <c r="B5" s="111"/>
      <c r="C5" s="111"/>
      <c r="D5" s="111"/>
      <c r="E5" s="111"/>
      <c r="F5" s="111"/>
    </row>
    <row r="6" ht="75.0" customHeight="1">
      <c r="A6" s="112" t="s">
        <v>100</v>
      </c>
      <c r="B6" s="112" t="s">
        <v>101</v>
      </c>
      <c r="C6" s="113" t="s">
        <v>102</v>
      </c>
      <c r="D6" s="113" t="s">
        <v>103</v>
      </c>
      <c r="E6" s="113" t="s">
        <v>104</v>
      </c>
      <c r="F6" s="112" t="s">
        <v>105</v>
      </c>
      <c r="G6" s="114" t="s">
        <v>106</v>
      </c>
      <c r="H6" s="114" t="s">
        <v>107</v>
      </c>
      <c r="I6" s="59" t="s">
        <v>116</v>
      </c>
    </row>
    <row r="7" ht="14.25" customHeight="1">
      <c r="A7" s="115">
        <v>45293.0</v>
      </c>
      <c r="B7" s="7">
        <v>41700.0</v>
      </c>
      <c r="C7" s="7">
        <v>10000.0</v>
      </c>
      <c r="D7" s="7">
        <f t="shared" ref="D7:D18" si="1">B7+C7</f>
        <v>51700</v>
      </c>
      <c r="E7" s="7">
        <f>620000-D7</f>
        <v>568300</v>
      </c>
      <c r="F7" s="5"/>
      <c r="G7" s="6">
        <v>10000.0</v>
      </c>
      <c r="H7" s="6">
        <v>42000.0</v>
      </c>
      <c r="I7" s="256">
        <f>D7*5/100</f>
        <v>2585</v>
      </c>
      <c r="J7" s="59" t="s">
        <v>238</v>
      </c>
    </row>
    <row r="8" ht="14.25" customHeight="1">
      <c r="A8" s="115">
        <v>45294.0</v>
      </c>
      <c r="B8" s="7">
        <v>41700.0</v>
      </c>
      <c r="C8" s="7">
        <v>10000.0</v>
      </c>
      <c r="D8" s="7">
        <f t="shared" si="1"/>
        <v>51700</v>
      </c>
      <c r="E8" s="7">
        <f t="shared" ref="E8:E18" si="2">E7-D8</f>
        <v>516600</v>
      </c>
      <c r="F8" s="5"/>
      <c r="G8" s="6">
        <v>10000.0</v>
      </c>
      <c r="H8" s="6">
        <v>42000.0</v>
      </c>
    </row>
    <row r="9" ht="14.25" customHeight="1">
      <c r="A9" s="115">
        <v>45295.0</v>
      </c>
      <c r="B9" s="7">
        <v>41700.0</v>
      </c>
      <c r="C9" s="7">
        <v>10000.0</v>
      </c>
      <c r="D9" s="7">
        <f t="shared" si="1"/>
        <v>51700</v>
      </c>
      <c r="E9" s="7">
        <f t="shared" si="2"/>
        <v>464900</v>
      </c>
      <c r="F9" s="5"/>
      <c r="G9" s="6">
        <v>10000.0</v>
      </c>
      <c r="H9" s="6">
        <v>42000.0</v>
      </c>
    </row>
    <row r="10" ht="14.25" customHeight="1">
      <c r="A10" s="115">
        <v>45296.0</v>
      </c>
      <c r="B10" s="7">
        <v>41700.0</v>
      </c>
      <c r="C10" s="7">
        <v>10000.0</v>
      </c>
      <c r="D10" s="7">
        <f t="shared" si="1"/>
        <v>51700</v>
      </c>
      <c r="E10" s="7">
        <f t="shared" si="2"/>
        <v>413200</v>
      </c>
      <c r="F10" s="5"/>
      <c r="G10" s="6">
        <v>10000.0</v>
      </c>
      <c r="H10" s="6">
        <v>42000.0</v>
      </c>
    </row>
    <row r="11" ht="14.25" customHeight="1">
      <c r="A11" s="115">
        <v>45297.0</v>
      </c>
      <c r="B11" s="7">
        <v>41700.0</v>
      </c>
      <c r="C11" s="7">
        <v>10000.0</v>
      </c>
      <c r="D11" s="7">
        <f t="shared" si="1"/>
        <v>51700</v>
      </c>
      <c r="E11" s="7">
        <f t="shared" si="2"/>
        <v>361500</v>
      </c>
      <c r="F11" s="5"/>
      <c r="G11" s="6">
        <v>10000.0</v>
      </c>
      <c r="H11" s="6">
        <v>42000.0</v>
      </c>
    </row>
    <row r="12" ht="14.25" customHeight="1">
      <c r="A12" s="115">
        <v>45298.0</v>
      </c>
      <c r="B12" s="7">
        <v>41700.0</v>
      </c>
      <c r="C12" s="7">
        <v>10000.0</v>
      </c>
      <c r="D12" s="7">
        <f t="shared" si="1"/>
        <v>51700</v>
      </c>
      <c r="E12" s="7">
        <f t="shared" si="2"/>
        <v>309800</v>
      </c>
      <c r="F12" s="5"/>
      <c r="G12" s="6">
        <v>10000.0</v>
      </c>
      <c r="H12" s="6">
        <v>42000.0</v>
      </c>
    </row>
    <row r="13" ht="14.25" customHeight="1">
      <c r="A13" s="115">
        <v>45299.0</v>
      </c>
      <c r="B13" s="7">
        <v>41700.0</v>
      </c>
      <c r="C13" s="257">
        <v>10000.0</v>
      </c>
      <c r="D13" s="7">
        <f t="shared" si="1"/>
        <v>51700</v>
      </c>
      <c r="E13" s="7">
        <f t="shared" si="2"/>
        <v>258100</v>
      </c>
      <c r="F13" s="5"/>
      <c r="G13" s="7"/>
      <c r="H13" s="5"/>
    </row>
    <row r="14" ht="14.25" customHeight="1">
      <c r="A14" s="115">
        <v>45300.0</v>
      </c>
      <c r="B14" s="7">
        <v>41700.0</v>
      </c>
      <c r="C14" s="257">
        <v>10000.0</v>
      </c>
      <c r="D14" s="7">
        <f t="shared" si="1"/>
        <v>51700</v>
      </c>
      <c r="E14" s="7">
        <f t="shared" si="2"/>
        <v>206400</v>
      </c>
      <c r="F14" s="5"/>
      <c r="G14" s="7"/>
      <c r="H14" s="5"/>
    </row>
    <row r="15" ht="14.25" customHeight="1">
      <c r="A15" s="115">
        <v>45301.0</v>
      </c>
      <c r="B15" s="7">
        <v>41700.0</v>
      </c>
      <c r="C15" s="257">
        <v>10000.0</v>
      </c>
      <c r="D15" s="7">
        <f t="shared" si="1"/>
        <v>51700</v>
      </c>
      <c r="E15" s="7">
        <f t="shared" si="2"/>
        <v>154700</v>
      </c>
      <c r="F15" s="5"/>
      <c r="G15" s="7"/>
      <c r="H15" s="5"/>
    </row>
    <row r="16" ht="14.25" customHeight="1">
      <c r="A16" s="115">
        <v>45302.0</v>
      </c>
      <c r="B16" s="7">
        <v>41700.0</v>
      </c>
      <c r="C16" s="257">
        <v>10000.0</v>
      </c>
      <c r="D16" s="7">
        <f t="shared" si="1"/>
        <v>51700</v>
      </c>
      <c r="E16" s="7">
        <f t="shared" si="2"/>
        <v>103000</v>
      </c>
      <c r="F16" s="5"/>
      <c r="G16" s="7"/>
      <c r="H16" s="5"/>
    </row>
    <row r="17" ht="14.25" customHeight="1">
      <c r="A17" s="115">
        <v>45303.0</v>
      </c>
      <c r="B17" s="7">
        <v>41700.0</v>
      </c>
      <c r="C17" s="257">
        <v>10000.0</v>
      </c>
      <c r="D17" s="7">
        <f t="shared" si="1"/>
        <v>51700</v>
      </c>
      <c r="E17" s="7">
        <f t="shared" si="2"/>
        <v>51300</v>
      </c>
      <c r="F17" s="5"/>
      <c r="G17" s="7"/>
      <c r="H17" s="5"/>
    </row>
    <row r="18" ht="14.25" customHeight="1">
      <c r="A18" s="115">
        <v>45658.0</v>
      </c>
      <c r="B18" s="7">
        <v>41300.0</v>
      </c>
      <c r="C18" s="257">
        <v>10000.0</v>
      </c>
      <c r="D18" s="7">
        <f t="shared" si="1"/>
        <v>51300</v>
      </c>
      <c r="E18" s="7">
        <f t="shared" si="2"/>
        <v>0</v>
      </c>
      <c r="F18" s="5"/>
      <c r="G18" s="7"/>
      <c r="H18" s="5"/>
    </row>
    <row r="19" ht="14.25" customHeight="1">
      <c r="A19" s="117"/>
      <c r="B19" s="258">
        <f t="shared" ref="B19:D19" si="3">SUM(B7:B18)</f>
        <v>500000</v>
      </c>
      <c r="C19" s="258">
        <f t="shared" si="3"/>
        <v>120000</v>
      </c>
      <c r="D19" s="258">
        <f t="shared" si="3"/>
        <v>620000</v>
      </c>
      <c r="E19" s="258"/>
      <c r="G19" s="259">
        <f t="shared" ref="G19:H19" si="4">SUM(G7:G18)</f>
        <v>60000</v>
      </c>
      <c r="H19" s="259">
        <f t="shared" si="4"/>
        <v>252000</v>
      </c>
      <c r="I19" s="260">
        <f>G19+H19</f>
        <v>312000</v>
      </c>
      <c r="J19" s="261">
        <f>D19-I19</f>
        <v>308000</v>
      </c>
      <c r="K19" s="59" t="s">
        <v>239</v>
      </c>
    </row>
    <row r="20" ht="14.25" customHeight="1"/>
    <row r="21" ht="14.25" customHeight="1">
      <c r="I21" s="260">
        <f>D19-I19</f>
        <v>308000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2.86"/>
    <col customWidth="1" min="3" max="3" width="10.86"/>
    <col customWidth="1" min="4" max="4" width="12.71"/>
    <col customWidth="1" min="5" max="5" width="12.43"/>
    <col customWidth="1" min="6" max="6" width="15.43"/>
    <col customWidth="1" min="7" max="7" width="12.71"/>
    <col customWidth="1" min="8" max="8" width="16.0"/>
    <col customWidth="1" min="9" max="9" width="9.0"/>
    <col customWidth="1" min="10" max="10" width="10.57"/>
    <col customWidth="1" min="11" max="26" width="8.0"/>
  </cols>
  <sheetData>
    <row r="1" ht="14.25" customHeight="1">
      <c r="A1" s="247" t="s">
        <v>240</v>
      </c>
      <c r="B1" s="248"/>
      <c r="C1" s="248"/>
      <c r="D1" s="248"/>
      <c r="E1" s="248"/>
      <c r="F1" s="248"/>
    </row>
    <row r="2" ht="14.25" customHeight="1">
      <c r="A2" s="254" t="s">
        <v>241</v>
      </c>
      <c r="B2" s="111"/>
      <c r="C2" s="111"/>
      <c r="D2" s="111"/>
      <c r="E2" s="111"/>
      <c r="F2" s="111"/>
    </row>
    <row r="3" ht="14.25" customHeight="1">
      <c r="A3" s="254" t="s">
        <v>242</v>
      </c>
      <c r="B3" s="111"/>
      <c r="C3" s="111"/>
      <c r="D3" s="111"/>
      <c r="E3" s="111"/>
      <c r="F3" s="111"/>
    </row>
    <row r="4" ht="14.25" customHeight="1">
      <c r="A4" s="254" t="s">
        <v>243</v>
      </c>
      <c r="B4" s="111"/>
      <c r="C4" s="111"/>
      <c r="D4" s="111"/>
      <c r="E4" s="111"/>
      <c r="F4" s="111"/>
    </row>
    <row r="5" ht="14.25" customHeight="1">
      <c r="A5" s="254" t="s">
        <v>237</v>
      </c>
      <c r="B5" s="111"/>
      <c r="C5" s="111"/>
      <c r="D5" s="111"/>
      <c r="E5" s="111"/>
      <c r="F5" s="111"/>
    </row>
    <row r="6" ht="15.0" customHeight="1">
      <c r="A6" s="254" t="s">
        <v>139</v>
      </c>
      <c r="B6" s="111"/>
      <c r="C6" s="111"/>
      <c r="D6" s="111"/>
      <c r="E6" s="111"/>
      <c r="F6" s="111"/>
    </row>
    <row r="7" ht="75.0" customHeight="1">
      <c r="A7" s="112" t="s">
        <v>100</v>
      </c>
      <c r="B7" s="262" t="s">
        <v>101</v>
      </c>
      <c r="C7" s="263" t="s">
        <v>102</v>
      </c>
      <c r="D7" s="263" t="s">
        <v>103</v>
      </c>
      <c r="E7" s="263" t="s">
        <v>104</v>
      </c>
      <c r="F7" s="262" t="s">
        <v>105</v>
      </c>
      <c r="G7" s="114" t="s">
        <v>106</v>
      </c>
      <c r="H7" s="114" t="s">
        <v>107</v>
      </c>
    </row>
    <row r="8" ht="14.25" customHeight="1">
      <c r="A8" s="264" t="s">
        <v>244</v>
      </c>
      <c r="B8" s="265">
        <v>36250.0</v>
      </c>
      <c r="C8" s="265">
        <v>17400.0</v>
      </c>
      <c r="D8" s="265">
        <v>53650.0</v>
      </c>
      <c r="E8" s="265">
        <v>1233950.0</v>
      </c>
      <c r="F8" s="10"/>
      <c r="G8" s="265">
        <v>17400.0</v>
      </c>
      <c r="H8" s="265">
        <v>36250.0</v>
      </c>
    </row>
    <row r="9" ht="14.25" customHeight="1">
      <c r="A9" s="264" t="s">
        <v>245</v>
      </c>
      <c r="B9" s="265">
        <v>36250.0</v>
      </c>
      <c r="C9" s="265">
        <v>17400.0</v>
      </c>
      <c r="D9" s="265">
        <v>53650.0</v>
      </c>
      <c r="E9" s="265">
        <v>1180300.0</v>
      </c>
      <c r="F9" s="10"/>
      <c r="G9" s="265">
        <v>17400.0</v>
      </c>
      <c r="H9" s="265">
        <v>36250.0</v>
      </c>
      <c r="I9" s="59" t="s">
        <v>246</v>
      </c>
    </row>
    <row r="10" ht="14.25" customHeight="1">
      <c r="A10" s="264" t="s">
        <v>247</v>
      </c>
      <c r="B10" s="265">
        <v>36250.0</v>
      </c>
      <c r="C10" s="265">
        <v>17400.0</v>
      </c>
      <c r="D10" s="265">
        <v>53650.0</v>
      </c>
      <c r="E10" s="265">
        <v>1126650.0</v>
      </c>
      <c r="F10" s="10"/>
      <c r="G10" s="265">
        <v>17400.0</v>
      </c>
      <c r="H10" s="41">
        <f>54000-G10</f>
        <v>36600</v>
      </c>
      <c r="I10" s="231" t="s">
        <v>248</v>
      </c>
      <c r="J10" s="256"/>
      <c r="K10" s="256"/>
      <c r="L10" s="256"/>
      <c r="M10" s="256"/>
      <c r="N10" s="256"/>
    </row>
    <row r="11" ht="14.25" customHeight="1">
      <c r="A11" s="264" t="s">
        <v>67</v>
      </c>
      <c r="B11" s="265">
        <v>36250.0</v>
      </c>
      <c r="C11" s="265">
        <v>17400.0</v>
      </c>
      <c r="D11" s="265">
        <v>53650.0</v>
      </c>
      <c r="E11" s="265">
        <v>1073000.0</v>
      </c>
      <c r="F11" s="10"/>
      <c r="G11" s="10"/>
      <c r="H11" s="10"/>
    </row>
    <row r="12" ht="14.25" customHeight="1">
      <c r="A12" s="264" t="s">
        <v>249</v>
      </c>
      <c r="B12" s="265">
        <v>36250.0</v>
      </c>
      <c r="C12" s="265">
        <v>17400.0</v>
      </c>
      <c r="D12" s="265">
        <v>53650.0</v>
      </c>
      <c r="E12" s="265">
        <v>1019350.0</v>
      </c>
      <c r="F12" s="10"/>
      <c r="G12" s="10"/>
      <c r="H12" s="10"/>
      <c r="J12" s="107">
        <f>D9*5/100</f>
        <v>2682.5</v>
      </c>
    </row>
    <row r="13" ht="14.25" customHeight="1">
      <c r="A13" s="264" t="s">
        <v>250</v>
      </c>
      <c r="B13" s="265">
        <v>36250.0</v>
      </c>
      <c r="C13" s="265">
        <v>17400.0</v>
      </c>
      <c r="D13" s="265">
        <v>53650.0</v>
      </c>
      <c r="E13" s="265">
        <v>965700.0</v>
      </c>
      <c r="F13" s="10"/>
      <c r="G13" s="10"/>
      <c r="H13" s="10"/>
    </row>
    <row r="14" ht="14.25" customHeight="1">
      <c r="A14" s="264" t="s">
        <v>251</v>
      </c>
      <c r="B14" s="265">
        <v>36250.0</v>
      </c>
      <c r="C14" s="265">
        <v>17400.0</v>
      </c>
      <c r="D14" s="265">
        <v>53650.0</v>
      </c>
      <c r="E14" s="265">
        <v>912050.0</v>
      </c>
      <c r="F14" s="10"/>
      <c r="G14" s="10"/>
      <c r="H14" s="10"/>
    </row>
    <row r="15" ht="14.25" customHeight="1">
      <c r="A15" s="264" t="s">
        <v>252</v>
      </c>
      <c r="B15" s="265">
        <v>36250.0</v>
      </c>
      <c r="C15" s="265">
        <v>17400.0</v>
      </c>
      <c r="D15" s="265">
        <v>53650.0</v>
      </c>
      <c r="E15" s="265">
        <v>858400.0</v>
      </c>
      <c r="F15" s="10"/>
      <c r="G15" s="10"/>
      <c r="H15" s="10"/>
    </row>
    <row r="16" ht="14.25" customHeight="1">
      <c r="A16" s="264" t="s">
        <v>253</v>
      </c>
      <c r="B16" s="265">
        <v>36250.0</v>
      </c>
      <c r="C16" s="265">
        <v>17400.0</v>
      </c>
      <c r="D16" s="265">
        <v>53650.0</v>
      </c>
      <c r="E16" s="265">
        <v>804750.0</v>
      </c>
      <c r="F16" s="10"/>
      <c r="G16" s="10"/>
      <c r="H16" s="10"/>
    </row>
    <row r="17" ht="14.25" customHeight="1">
      <c r="A17" s="264" t="s">
        <v>254</v>
      </c>
      <c r="B17" s="265">
        <v>36250.0</v>
      </c>
      <c r="C17" s="265">
        <v>17400.0</v>
      </c>
      <c r="D17" s="265">
        <v>53650.0</v>
      </c>
      <c r="E17" s="265">
        <v>751100.0</v>
      </c>
      <c r="F17" s="10"/>
      <c r="G17" s="10"/>
      <c r="H17" s="10"/>
    </row>
    <row r="18" ht="14.25" customHeight="1">
      <c r="A18" s="264" t="s">
        <v>255</v>
      </c>
      <c r="B18" s="265">
        <v>36250.0</v>
      </c>
      <c r="C18" s="265">
        <v>17400.0</v>
      </c>
      <c r="D18" s="265">
        <v>53650.0</v>
      </c>
      <c r="E18" s="265">
        <v>697450.0</v>
      </c>
      <c r="F18" s="10"/>
      <c r="G18" s="10"/>
      <c r="H18" s="10"/>
    </row>
    <row r="19" ht="14.25" customHeight="1">
      <c r="A19" s="264" t="s">
        <v>256</v>
      </c>
      <c r="B19" s="265">
        <v>36250.0</v>
      </c>
      <c r="C19" s="265">
        <v>17400.0</v>
      </c>
      <c r="D19" s="265">
        <v>53650.0</v>
      </c>
      <c r="E19" s="265">
        <v>643800.0</v>
      </c>
      <c r="F19" s="10"/>
      <c r="G19" s="10"/>
      <c r="H19" s="10"/>
    </row>
    <row r="20" ht="14.25" customHeight="1">
      <c r="A20" s="264" t="s">
        <v>257</v>
      </c>
      <c r="B20" s="265">
        <v>36250.0</v>
      </c>
      <c r="C20" s="265">
        <v>17400.0</v>
      </c>
      <c r="D20" s="265">
        <v>53650.0</v>
      </c>
      <c r="E20" s="265">
        <v>590150.0</v>
      </c>
      <c r="F20" s="10"/>
      <c r="G20" s="10"/>
      <c r="H20" s="10"/>
    </row>
    <row r="21" ht="14.25" customHeight="1">
      <c r="A21" s="264" t="s">
        <v>258</v>
      </c>
      <c r="B21" s="265">
        <v>36250.0</v>
      </c>
      <c r="C21" s="265">
        <v>17400.0</v>
      </c>
      <c r="D21" s="265">
        <v>53650.0</v>
      </c>
      <c r="E21" s="265">
        <v>536500.0</v>
      </c>
      <c r="F21" s="10"/>
      <c r="G21" s="10"/>
      <c r="H21" s="10"/>
    </row>
    <row r="22" ht="14.25" customHeight="1">
      <c r="A22" s="264" t="s">
        <v>259</v>
      </c>
      <c r="B22" s="265">
        <v>36250.0</v>
      </c>
      <c r="C22" s="265">
        <v>17400.0</v>
      </c>
      <c r="D22" s="265">
        <v>53650.0</v>
      </c>
      <c r="E22" s="265">
        <v>482850.0</v>
      </c>
      <c r="F22" s="10"/>
      <c r="G22" s="10"/>
      <c r="H22" s="10"/>
    </row>
    <row r="23" ht="14.25" customHeight="1">
      <c r="A23" s="264" t="s">
        <v>260</v>
      </c>
      <c r="B23" s="265">
        <v>36250.0</v>
      </c>
      <c r="C23" s="265">
        <v>17400.0</v>
      </c>
      <c r="D23" s="265">
        <v>53650.0</v>
      </c>
      <c r="E23" s="265">
        <v>429200.0</v>
      </c>
      <c r="F23" s="10"/>
      <c r="G23" s="10"/>
      <c r="H23" s="10"/>
    </row>
    <row r="24" ht="14.25" customHeight="1">
      <c r="A24" s="264" t="s">
        <v>261</v>
      </c>
      <c r="B24" s="265">
        <v>36250.0</v>
      </c>
      <c r="C24" s="265">
        <v>17400.0</v>
      </c>
      <c r="D24" s="265">
        <v>53650.0</v>
      </c>
      <c r="E24" s="265">
        <v>375550.0</v>
      </c>
      <c r="F24" s="10"/>
      <c r="G24" s="10"/>
      <c r="H24" s="10"/>
    </row>
    <row r="25" ht="14.25" customHeight="1">
      <c r="A25" s="264" t="s">
        <v>262</v>
      </c>
      <c r="B25" s="265">
        <v>36250.0</v>
      </c>
      <c r="C25" s="265">
        <v>17400.0</v>
      </c>
      <c r="D25" s="265">
        <v>53650.0</v>
      </c>
      <c r="E25" s="265">
        <v>321900.0</v>
      </c>
      <c r="F25" s="10"/>
      <c r="G25" s="10"/>
      <c r="H25" s="10"/>
    </row>
    <row r="26" ht="14.25" customHeight="1">
      <c r="A26" s="264" t="s">
        <v>263</v>
      </c>
      <c r="B26" s="265">
        <v>36250.0</v>
      </c>
      <c r="C26" s="265">
        <v>17400.0</v>
      </c>
      <c r="D26" s="265">
        <v>53650.0</v>
      </c>
      <c r="E26" s="265">
        <v>268250.0</v>
      </c>
      <c r="F26" s="10"/>
      <c r="G26" s="10"/>
      <c r="H26" s="10"/>
    </row>
    <row r="27" ht="14.25" customHeight="1">
      <c r="A27" s="264" t="s">
        <v>264</v>
      </c>
      <c r="B27" s="265">
        <v>36250.0</v>
      </c>
      <c r="C27" s="265">
        <v>17400.0</v>
      </c>
      <c r="D27" s="265">
        <v>53650.0</v>
      </c>
      <c r="E27" s="265">
        <v>214600.0</v>
      </c>
      <c r="F27" s="10"/>
      <c r="G27" s="10"/>
      <c r="H27" s="10"/>
    </row>
    <row r="28" ht="14.25" customHeight="1">
      <c r="A28" s="264" t="s">
        <v>265</v>
      </c>
      <c r="B28" s="265">
        <v>36250.0</v>
      </c>
      <c r="C28" s="265">
        <v>17400.0</v>
      </c>
      <c r="D28" s="265">
        <v>53650.0</v>
      </c>
      <c r="E28" s="265">
        <v>160950.0</v>
      </c>
      <c r="F28" s="10"/>
      <c r="G28" s="10"/>
      <c r="H28" s="10"/>
    </row>
    <row r="29" ht="14.25" customHeight="1">
      <c r="A29" s="264" t="s">
        <v>266</v>
      </c>
      <c r="B29" s="265">
        <v>36250.0</v>
      </c>
      <c r="C29" s="265">
        <v>17400.0</v>
      </c>
      <c r="D29" s="265">
        <v>53650.0</v>
      </c>
      <c r="E29" s="265">
        <v>107300.0</v>
      </c>
      <c r="F29" s="10"/>
      <c r="G29" s="10"/>
      <c r="H29" s="10"/>
    </row>
    <row r="30" ht="14.25" customHeight="1">
      <c r="A30" s="264" t="s">
        <v>267</v>
      </c>
      <c r="B30" s="265">
        <v>36250.0</v>
      </c>
      <c r="C30" s="265">
        <v>17400.0</v>
      </c>
      <c r="D30" s="265">
        <v>53650.0</v>
      </c>
      <c r="E30" s="265">
        <v>53650.0</v>
      </c>
      <c r="F30" s="10"/>
      <c r="G30" s="10"/>
      <c r="H30" s="10"/>
    </row>
    <row r="31" ht="14.25" customHeight="1">
      <c r="A31" s="264" t="s">
        <v>268</v>
      </c>
      <c r="B31" s="265">
        <v>36250.0</v>
      </c>
      <c r="C31" s="265">
        <v>17400.0</v>
      </c>
      <c r="D31" s="265">
        <v>53650.0</v>
      </c>
      <c r="E31" s="266" t="s">
        <v>121</v>
      </c>
      <c r="F31" s="10"/>
      <c r="G31" s="10"/>
      <c r="H31" s="10"/>
    </row>
    <row r="32" ht="14.25" customHeight="1">
      <c r="A32" s="267" t="s">
        <v>165</v>
      </c>
      <c r="B32" s="268">
        <f t="shared" ref="B32:D32" si="1">SUM(B8:B31)</f>
        <v>870000</v>
      </c>
      <c r="C32" s="268">
        <f t="shared" si="1"/>
        <v>417600</v>
      </c>
      <c r="D32" s="268">
        <f t="shared" si="1"/>
        <v>1287600</v>
      </c>
      <c r="E32" s="269"/>
      <c r="F32" s="269"/>
      <c r="G32" s="270">
        <f t="shared" ref="G32:H32" si="2">SUM(G8:G31)</f>
        <v>52200</v>
      </c>
      <c r="H32" s="270">
        <f t="shared" si="2"/>
        <v>109100</v>
      </c>
      <c r="I32" s="239">
        <f>G32+H32</f>
        <v>161300</v>
      </c>
      <c r="J32" s="271">
        <f>D32-I32</f>
        <v>1126300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14"/>
    <col customWidth="1" min="2" max="2" width="12.86"/>
    <col customWidth="1" min="3" max="3" width="10.86"/>
    <col customWidth="1" min="4" max="4" width="12.71"/>
    <col customWidth="1" min="5" max="5" width="12.43"/>
    <col customWidth="1" min="6" max="6" width="18.43"/>
    <col customWidth="1" min="7" max="7" width="14.0"/>
    <col customWidth="1" min="8" max="8" width="16.29"/>
    <col customWidth="1" min="9" max="10" width="12.29"/>
    <col customWidth="1" min="11" max="26" width="8.0"/>
  </cols>
  <sheetData>
    <row r="1" ht="14.25" customHeight="1">
      <c r="A1" s="254" t="s">
        <v>209</v>
      </c>
      <c r="B1" s="111"/>
      <c r="C1" s="111"/>
      <c r="D1" s="111"/>
      <c r="E1" s="111"/>
      <c r="F1" s="111"/>
    </row>
    <row r="2" ht="14.25" customHeight="1">
      <c r="A2" s="254" t="s">
        <v>269</v>
      </c>
      <c r="B2" s="111"/>
      <c r="C2" s="111"/>
      <c r="D2" s="111"/>
      <c r="E2" s="111"/>
      <c r="F2" s="111"/>
    </row>
    <row r="3" ht="14.25" customHeight="1">
      <c r="A3" s="254" t="s">
        <v>270</v>
      </c>
      <c r="B3" s="111"/>
      <c r="C3" s="111"/>
      <c r="D3" s="111"/>
      <c r="E3" s="111"/>
      <c r="F3" s="111"/>
    </row>
    <row r="4" ht="14.25" customHeight="1">
      <c r="A4" s="111" t="s">
        <v>98</v>
      </c>
      <c r="B4" s="111"/>
      <c r="C4" s="111"/>
      <c r="D4" s="111"/>
      <c r="E4" s="111"/>
      <c r="F4" s="111"/>
    </row>
    <row r="5" ht="15.0" customHeight="1">
      <c r="A5" s="111" t="s">
        <v>99</v>
      </c>
      <c r="B5" s="111"/>
      <c r="C5" s="111"/>
      <c r="D5" s="111"/>
      <c r="E5" s="111"/>
      <c r="F5" s="111"/>
    </row>
    <row r="6" ht="75.0" customHeight="1">
      <c r="A6" s="112" t="s">
        <v>100</v>
      </c>
      <c r="B6" s="262" t="s">
        <v>101</v>
      </c>
      <c r="C6" s="263" t="s">
        <v>102</v>
      </c>
      <c r="D6" s="263" t="s">
        <v>103</v>
      </c>
      <c r="E6" s="263" t="s">
        <v>104</v>
      </c>
      <c r="F6" s="262" t="s">
        <v>105</v>
      </c>
      <c r="G6" s="114" t="s">
        <v>106</v>
      </c>
      <c r="H6" s="114" t="s">
        <v>107</v>
      </c>
    </row>
    <row r="7" ht="14.25" customHeight="1">
      <c r="A7" s="272">
        <v>45512.0</v>
      </c>
      <c r="B7" s="265">
        <v>23000.0</v>
      </c>
      <c r="C7" s="265">
        <v>11000.0</v>
      </c>
      <c r="D7" s="265">
        <f t="shared" ref="D7:D30" si="1">B7+C7</f>
        <v>34000</v>
      </c>
      <c r="E7" s="265">
        <f>814000-D7</f>
        <v>780000</v>
      </c>
      <c r="F7" s="10"/>
      <c r="G7" s="4">
        <v>11000.0</v>
      </c>
      <c r="H7" s="4">
        <v>23000.0</v>
      </c>
    </row>
    <row r="8" ht="14.25" customHeight="1">
      <c r="A8" s="272" t="s">
        <v>271</v>
      </c>
      <c r="B8" s="265">
        <v>23000.0</v>
      </c>
      <c r="C8" s="265">
        <v>11000.0</v>
      </c>
      <c r="D8" s="265">
        <f t="shared" si="1"/>
        <v>34000</v>
      </c>
      <c r="E8" s="265">
        <f t="shared" ref="E8:E30" si="2">E7-D8</f>
        <v>746000</v>
      </c>
      <c r="F8" s="10"/>
      <c r="G8" s="4">
        <v>11000.0</v>
      </c>
      <c r="H8" s="4">
        <v>23000.0</v>
      </c>
    </row>
    <row r="9" ht="14.25" customHeight="1">
      <c r="A9" s="272">
        <v>45514.0</v>
      </c>
      <c r="B9" s="265">
        <v>23000.0</v>
      </c>
      <c r="C9" s="265"/>
      <c r="D9" s="265">
        <f t="shared" si="1"/>
        <v>23000</v>
      </c>
      <c r="E9" s="265">
        <f t="shared" si="2"/>
        <v>723000</v>
      </c>
      <c r="F9" s="10"/>
      <c r="G9" s="10"/>
      <c r="H9" s="265">
        <v>23000.0</v>
      </c>
    </row>
    <row r="10" ht="14.25" customHeight="1">
      <c r="A10" s="272">
        <v>45515.0</v>
      </c>
      <c r="B10" s="265">
        <v>23000.0</v>
      </c>
      <c r="C10" s="265"/>
      <c r="D10" s="265">
        <f t="shared" si="1"/>
        <v>23000</v>
      </c>
      <c r="E10" s="265">
        <f t="shared" si="2"/>
        <v>700000</v>
      </c>
      <c r="F10" s="10"/>
      <c r="G10" s="10"/>
      <c r="H10" s="265">
        <v>23000.0</v>
      </c>
    </row>
    <row r="11" ht="14.25" customHeight="1">
      <c r="A11" s="272">
        <v>45516.0</v>
      </c>
      <c r="B11" s="265">
        <v>23000.0</v>
      </c>
      <c r="C11" s="265"/>
      <c r="D11" s="265">
        <f t="shared" si="1"/>
        <v>23000</v>
      </c>
      <c r="E11" s="265">
        <f t="shared" si="2"/>
        <v>677000</v>
      </c>
      <c r="F11" s="10"/>
      <c r="G11" s="10"/>
      <c r="H11" s="265">
        <v>23000.0</v>
      </c>
    </row>
    <row r="12" ht="14.25" customHeight="1">
      <c r="A12" s="272">
        <v>45870.0</v>
      </c>
      <c r="B12" s="265">
        <v>23000.0</v>
      </c>
      <c r="C12" s="265"/>
      <c r="D12" s="265">
        <f t="shared" si="1"/>
        <v>23000</v>
      </c>
      <c r="E12" s="265">
        <f t="shared" si="2"/>
        <v>654000</v>
      </c>
      <c r="F12" s="10"/>
      <c r="G12" s="10"/>
      <c r="H12" s="265">
        <v>23000.0</v>
      </c>
    </row>
    <row r="13" ht="14.25" customHeight="1">
      <c r="A13" s="272">
        <v>45871.0</v>
      </c>
      <c r="B13" s="265">
        <v>23000.0</v>
      </c>
      <c r="C13" s="265"/>
      <c r="D13" s="265">
        <f t="shared" si="1"/>
        <v>23000</v>
      </c>
      <c r="E13" s="265">
        <f t="shared" si="2"/>
        <v>631000</v>
      </c>
      <c r="F13" s="10"/>
      <c r="G13" s="10"/>
      <c r="H13" s="265">
        <v>23000.0</v>
      </c>
    </row>
    <row r="14" ht="14.25" customHeight="1">
      <c r="A14" s="272">
        <v>45872.0</v>
      </c>
      <c r="B14" s="265">
        <v>23000.0</v>
      </c>
      <c r="C14" s="265"/>
      <c r="D14" s="265">
        <f t="shared" si="1"/>
        <v>23000</v>
      </c>
      <c r="E14" s="265">
        <f t="shared" si="2"/>
        <v>608000</v>
      </c>
      <c r="F14" s="10"/>
      <c r="G14" s="10"/>
      <c r="H14" s="265">
        <v>23000.0</v>
      </c>
    </row>
    <row r="15" ht="14.25" customHeight="1">
      <c r="A15" s="272">
        <v>45873.0</v>
      </c>
      <c r="B15" s="265">
        <v>23000.0</v>
      </c>
      <c r="C15" s="265"/>
      <c r="D15" s="265">
        <f t="shared" si="1"/>
        <v>23000</v>
      </c>
      <c r="E15" s="265">
        <f t="shared" si="2"/>
        <v>585000</v>
      </c>
      <c r="F15" s="10"/>
      <c r="G15" s="10"/>
      <c r="H15" s="265">
        <v>23000.0</v>
      </c>
    </row>
    <row r="16" ht="14.25" customHeight="1">
      <c r="A16" s="272">
        <v>45874.0</v>
      </c>
      <c r="B16" s="265">
        <v>23000.0</v>
      </c>
      <c r="C16" s="265"/>
      <c r="D16" s="265">
        <f t="shared" si="1"/>
        <v>23000</v>
      </c>
      <c r="E16" s="265">
        <f t="shared" si="2"/>
        <v>562000</v>
      </c>
      <c r="F16" s="10"/>
      <c r="G16" s="10"/>
      <c r="H16" s="265">
        <v>23000.0</v>
      </c>
    </row>
    <row r="17" ht="14.25" customHeight="1">
      <c r="A17" s="272">
        <v>45875.0</v>
      </c>
      <c r="B17" s="265">
        <v>23000.0</v>
      </c>
      <c r="C17" s="265"/>
      <c r="D17" s="265">
        <f t="shared" si="1"/>
        <v>23000</v>
      </c>
      <c r="E17" s="265">
        <f t="shared" si="2"/>
        <v>539000</v>
      </c>
      <c r="F17" s="10"/>
      <c r="G17" s="10"/>
      <c r="H17" s="265">
        <v>23000.0</v>
      </c>
    </row>
    <row r="18" ht="14.25" customHeight="1">
      <c r="A18" s="272">
        <v>45876.0</v>
      </c>
      <c r="B18" s="265">
        <v>23000.0</v>
      </c>
      <c r="C18" s="265"/>
      <c r="D18" s="265">
        <f t="shared" si="1"/>
        <v>23000</v>
      </c>
      <c r="E18" s="265">
        <f t="shared" si="2"/>
        <v>516000</v>
      </c>
      <c r="F18" s="10"/>
      <c r="G18" s="10"/>
      <c r="H18" s="265">
        <v>23000.0</v>
      </c>
    </row>
    <row r="19" ht="14.25" customHeight="1">
      <c r="A19" s="272">
        <v>45877.0</v>
      </c>
      <c r="B19" s="265">
        <v>23000.0</v>
      </c>
      <c r="C19" s="265"/>
      <c r="D19" s="265">
        <f t="shared" si="1"/>
        <v>23000</v>
      </c>
      <c r="E19" s="265">
        <f t="shared" si="2"/>
        <v>493000</v>
      </c>
      <c r="F19" s="10"/>
      <c r="G19" s="10"/>
      <c r="H19" s="265">
        <v>23000.0</v>
      </c>
    </row>
    <row r="20" ht="14.25" customHeight="1">
      <c r="A20" s="272">
        <v>45878.0</v>
      </c>
      <c r="B20" s="265">
        <v>23000.0</v>
      </c>
      <c r="C20" s="265"/>
      <c r="D20" s="265">
        <f t="shared" si="1"/>
        <v>23000</v>
      </c>
      <c r="E20" s="265">
        <f t="shared" si="2"/>
        <v>470000</v>
      </c>
      <c r="F20" s="10"/>
      <c r="G20" s="10"/>
      <c r="H20" s="265">
        <v>23000.0</v>
      </c>
    </row>
    <row r="21" ht="14.25" customHeight="1">
      <c r="A21" s="272">
        <v>45879.0</v>
      </c>
      <c r="B21" s="265">
        <v>23000.0</v>
      </c>
      <c r="C21" s="265"/>
      <c r="D21" s="265">
        <f t="shared" si="1"/>
        <v>23000</v>
      </c>
      <c r="E21" s="265">
        <f t="shared" si="2"/>
        <v>447000</v>
      </c>
      <c r="F21" s="10"/>
      <c r="G21" s="10"/>
      <c r="H21" s="265">
        <v>23000.0</v>
      </c>
    </row>
    <row r="22" ht="14.25" customHeight="1">
      <c r="A22" s="272">
        <v>45880.0</v>
      </c>
      <c r="B22" s="265">
        <v>23000.0</v>
      </c>
      <c r="C22" s="265"/>
      <c r="D22" s="265">
        <f t="shared" si="1"/>
        <v>23000</v>
      </c>
      <c r="E22" s="265">
        <f t="shared" si="2"/>
        <v>424000</v>
      </c>
      <c r="F22" s="10"/>
      <c r="G22" s="10"/>
      <c r="H22" s="265">
        <v>23000.0</v>
      </c>
    </row>
    <row r="23" ht="14.25" customHeight="1">
      <c r="A23" s="272">
        <v>45881.0</v>
      </c>
      <c r="B23" s="265">
        <v>23000.0</v>
      </c>
      <c r="C23" s="265"/>
      <c r="D23" s="265">
        <f t="shared" si="1"/>
        <v>23000</v>
      </c>
      <c r="E23" s="265">
        <f t="shared" si="2"/>
        <v>401000</v>
      </c>
      <c r="F23" s="10"/>
      <c r="G23" s="10"/>
      <c r="H23" s="265">
        <v>23000.0</v>
      </c>
    </row>
    <row r="24" ht="14.25" customHeight="1">
      <c r="A24" s="272">
        <v>46235.0</v>
      </c>
      <c r="B24" s="265">
        <v>23000.0</v>
      </c>
      <c r="C24" s="265"/>
      <c r="D24" s="265">
        <f t="shared" si="1"/>
        <v>23000</v>
      </c>
      <c r="E24" s="265">
        <f t="shared" si="2"/>
        <v>378000</v>
      </c>
      <c r="F24" s="10"/>
      <c r="G24" s="10"/>
      <c r="H24" s="265">
        <v>23000.0</v>
      </c>
    </row>
    <row r="25" ht="14.25" customHeight="1">
      <c r="A25" s="272">
        <v>46236.0</v>
      </c>
      <c r="B25" s="265">
        <v>23000.0</v>
      </c>
      <c r="C25" s="265"/>
      <c r="D25" s="265">
        <f t="shared" si="1"/>
        <v>23000</v>
      </c>
      <c r="E25" s="265">
        <f t="shared" si="2"/>
        <v>355000</v>
      </c>
      <c r="F25" s="10"/>
      <c r="G25" s="10"/>
      <c r="H25" s="265">
        <v>23000.0</v>
      </c>
    </row>
    <row r="26" ht="14.25" customHeight="1">
      <c r="A26" s="272">
        <v>46237.0</v>
      </c>
      <c r="B26" s="265">
        <v>23000.0</v>
      </c>
      <c r="C26" s="265"/>
      <c r="D26" s="265">
        <f t="shared" si="1"/>
        <v>23000</v>
      </c>
      <c r="E26" s="265">
        <f t="shared" si="2"/>
        <v>332000</v>
      </c>
      <c r="F26" s="10"/>
      <c r="G26" s="10"/>
      <c r="H26" s="265">
        <v>23000.0</v>
      </c>
    </row>
    <row r="27" ht="14.25" customHeight="1">
      <c r="A27" s="272">
        <v>46238.0</v>
      </c>
      <c r="B27" s="265">
        <v>23000.0</v>
      </c>
      <c r="C27" s="265"/>
      <c r="D27" s="265">
        <f t="shared" si="1"/>
        <v>23000</v>
      </c>
      <c r="E27" s="265">
        <f t="shared" si="2"/>
        <v>309000</v>
      </c>
      <c r="F27" s="10"/>
      <c r="G27" s="10"/>
      <c r="H27" s="265">
        <v>23000.0</v>
      </c>
    </row>
    <row r="28" ht="14.25" customHeight="1">
      <c r="A28" s="272">
        <v>46239.0</v>
      </c>
      <c r="B28" s="265">
        <v>23000.0</v>
      </c>
      <c r="C28" s="265"/>
      <c r="D28" s="265">
        <f t="shared" si="1"/>
        <v>23000</v>
      </c>
      <c r="E28" s="265">
        <f t="shared" si="2"/>
        <v>286000</v>
      </c>
      <c r="F28" s="10"/>
      <c r="G28" s="10"/>
      <c r="H28" s="265">
        <v>23000.0</v>
      </c>
    </row>
    <row r="29" ht="14.25" customHeight="1">
      <c r="A29" s="272">
        <v>46240.0</v>
      </c>
      <c r="B29" s="265">
        <v>23000.0</v>
      </c>
      <c r="C29" s="265"/>
      <c r="D29" s="265">
        <f t="shared" si="1"/>
        <v>23000</v>
      </c>
      <c r="E29" s="265">
        <f t="shared" si="2"/>
        <v>263000</v>
      </c>
      <c r="F29" s="10"/>
      <c r="G29" s="10"/>
      <c r="H29" s="265">
        <v>23000.0</v>
      </c>
    </row>
    <row r="30" ht="14.25" customHeight="1">
      <c r="A30" s="272">
        <v>46241.0</v>
      </c>
      <c r="B30" s="265">
        <v>21000.0</v>
      </c>
      <c r="C30" s="265"/>
      <c r="D30" s="265">
        <f t="shared" si="1"/>
        <v>21000</v>
      </c>
      <c r="E30" s="265">
        <f t="shared" si="2"/>
        <v>242000</v>
      </c>
      <c r="F30" s="10"/>
      <c r="G30" s="10"/>
      <c r="H30" s="265">
        <v>21000.0</v>
      </c>
    </row>
    <row r="31" ht="14.25" customHeight="1">
      <c r="A31" s="267" t="s">
        <v>165</v>
      </c>
      <c r="B31" s="268">
        <f t="shared" ref="B31:D31" si="3">SUM(B7:B30)</f>
        <v>550000</v>
      </c>
      <c r="C31" s="268">
        <f t="shared" si="3"/>
        <v>22000</v>
      </c>
      <c r="D31" s="268">
        <f t="shared" si="3"/>
        <v>572000</v>
      </c>
      <c r="E31" s="268"/>
      <c r="F31" s="269"/>
      <c r="G31" s="273">
        <f t="shared" ref="G31:H31" si="4">SUM(G7:G30)</f>
        <v>22000</v>
      </c>
      <c r="H31" s="273">
        <f t="shared" si="4"/>
        <v>550000</v>
      </c>
      <c r="I31" s="274">
        <f>G31+H31</f>
        <v>572000</v>
      </c>
      <c r="J31" s="271">
        <f>D31-I31</f>
        <v>0</v>
      </c>
    </row>
    <row r="32" ht="14.25" customHeight="1"/>
    <row r="33" ht="14.25" customHeight="1">
      <c r="I33" s="275" t="s">
        <v>272</v>
      </c>
      <c r="J33" s="276"/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43"/>
    <col customWidth="1" min="3" max="3" width="10.57"/>
    <col customWidth="1" min="4" max="4" width="12.0"/>
    <col customWidth="1" min="5" max="5" width="9.71"/>
    <col customWidth="1" min="6" max="6" width="15.43"/>
    <col customWidth="1" min="7" max="7" width="13.43"/>
    <col customWidth="1" min="8" max="8" width="15.29"/>
    <col customWidth="1" min="9" max="9" width="10.71"/>
    <col customWidth="1" min="10" max="10" width="12.71"/>
    <col customWidth="1" min="11" max="11" width="8.0"/>
    <col customWidth="1" min="12" max="12" width="9.57"/>
    <col customWidth="1" min="13" max="13" width="11.14"/>
    <col customWidth="1" min="14" max="15" width="8.0"/>
    <col customWidth="1" min="16" max="16" width="12.57"/>
    <col customWidth="1" min="17" max="26" width="8.0"/>
  </cols>
  <sheetData>
    <row r="1" ht="14.25" customHeight="1">
      <c r="A1" s="111" t="s">
        <v>95</v>
      </c>
      <c r="B1" s="111"/>
      <c r="C1" s="111"/>
      <c r="D1" s="111"/>
      <c r="E1" s="111"/>
      <c r="F1" s="111"/>
    </row>
    <row r="2" ht="14.25" customHeight="1">
      <c r="A2" s="111" t="s">
        <v>96</v>
      </c>
      <c r="B2" s="111"/>
      <c r="C2" s="111"/>
      <c r="D2" s="111"/>
      <c r="E2" s="111"/>
      <c r="F2" s="111"/>
    </row>
    <row r="3" ht="14.25" customHeight="1">
      <c r="A3" s="111" t="s">
        <v>97</v>
      </c>
      <c r="B3" s="111"/>
      <c r="C3" s="111"/>
      <c r="D3" s="111"/>
      <c r="E3" s="111"/>
      <c r="F3" s="111"/>
    </row>
    <row r="4" ht="14.25" customHeight="1">
      <c r="A4" s="111" t="s">
        <v>98</v>
      </c>
      <c r="B4" s="111"/>
      <c r="C4" s="111"/>
      <c r="D4" s="111"/>
      <c r="E4" s="111"/>
      <c r="F4" s="111"/>
    </row>
    <row r="5" ht="15.0" customHeight="1">
      <c r="A5" s="111" t="s">
        <v>99</v>
      </c>
      <c r="B5" s="111"/>
      <c r="C5" s="111"/>
      <c r="D5" s="111"/>
      <c r="E5" s="111"/>
      <c r="F5" s="111"/>
    </row>
    <row r="6" ht="75.0" customHeight="1">
      <c r="A6" s="112" t="s">
        <v>100</v>
      </c>
      <c r="B6" s="112" t="s">
        <v>101</v>
      </c>
      <c r="C6" s="113" t="s">
        <v>102</v>
      </c>
      <c r="D6" s="113" t="s">
        <v>103</v>
      </c>
      <c r="E6" s="113" t="s">
        <v>104</v>
      </c>
      <c r="F6" s="112" t="s">
        <v>105</v>
      </c>
      <c r="G6" s="114" t="s">
        <v>106</v>
      </c>
      <c r="H6" s="114" t="s">
        <v>107</v>
      </c>
    </row>
    <row r="7" ht="14.25" customHeight="1">
      <c r="A7" s="115">
        <v>45293.0</v>
      </c>
      <c r="B7" s="7">
        <v>41700.0</v>
      </c>
      <c r="C7" s="7">
        <v>10000.0</v>
      </c>
      <c r="D7" s="7">
        <f t="shared" ref="D7:D18" si="1">B7+C7</f>
        <v>51700</v>
      </c>
      <c r="E7" s="7">
        <f>620000-D7</f>
        <v>568300</v>
      </c>
      <c r="F7" s="5"/>
      <c r="G7" s="6">
        <v>10000.0</v>
      </c>
      <c r="H7" s="6">
        <v>42000.0</v>
      </c>
    </row>
    <row r="8" ht="14.25" customHeight="1">
      <c r="A8" s="115">
        <v>45294.0</v>
      </c>
      <c r="B8" s="7">
        <v>41700.0</v>
      </c>
      <c r="C8" s="7">
        <v>10000.0</v>
      </c>
      <c r="D8" s="7">
        <f t="shared" si="1"/>
        <v>51700</v>
      </c>
      <c r="E8" s="7">
        <f t="shared" ref="E8:E18" si="2">E7-D8</f>
        <v>516600</v>
      </c>
      <c r="F8" s="5"/>
      <c r="G8" s="6">
        <v>10000.0</v>
      </c>
      <c r="H8" s="6">
        <v>42000.0</v>
      </c>
    </row>
    <row r="9" ht="14.25" customHeight="1">
      <c r="A9" s="115">
        <v>45295.0</v>
      </c>
      <c r="B9" s="7">
        <v>41700.0</v>
      </c>
      <c r="C9" s="7">
        <v>10000.0</v>
      </c>
      <c r="D9" s="7">
        <f t="shared" si="1"/>
        <v>51700</v>
      </c>
      <c r="E9" s="7">
        <f t="shared" si="2"/>
        <v>464900</v>
      </c>
      <c r="F9" s="5"/>
      <c r="G9" s="6">
        <v>10000.0</v>
      </c>
      <c r="H9" s="6">
        <v>42000.0</v>
      </c>
    </row>
    <row r="10" ht="14.25" customHeight="1">
      <c r="A10" s="115">
        <v>45296.0</v>
      </c>
      <c r="B10" s="7">
        <v>41700.0</v>
      </c>
      <c r="C10" s="7">
        <v>10000.0</v>
      </c>
      <c r="D10" s="7">
        <f t="shared" si="1"/>
        <v>51700</v>
      </c>
      <c r="E10" s="7">
        <f t="shared" si="2"/>
        <v>413200</v>
      </c>
      <c r="F10" s="11" t="s">
        <v>108</v>
      </c>
      <c r="G10" s="6">
        <v>10000.0</v>
      </c>
      <c r="H10" s="6">
        <v>42000.0</v>
      </c>
    </row>
    <row r="11" ht="14.25" customHeight="1">
      <c r="A11" s="115">
        <v>45297.0</v>
      </c>
      <c r="B11" s="7">
        <v>41700.0</v>
      </c>
      <c r="C11" s="7">
        <v>10000.0</v>
      </c>
      <c r="D11" s="7">
        <f t="shared" si="1"/>
        <v>51700</v>
      </c>
      <c r="E11" s="7">
        <f t="shared" si="2"/>
        <v>361500</v>
      </c>
      <c r="F11" s="5"/>
      <c r="G11" s="6">
        <v>10000.0</v>
      </c>
      <c r="H11" s="6">
        <v>42000.0</v>
      </c>
    </row>
    <row r="12" ht="14.25" customHeight="1">
      <c r="A12" s="115">
        <v>45298.0</v>
      </c>
      <c r="B12" s="7">
        <v>41700.0</v>
      </c>
      <c r="C12" s="7">
        <v>10000.0</v>
      </c>
      <c r="D12" s="7">
        <f t="shared" si="1"/>
        <v>51700</v>
      </c>
      <c r="E12" s="7">
        <f t="shared" si="2"/>
        <v>309800</v>
      </c>
      <c r="F12" s="5"/>
      <c r="G12" s="6">
        <v>10000.0</v>
      </c>
      <c r="H12" s="6">
        <v>42000.0</v>
      </c>
    </row>
    <row r="13" ht="14.25" customHeight="1">
      <c r="A13" s="115">
        <v>45299.0</v>
      </c>
      <c r="B13" s="7">
        <v>41700.0</v>
      </c>
      <c r="C13" s="7">
        <v>10000.0</v>
      </c>
      <c r="D13" s="7">
        <f t="shared" si="1"/>
        <v>51700</v>
      </c>
      <c r="E13" s="7">
        <f t="shared" si="2"/>
        <v>258100</v>
      </c>
      <c r="F13" s="5"/>
      <c r="G13" s="6">
        <v>10000.0</v>
      </c>
      <c r="H13" s="6">
        <v>42000.0</v>
      </c>
    </row>
    <row r="14" ht="14.25" customHeight="1">
      <c r="A14" s="115">
        <v>45300.0</v>
      </c>
      <c r="B14" s="7">
        <v>41700.0</v>
      </c>
      <c r="C14" s="7">
        <v>10000.0</v>
      </c>
      <c r="D14" s="7">
        <f t="shared" si="1"/>
        <v>51700</v>
      </c>
      <c r="E14" s="7">
        <f t="shared" si="2"/>
        <v>206400</v>
      </c>
      <c r="F14" s="5"/>
      <c r="G14" s="6">
        <v>10000.0</v>
      </c>
      <c r="H14" s="6">
        <v>42000.0</v>
      </c>
    </row>
    <row r="15" ht="14.25" customHeight="1">
      <c r="A15" s="115">
        <v>45301.0</v>
      </c>
      <c r="B15" s="7">
        <v>41700.0</v>
      </c>
      <c r="C15" s="7">
        <v>10000.0</v>
      </c>
      <c r="D15" s="7">
        <f t="shared" si="1"/>
        <v>51700</v>
      </c>
      <c r="E15" s="7">
        <f t="shared" si="2"/>
        <v>154700</v>
      </c>
      <c r="F15" s="5"/>
      <c r="G15" s="6">
        <v>10000.0</v>
      </c>
      <c r="H15" s="6">
        <v>42000.0</v>
      </c>
    </row>
    <row r="16" ht="14.25" customHeight="1">
      <c r="A16" s="115">
        <v>45302.0</v>
      </c>
      <c r="B16" s="7">
        <v>41700.0</v>
      </c>
      <c r="C16" s="7">
        <v>10000.0</v>
      </c>
      <c r="D16" s="7">
        <f t="shared" si="1"/>
        <v>51700</v>
      </c>
      <c r="E16" s="7">
        <f t="shared" si="2"/>
        <v>103000</v>
      </c>
      <c r="F16" s="5"/>
      <c r="G16" s="6">
        <v>10000.0</v>
      </c>
      <c r="H16" s="6">
        <v>42000.0</v>
      </c>
    </row>
    <row r="17" ht="14.25" customHeight="1">
      <c r="A17" s="115">
        <v>45303.0</v>
      </c>
      <c r="B17" s="7">
        <v>41700.0</v>
      </c>
      <c r="C17" s="7">
        <v>10000.0</v>
      </c>
      <c r="D17" s="7">
        <f t="shared" si="1"/>
        <v>51700</v>
      </c>
      <c r="E17" s="7">
        <f t="shared" si="2"/>
        <v>51300</v>
      </c>
      <c r="F17" s="5"/>
      <c r="G17" s="7"/>
      <c r="H17" s="5"/>
      <c r="M17" s="116"/>
    </row>
    <row r="18" ht="14.25" customHeight="1">
      <c r="A18" s="115">
        <v>45658.0</v>
      </c>
      <c r="B18" s="7">
        <v>41300.0</v>
      </c>
      <c r="C18" s="7">
        <v>10000.0</v>
      </c>
      <c r="D18" s="7">
        <f t="shared" si="1"/>
        <v>51300</v>
      </c>
      <c r="E18" s="7">
        <f t="shared" si="2"/>
        <v>0</v>
      </c>
      <c r="F18" s="5"/>
      <c r="G18" s="7"/>
      <c r="H18" s="5"/>
      <c r="J18" s="59" t="s">
        <v>109</v>
      </c>
      <c r="M18" s="116"/>
      <c r="P18" s="116"/>
    </row>
    <row r="19" ht="14.25" customHeight="1">
      <c r="A19" s="117"/>
      <c r="B19" s="118">
        <f t="shared" ref="B19:D19" si="3">SUM(B7:B18)</f>
        <v>500000</v>
      </c>
      <c r="C19" s="118">
        <f t="shared" si="3"/>
        <v>120000</v>
      </c>
      <c r="D19" s="118">
        <f t="shared" si="3"/>
        <v>620000</v>
      </c>
      <c r="E19" s="118"/>
      <c r="F19" s="10"/>
      <c r="G19" s="119">
        <f t="shared" ref="G19:H19" si="4">SUM(G7:G18)</f>
        <v>100000</v>
      </c>
      <c r="H19" s="119">
        <f t="shared" si="4"/>
        <v>420000</v>
      </c>
      <c r="I19" s="120">
        <f>G19+H19</f>
        <v>520000</v>
      </c>
      <c r="J19" s="121">
        <f>D19-I19</f>
        <v>100000</v>
      </c>
    </row>
    <row r="20" ht="14.25" customHeight="1"/>
    <row r="21" ht="14.25" customHeight="1">
      <c r="B21" s="116"/>
      <c r="C21" s="116"/>
    </row>
    <row r="22" ht="14.25" customHeight="1">
      <c r="B22" s="122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8.0"/>
    <col customWidth="1" min="4" max="4" width="10.43"/>
    <col customWidth="1" min="5" max="5" width="15.14"/>
    <col customWidth="1" min="6" max="6" width="18.43"/>
    <col customWidth="1" min="7" max="7" width="12.86"/>
    <col customWidth="1" min="8" max="8" width="15.86"/>
    <col customWidth="1" min="9" max="9" width="8.0"/>
    <col customWidth="1" min="10" max="10" width="10.43"/>
    <col customWidth="1" min="11" max="26" width="8.0"/>
  </cols>
  <sheetData>
    <row r="1" ht="14.25" customHeight="1"/>
    <row r="2" ht="14.25" customHeight="1">
      <c r="A2" s="182" t="s">
        <v>95</v>
      </c>
      <c r="E2" s="183"/>
      <c r="F2" s="183"/>
      <c r="G2" s="126"/>
      <c r="H2" s="126"/>
    </row>
    <row r="3" ht="14.25" customHeight="1">
      <c r="A3" s="182" t="s">
        <v>96</v>
      </c>
      <c r="F3" s="183"/>
      <c r="G3" s="126"/>
      <c r="H3" s="126"/>
    </row>
    <row r="4" ht="14.25" customHeight="1">
      <c r="A4" s="182" t="s">
        <v>273</v>
      </c>
      <c r="E4" s="183"/>
      <c r="F4" s="183"/>
      <c r="G4" s="126"/>
      <c r="H4" s="126"/>
    </row>
    <row r="5" ht="14.25" customHeight="1">
      <c r="A5" s="182" t="s">
        <v>113</v>
      </c>
      <c r="C5" s="183"/>
      <c r="D5" s="183"/>
      <c r="E5" s="183"/>
      <c r="F5" s="183"/>
      <c r="G5" s="126"/>
      <c r="H5" s="126"/>
    </row>
    <row r="6" ht="14.25" customHeight="1">
      <c r="A6" s="182" t="s">
        <v>274</v>
      </c>
      <c r="D6" s="183"/>
      <c r="E6" s="183"/>
      <c r="F6" s="183"/>
      <c r="G6" s="126"/>
      <c r="H6" s="126"/>
    </row>
    <row r="7" ht="14.25" customHeight="1">
      <c r="A7" s="184" t="s">
        <v>100</v>
      </c>
      <c r="B7" s="131" t="s">
        <v>101</v>
      </c>
      <c r="C7" s="131" t="s">
        <v>102</v>
      </c>
      <c r="D7" s="131" t="s">
        <v>103</v>
      </c>
      <c r="E7" s="131" t="s">
        <v>115</v>
      </c>
      <c r="F7" s="131" t="s">
        <v>105</v>
      </c>
      <c r="G7" s="185" t="s">
        <v>106</v>
      </c>
      <c r="H7" s="132" t="s">
        <v>107</v>
      </c>
    </row>
    <row r="8" ht="14.25" customHeight="1">
      <c r="A8" s="277">
        <v>45293.0</v>
      </c>
      <c r="B8" s="151">
        <v>67000.0</v>
      </c>
      <c r="C8" s="151">
        <v>8000.0</v>
      </c>
      <c r="D8" s="151">
        <v>75000.0</v>
      </c>
      <c r="E8" s="151">
        <v>373000.0</v>
      </c>
      <c r="F8" s="188" t="s">
        <v>275</v>
      </c>
      <c r="G8" s="155">
        <v>8000.0</v>
      </c>
      <c r="H8" s="155">
        <v>67000.0</v>
      </c>
    </row>
    <row r="9" ht="14.25" customHeight="1">
      <c r="A9" s="191">
        <v>45294.0</v>
      </c>
      <c r="B9" s="155">
        <v>67000.0</v>
      </c>
      <c r="C9" s="155">
        <v>8000.0</v>
      </c>
      <c r="D9" s="155">
        <v>75000.0</v>
      </c>
      <c r="E9" s="155">
        <v>298000.0</v>
      </c>
      <c r="F9" s="190" t="s">
        <v>275</v>
      </c>
      <c r="G9" s="155">
        <v>8000.0</v>
      </c>
      <c r="H9" s="155">
        <v>92000.0</v>
      </c>
    </row>
    <row r="10" ht="14.25" customHeight="1">
      <c r="A10" s="191">
        <v>45295.0</v>
      </c>
      <c r="B10" s="155">
        <v>67000.0</v>
      </c>
      <c r="C10" s="155">
        <v>8000.0</v>
      </c>
      <c r="D10" s="155">
        <v>75000.0</v>
      </c>
      <c r="E10" s="278">
        <v>223000.0</v>
      </c>
      <c r="F10" s="190" t="s">
        <v>275</v>
      </c>
      <c r="G10" s="155">
        <v>8000.0</v>
      </c>
      <c r="H10" s="155">
        <v>92000.0</v>
      </c>
    </row>
    <row r="11" ht="14.25" customHeight="1">
      <c r="A11" s="191">
        <v>45296.0</v>
      </c>
      <c r="B11" s="155">
        <v>67000.0</v>
      </c>
      <c r="C11" s="155">
        <v>8000.0</v>
      </c>
      <c r="D11" s="155">
        <v>75000.0</v>
      </c>
      <c r="E11" s="155">
        <v>148000.0</v>
      </c>
      <c r="F11" s="226"/>
      <c r="G11" s="226"/>
      <c r="H11" s="226"/>
    </row>
    <row r="12" ht="14.25" customHeight="1">
      <c r="A12" s="191">
        <v>45297.0</v>
      </c>
      <c r="B12" s="155">
        <v>67000.0</v>
      </c>
      <c r="C12" s="155">
        <v>8000.0</v>
      </c>
      <c r="D12" s="155">
        <v>75000.0</v>
      </c>
      <c r="E12" s="155">
        <v>73000.0</v>
      </c>
      <c r="F12" s="226"/>
      <c r="G12" s="226"/>
      <c r="H12" s="226"/>
    </row>
    <row r="13" ht="14.25" customHeight="1">
      <c r="A13" s="191">
        <v>45298.0</v>
      </c>
      <c r="B13" s="155">
        <v>65000.0</v>
      </c>
      <c r="C13" s="155">
        <v>8000.0</v>
      </c>
      <c r="D13" s="155">
        <v>73000.0</v>
      </c>
      <c r="E13" s="190" t="s">
        <v>121</v>
      </c>
      <c r="F13" s="226"/>
      <c r="G13" s="226"/>
      <c r="H13" s="226"/>
    </row>
    <row r="14" ht="14.25" customHeight="1">
      <c r="A14" s="126"/>
      <c r="B14" s="194">
        <v>400000.0</v>
      </c>
      <c r="C14" s="194">
        <v>48000.0</v>
      </c>
      <c r="D14" s="194">
        <v>448000.0</v>
      </c>
      <c r="E14" s="195"/>
      <c r="F14" s="126"/>
      <c r="G14" s="196">
        <v>24000.0</v>
      </c>
      <c r="H14" s="197">
        <v>251000.0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</sheetData>
  <mergeCells count="5">
    <mergeCell ref="A2:D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3" width="8.0"/>
    <col customWidth="1" min="4" max="4" width="10.43"/>
    <col customWidth="1" min="5" max="5" width="12.43"/>
    <col customWidth="1" min="6" max="6" width="18.43"/>
    <col customWidth="1" min="7" max="7" width="12.86"/>
    <col customWidth="1" min="8" max="8" width="14.86"/>
    <col customWidth="1" min="9" max="9" width="13.71"/>
    <col customWidth="1" min="10" max="10" width="14.71"/>
    <col customWidth="1" min="11" max="26" width="8.0"/>
  </cols>
  <sheetData>
    <row r="1" ht="14.25" customHeight="1">
      <c r="A1" s="182" t="s">
        <v>276</v>
      </c>
      <c r="D1" s="183"/>
      <c r="E1" s="183"/>
      <c r="F1" s="183"/>
      <c r="G1" s="126"/>
      <c r="H1" s="126"/>
      <c r="I1" s="126"/>
      <c r="J1" s="126"/>
    </row>
    <row r="2" ht="14.25" customHeight="1">
      <c r="A2" s="182" t="s">
        <v>96</v>
      </c>
      <c r="F2" s="183"/>
      <c r="G2" s="126"/>
      <c r="H2" s="126"/>
      <c r="I2" s="126"/>
      <c r="J2" s="126"/>
    </row>
    <row r="3" ht="14.25" customHeight="1">
      <c r="A3" s="182" t="s">
        <v>277</v>
      </c>
      <c r="E3" s="183"/>
      <c r="F3" s="183"/>
      <c r="G3" s="126"/>
      <c r="H3" s="126"/>
      <c r="I3" s="126"/>
      <c r="J3" s="126"/>
    </row>
    <row r="4" ht="14.25" customHeight="1">
      <c r="A4" s="182" t="s">
        <v>278</v>
      </c>
      <c r="C4" s="183"/>
      <c r="D4" s="183"/>
      <c r="E4" s="183"/>
      <c r="F4" s="183"/>
      <c r="G4" s="126"/>
      <c r="H4" s="126"/>
      <c r="I4" s="126"/>
      <c r="J4" s="126"/>
    </row>
    <row r="5" ht="14.25" customHeight="1">
      <c r="A5" s="182" t="s">
        <v>274</v>
      </c>
      <c r="D5" s="183"/>
      <c r="E5" s="183"/>
      <c r="F5" s="183"/>
      <c r="G5" s="126"/>
      <c r="H5" s="126"/>
      <c r="I5" s="126"/>
      <c r="J5" s="126"/>
    </row>
    <row r="6" ht="14.25" customHeight="1">
      <c r="A6" s="184" t="s">
        <v>100</v>
      </c>
      <c r="B6" s="131" t="s">
        <v>101</v>
      </c>
      <c r="C6" s="131" t="s">
        <v>102</v>
      </c>
      <c r="D6" s="131" t="s">
        <v>103</v>
      </c>
      <c r="E6" s="131" t="s">
        <v>115</v>
      </c>
      <c r="F6" s="131" t="s">
        <v>105</v>
      </c>
      <c r="G6" s="185" t="s">
        <v>106</v>
      </c>
      <c r="H6" s="132" t="s">
        <v>107</v>
      </c>
      <c r="I6" s="279" t="s">
        <v>279</v>
      </c>
      <c r="J6" s="126"/>
    </row>
    <row r="7" ht="14.25" customHeight="1">
      <c r="A7" s="277">
        <v>45324.0</v>
      </c>
      <c r="B7" s="151">
        <v>17000.0</v>
      </c>
      <c r="C7" s="151">
        <v>2000.0</v>
      </c>
      <c r="D7" s="151">
        <v>19000.0</v>
      </c>
      <c r="E7" s="151">
        <v>93000.0</v>
      </c>
      <c r="F7" s="225"/>
      <c r="G7" s="155">
        <v>2000.0</v>
      </c>
      <c r="H7" s="155">
        <v>17000.0</v>
      </c>
      <c r="I7" s="199">
        <v>950.0</v>
      </c>
      <c r="J7" s="126"/>
    </row>
    <row r="8" ht="14.25" customHeight="1">
      <c r="A8" s="191">
        <v>45325.0</v>
      </c>
      <c r="B8" s="155">
        <v>17000.0</v>
      </c>
      <c r="C8" s="155">
        <v>2000.0</v>
      </c>
      <c r="D8" s="155">
        <v>19000.0</v>
      </c>
      <c r="E8" s="155">
        <v>74000.0</v>
      </c>
      <c r="F8" s="226"/>
      <c r="G8" s="155">
        <v>2000.0</v>
      </c>
      <c r="H8" s="155">
        <v>17000.0</v>
      </c>
      <c r="I8" s="126"/>
      <c r="J8" s="126"/>
    </row>
    <row r="9" ht="14.25" customHeight="1">
      <c r="A9" s="191">
        <v>45326.0</v>
      </c>
      <c r="B9" s="155">
        <v>17000.0</v>
      </c>
      <c r="C9" s="155">
        <v>2000.0</v>
      </c>
      <c r="D9" s="155">
        <v>19000.0</v>
      </c>
      <c r="E9" s="155">
        <v>55000.0</v>
      </c>
      <c r="F9" s="226"/>
      <c r="G9" s="155">
        <v>2000.0</v>
      </c>
      <c r="H9" s="155">
        <v>17000.0</v>
      </c>
      <c r="I9" s="126"/>
      <c r="J9" s="126"/>
    </row>
    <row r="10" ht="14.25" customHeight="1">
      <c r="A10" s="191">
        <v>45327.0</v>
      </c>
      <c r="B10" s="155">
        <v>17000.0</v>
      </c>
      <c r="C10" s="155">
        <v>2000.0</v>
      </c>
      <c r="D10" s="155">
        <v>19000.0</v>
      </c>
      <c r="E10" s="155">
        <v>36000.0</v>
      </c>
      <c r="F10" s="226"/>
      <c r="G10" s="155">
        <v>2000.0</v>
      </c>
      <c r="H10" s="155">
        <v>17000.0</v>
      </c>
      <c r="I10" s="126"/>
      <c r="J10" s="126"/>
    </row>
    <row r="11" ht="14.25" customHeight="1">
      <c r="A11" s="191">
        <v>45328.0</v>
      </c>
      <c r="B11" s="155">
        <v>17000.0</v>
      </c>
      <c r="C11" s="155">
        <v>2000.0</v>
      </c>
      <c r="D11" s="155">
        <v>19000.0</v>
      </c>
      <c r="E11" s="155">
        <v>17000.0</v>
      </c>
      <c r="F11" s="226"/>
      <c r="G11" s="155">
        <v>2000.0</v>
      </c>
      <c r="H11" s="155">
        <v>17000.0</v>
      </c>
      <c r="I11" s="126"/>
      <c r="J11" s="126"/>
    </row>
    <row r="12" ht="14.25" customHeight="1">
      <c r="A12" s="191">
        <v>45329.0</v>
      </c>
      <c r="B12" s="155">
        <v>15000.0</v>
      </c>
      <c r="C12" s="155">
        <v>2000.0</v>
      </c>
      <c r="D12" s="155">
        <v>17000.0</v>
      </c>
      <c r="E12" s="190" t="s">
        <v>121</v>
      </c>
      <c r="F12" s="226"/>
      <c r="G12" s="190">
        <v>2000.0</v>
      </c>
      <c r="H12" s="190">
        <v>15000.0</v>
      </c>
      <c r="I12" s="280" t="s">
        <v>280</v>
      </c>
      <c r="J12" s="126"/>
    </row>
    <row r="13" ht="14.25" customHeight="1">
      <c r="A13" s="126"/>
      <c r="B13" s="194">
        <v>100000.0</v>
      </c>
      <c r="C13" s="194">
        <v>12000.0</v>
      </c>
      <c r="D13" s="194">
        <v>112000.0</v>
      </c>
      <c r="E13" s="195"/>
      <c r="F13" s="126"/>
      <c r="G13" s="198">
        <f t="shared" ref="G13:H13" si="1">SUM(G7:G12)</f>
        <v>12000</v>
      </c>
      <c r="H13" s="198">
        <f t="shared" si="1"/>
        <v>100000</v>
      </c>
      <c r="I13" s="281">
        <f>H13+G13</f>
        <v>112000</v>
      </c>
      <c r="J13" s="282">
        <f>D13-I13</f>
        <v>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2.86"/>
    <col customWidth="1" min="4" max="4" width="12.29"/>
    <col customWidth="1" min="6" max="6" width="12.43"/>
    <col customWidth="1" min="7" max="7" width="8.86"/>
    <col customWidth="1" min="8" max="8" width="15.43"/>
    <col customWidth="1" min="9" max="9" width="11.43"/>
  </cols>
  <sheetData>
    <row r="1">
      <c r="A1" s="182" t="s">
        <v>281</v>
      </c>
      <c r="B1" s="182"/>
      <c r="C1" s="182"/>
      <c r="D1" s="183"/>
      <c r="E1" s="183"/>
      <c r="F1" s="183"/>
      <c r="G1" s="126"/>
      <c r="H1" s="126"/>
    </row>
    <row r="2">
      <c r="A2" s="182" t="s">
        <v>282</v>
      </c>
      <c r="D2" s="183"/>
      <c r="E2" s="183"/>
      <c r="F2" s="183"/>
      <c r="G2" s="126"/>
      <c r="H2" s="126"/>
    </row>
    <row r="3">
      <c r="A3" s="182" t="s">
        <v>283</v>
      </c>
      <c r="F3" s="183"/>
      <c r="G3" s="126"/>
      <c r="H3" s="126"/>
    </row>
    <row r="4">
      <c r="A4" s="182" t="s">
        <v>284</v>
      </c>
      <c r="E4" s="183"/>
      <c r="F4" s="183"/>
      <c r="G4" s="126"/>
      <c r="H4" s="126"/>
    </row>
    <row r="5">
      <c r="A5" s="182" t="s">
        <v>285</v>
      </c>
      <c r="C5" s="183"/>
      <c r="D5" s="183"/>
      <c r="E5" s="183"/>
      <c r="F5" s="183"/>
      <c r="G5" s="126"/>
      <c r="H5" s="126"/>
    </row>
    <row r="6">
      <c r="A6" s="182" t="s">
        <v>99</v>
      </c>
      <c r="D6" s="183"/>
      <c r="E6" s="183"/>
      <c r="F6" s="183"/>
      <c r="G6" s="126"/>
      <c r="H6" s="126"/>
    </row>
    <row r="7">
      <c r="A7" s="184" t="s">
        <v>100</v>
      </c>
      <c r="B7" s="131" t="s">
        <v>101</v>
      </c>
      <c r="C7" s="131" t="s">
        <v>102</v>
      </c>
      <c r="D7" s="131" t="s">
        <v>103</v>
      </c>
      <c r="E7" s="131" t="s">
        <v>115</v>
      </c>
      <c r="F7" s="131" t="s">
        <v>105</v>
      </c>
      <c r="G7" s="185" t="s">
        <v>106</v>
      </c>
      <c r="H7" s="132" t="s">
        <v>107</v>
      </c>
    </row>
    <row r="8">
      <c r="A8" s="187" t="s">
        <v>286</v>
      </c>
      <c r="B8" s="283">
        <v>53835.0</v>
      </c>
      <c r="C8" s="283">
        <v>12920.0</v>
      </c>
      <c r="D8" s="283">
        <f t="shared" ref="D8:D19" si="1">B8+C8</f>
        <v>66755</v>
      </c>
      <c r="E8" s="283">
        <f>801040-D8</f>
        <v>734285</v>
      </c>
      <c r="F8" s="284"/>
      <c r="G8" s="283">
        <v>12920.0</v>
      </c>
      <c r="H8" s="283">
        <f t="shared" ref="H8:H9" si="2">68000-G8</f>
        <v>55080</v>
      </c>
    </row>
    <row r="9">
      <c r="A9" s="189" t="s">
        <v>287</v>
      </c>
      <c r="B9" s="283">
        <v>53835.0</v>
      </c>
      <c r="C9" s="283">
        <v>12920.0</v>
      </c>
      <c r="D9" s="283">
        <f t="shared" si="1"/>
        <v>66755</v>
      </c>
      <c r="E9" s="283">
        <f t="shared" ref="E9:E19" si="3">E8-D9</f>
        <v>667530</v>
      </c>
      <c r="F9" s="284"/>
      <c r="G9" s="283">
        <v>12920.0</v>
      </c>
      <c r="H9" s="283">
        <f t="shared" si="2"/>
        <v>55080</v>
      </c>
    </row>
    <row r="10">
      <c r="A10" s="189" t="s">
        <v>220</v>
      </c>
      <c r="B10" s="283">
        <v>53835.0</v>
      </c>
      <c r="C10" s="283">
        <v>12920.0</v>
      </c>
      <c r="D10" s="283">
        <f t="shared" si="1"/>
        <v>66755</v>
      </c>
      <c r="E10" s="283">
        <f t="shared" si="3"/>
        <v>600775</v>
      </c>
      <c r="F10" s="284"/>
      <c r="G10" s="283">
        <v>12920.0</v>
      </c>
      <c r="H10" s="283">
        <f t="shared" ref="H10:H11" si="4">10000+43835</f>
        <v>53835</v>
      </c>
      <c r="J10" s="285"/>
    </row>
    <row r="11">
      <c r="A11" s="189" t="s">
        <v>178</v>
      </c>
      <c r="B11" s="283">
        <v>53835.0</v>
      </c>
      <c r="C11" s="283">
        <v>12920.0</v>
      </c>
      <c r="D11" s="283">
        <f t="shared" si="1"/>
        <v>66755</v>
      </c>
      <c r="E11" s="283">
        <f t="shared" si="3"/>
        <v>534020</v>
      </c>
      <c r="F11" s="284"/>
      <c r="G11" s="283">
        <v>12920.0</v>
      </c>
      <c r="H11" s="283">
        <f t="shared" si="4"/>
        <v>53835</v>
      </c>
      <c r="J11" s="286"/>
    </row>
    <row r="12">
      <c r="A12" s="189" t="s">
        <v>60</v>
      </c>
      <c r="B12" s="283">
        <v>53835.0</v>
      </c>
      <c r="C12" s="283">
        <v>12920.0</v>
      </c>
      <c r="D12" s="283">
        <f t="shared" si="1"/>
        <v>66755</v>
      </c>
      <c r="E12" s="283">
        <f t="shared" si="3"/>
        <v>467265</v>
      </c>
      <c r="F12" s="284"/>
      <c r="G12" s="283"/>
      <c r="H12" s="283"/>
      <c r="J12" s="286"/>
    </row>
    <row r="13">
      <c r="A13" s="189" t="s">
        <v>180</v>
      </c>
      <c r="B13" s="283">
        <v>53835.0</v>
      </c>
      <c r="C13" s="283">
        <v>12920.0</v>
      </c>
      <c r="D13" s="283">
        <f t="shared" si="1"/>
        <v>66755</v>
      </c>
      <c r="E13" s="283">
        <f t="shared" si="3"/>
        <v>400510</v>
      </c>
      <c r="F13" s="284"/>
      <c r="G13" s="287"/>
      <c r="H13" s="287"/>
    </row>
    <row r="14">
      <c r="A14" s="189" t="s">
        <v>181</v>
      </c>
      <c r="B14" s="283">
        <v>53835.0</v>
      </c>
      <c r="C14" s="283">
        <v>12920.0</v>
      </c>
      <c r="D14" s="283">
        <f t="shared" si="1"/>
        <v>66755</v>
      </c>
      <c r="E14" s="283">
        <f t="shared" si="3"/>
        <v>333755</v>
      </c>
      <c r="F14" s="288"/>
      <c r="G14" s="289"/>
      <c r="H14" s="289"/>
    </row>
    <row r="15">
      <c r="A15" s="189" t="s">
        <v>182</v>
      </c>
      <c r="B15" s="283">
        <v>53835.0</v>
      </c>
      <c r="C15" s="283">
        <v>12920.0</v>
      </c>
      <c r="D15" s="283">
        <f t="shared" si="1"/>
        <v>66755</v>
      </c>
      <c r="E15" s="283">
        <f t="shared" si="3"/>
        <v>267000</v>
      </c>
      <c r="F15" s="10"/>
      <c r="G15" s="10"/>
      <c r="H15" s="10"/>
    </row>
    <row r="16">
      <c r="A16" s="189" t="s">
        <v>288</v>
      </c>
      <c r="B16" s="283">
        <v>53835.0</v>
      </c>
      <c r="C16" s="283">
        <v>12920.0</v>
      </c>
      <c r="D16" s="283">
        <f t="shared" si="1"/>
        <v>66755</v>
      </c>
      <c r="E16" s="283">
        <f t="shared" si="3"/>
        <v>200245</v>
      </c>
      <c r="F16" s="10"/>
      <c r="G16" s="10"/>
      <c r="H16" s="10"/>
    </row>
    <row r="17">
      <c r="A17" s="189" t="s">
        <v>289</v>
      </c>
      <c r="B17" s="283">
        <v>53835.0</v>
      </c>
      <c r="C17" s="283">
        <v>12920.0</v>
      </c>
      <c r="D17" s="283">
        <f t="shared" si="1"/>
        <v>66755</v>
      </c>
      <c r="E17" s="283">
        <f t="shared" si="3"/>
        <v>133490</v>
      </c>
      <c r="F17" s="10"/>
      <c r="G17" s="10"/>
      <c r="H17" s="10"/>
    </row>
    <row r="18">
      <c r="A18" s="189" t="s">
        <v>290</v>
      </c>
      <c r="B18" s="283">
        <v>53835.0</v>
      </c>
      <c r="C18" s="283">
        <v>12920.0</v>
      </c>
      <c r="D18" s="283">
        <f t="shared" si="1"/>
        <v>66755</v>
      </c>
      <c r="E18" s="283">
        <f t="shared" si="3"/>
        <v>66735</v>
      </c>
      <c r="F18" s="10"/>
      <c r="G18" s="10"/>
      <c r="H18" s="10"/>
    </row>
    <row r="19">
      <c r="A19" s="189" t="s">
        <v>291</v>
      </c>
      <c r="B19" s="283">
        <v>53815.0</v>
      </c>
      <c r="C19" s="283">
        <v>12920.0</v>
      </c>
      <c r="D19" s="283">
        <f t="shared" si="1"/>
        <v>66735</v>
      </c>
      <c r="E19" s="283">
        <f t="shared" si="3"/>
        <v>0</v>
      </c>
      <c r="F19" s="10"/>
      <c r="G19" s="10"/>
      <c r="H19" s="10"/>
    </row>
    <row r="20">
      <c r="G20" s="170">
        <f t="shared" ref="G20:H20" si="5">SUM(G8:G19)</f>
        <v>51680</v>
      </c>
      <c r="H20" s="170">
        <f t="shared" si="5"/>
        <v>217830</v>
      </c>
      <c r="I20" s="170">
        <f>G20+H20</f>
        <v>269510</v>
      </c>
      <c r="J20" s="290">
        <f>D21-I20</f>
        <v>531530</v>
      </c>
    </row>
    <row r="21">
      <c r="B21" s="291">
        <f t="shared" ref="B21:C21" si="6">SUM(B8:B20)</f>
        <v>646000</v>
      </c>
      <c r="C21" s="292">
        <f t="shared" si="6"/>
        <v>155040</v>
      </c>
      <c r="D21" s="293">
        <f>B21+C21</f>
        <v>801040</v>
      </c>
    </row>
  </sheetData>
  <mergeCells count="5">
    <mergeCell ref="A2:C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0.86"/>
    <col customWidth="1" min="3" max="3" width="9.29"/>
    <col customWidth="1" min="4" max="4" width="14.57"/>
    <col customWidth="1" min="5" max="6" width="16.57"/>
    <col customWidth="1" min="7" max="7" width="14.14"/>
    <col customWidth="1" min="8" max="8" width="16.71"/>
    <col customWidth="1" min="9" max="9" width="8.0"/>
    <col customWidth="1" min="10" max="10" width="9.86"/>
    <col customWidth="1" min="11" max="26" width="8.0"/>
  </cols>
  <sheetData>
    <row r="1" ht="14.25" customHeight="1">
      <c r="A1" s="184" t="s">
        <v>100</v>
      </c>
      <c r="B1" s="131" t="s">
        <v>101</v>
      </c>
      <c r="C1" s="131" t="s">
        <v>102</v>
      </c>
      <c r="D1" s="131" t="s">
        <v>103</v>
      </c>
      <c r="E1" s="131" t="s">
        <v>115</v>
      </c>
      <c r="F1" s="131" t="s">
        <v>105</v>
      </c>
      <c r="G1" s="185" t="s">
        <v>106</v>
      </c>
      <c r="H1" s="132" t="s">
        <v>107</v>
      </c>
      <c r="I1" s="126"/>
      <c r="J1" s="126"/>
    </row>
    <row r="2" ht="14.25" customHeight="1">
      <c r="A2" s="187" t="s">
        <v>292</v>
      </c>
      <c r="B2" s="151">
        <v>12500.0</v>
      </c>
      <c r="C2" s="151">
        <v>3000.0</v>
      </c>
      <c r="D2" s="151">
        <v>15500.0</v>
      </c>
      <c r="E2" s="151">
        <v>170500.0</v>
      </c>
      <c r="F2" s="225"/>
      <c r="G2" s="137">
        <v>3000.0</v>
      </c>
      <c r="H2" s="137">
        <v>12500.0</v>
      </c>
      <c r="I2" s="256">
        <f>15500*5/100</f>
        <v>775</v>
      </c>
      <c r="J2" s="294" t="s">
        <v>293</v>
      </c>
    </row>
    <row r="3" ht="14.25" customHeight="1">
      <c r="A3" s="189" t="s">
        <v>294</v>
      </c>
      <c r="B3" s="155">
        <v>12500.0</v>
      </c>
      <c r="C3" s="155">
        <v>3000.0</v>
      </c>
      <c r="D3" s="155">
        <v>15500.0</v>
      </c>
      <c r="E3" s="155">
        <v>155000.0</v>
      </c>
      <c r="F3" s="226"/>
      <c r="G3" s="137">
        <v>3000.0</v>
      </c>
      <c r="H3" s="137">
        <v>12500.0</v>
      </c>
      <c r="I3" s="126"/>
      <c r="J3" s="126"/>
    </row>
    <row r="4" ht="14.25" customHeight="1">
      <c r="A4" s="189" t="s">
        <v>123</v>
      </c>
      <c r="B4" s="155">
        <v>12500.0</v>
      </c>
      <c r="C4" s="155">
        <v>3000.0</v>
      </c>
      <c r="D4" s="155">
        <v>15500.0</v>
      </c>
      <c r="E4" s="155">
        <v>139500.0</v>
      </c>
      <c r="F4" s="226"/>
      <c r="G4" s="137">
        <v>3000.0</v>
      </c>
      <c r="H4" s="137">
        <v>12500.0</v>
      </c>
      <c r="I4" s="126"/>
      <c r="J4" s="126"/>
    </row>
    <row r="5" ht="14.25" customHeight="1">
      <c r="A5" s="189" t="s">
        <v>124</v>
      </c>
      <c r="B5" s="155">
        <v>12500.0</v>
      </c>
      <c r="C5" s="155">
        <v>3000.0</v>
      </c>
      <c r="D5" s="155">
        <v>15500.0</v>
      </c>
      <c r="E5" s="155">
        <v>124000.0</v>
      </c>
      <c r="F5" s="226"/>
      <c r="G5" s="137">
        <v>3000.0</v>
      </c>
      <c r="H5" s="137">
        <v>12500.0</v>
      </c>
      <c r="I5" s="126"/>
      <c r="J5" s="126"/>
    </row>
    <row r="6" ht="14.25" customHeight="1">
      <c r="A6" s="189" t="s">
        <v>295</v>
      </c>
      <c r="B6" s="155">
        <v>12500.0</v>
      </c>
      <c r="C6" s="155">
        <v>3000.0</v>
      </c>
      <c r="D6" s="155">
        <v>15500.0</v>
      </c>
      <c r="E6" s="155">
        <v>108500.0</v>
      </c>
      <c r="F6" s="226"/>
      <c r="G6" s="226"/>
      <c r="H6" s="226"/>
      <c r="I6" s="126"/>
      <c r="J6" s="126"/>
    </row>
    <row r="7" ht="14.25" customHeight="1">
      <c r="A7" s="189" t="s">
        <v>296</v>
      </c>
      <c r="B7" s="155">
        <v>12500.0</v>
      </c>
      <c r="C7" s="155">
        <v>3000.0</v>
      </c>
      <c r="D7" s="155">
        <v>15500.0</v>
      </c>
      <c r="E7" s="155">
        <v>93000.0</v>
      </c>
      <c r="F7" s="226"/>
      <c r="G7" s="226"/>
      <c r="H7" s="226"/>
      <c r="I7" s="126"/>
      <c r="J7" s="126"/>
    </row>
    <row r="8" ht="14.25" customHeight="1">
      <c r="A8" s="189" t="s">
        <v>142</v>
      </c>
      <c r="B8" s="155">
        <v>12500.0</v>
      </c>
      <c r="C8" s="155">
        <v>3000.0</v>
      </c>
      <c r="D8" s="155">
        <v>15500.0</v>
      </c>
      <c r="E8" s="155">
        <v>77500.0</v>
      </c>
      <c r="F8" s="226"/>
      <c r="G8" s="226"/>
      <c r="H8" s="226"/>
      <c r="I8" s="126"/>
      <c r="J8" s="126"/>
    </row>
    <row r="9" ht="14.25" customHeight="1">
      <c r="A9" s="189" t="s">
        <v>133</v>
      </c>
      <c r="B9" s="155">
        <v>12500.0</v>
      </c>
      <c r="C9" s="155">
        <v>3000.0</v>
      </c>
      <c r="D9" s="155">
        <v>15500.0</v>
      </c>
      <c r="E9" s="155">
        <v>62000.0</v>
      </c>
      <c r="F9" s="226"/>
      <c r="G9" s="226"/>
      <c r="H9" s="226"/>
      <c r="I9" s="126"/>
      <c r="J9" s="126"/>
    </row>
    <row r="10" ht="14.25" customHeight="1">
      <c r="A10" s="189" t="s">
        <v>144</v>
      </c>
      <c r="B10" s="155">
        <v>12500.0</v>
      </c>
      <c r="C10" s="155">
        <v>3000.0</v>
      </c>
      <c r="D10" s="155">
        <v>15500.0</v>
      </c>
      <c r="E10" s="155">
        <v>46500.0</v>
      </c>
      <c r="F10" s="226"/>
      <c r="G10" s="226"/>
      <c r="H10" s="226"/>
      <c r="I10" s="126"/>
      <c r="J10" s="126"/>
    </row>
    <row r="11" ht="14.25" customHeight="1">
      <c r="A11" s="189" t="s">
        <v>71</v>
      </c>
      <c r="B11" s="155">
        <v>12500.0</v>
      </c>
      <c r="C11" s="155">
        <v>3000.0</v>
      </c>
      <c r="D11" s="155">
        <v>15500.0</v>
      </c>
      <c r="E11" s="155">
        <v>31000.0</v>
      </c>
      <c r="F11" s="226"/>
      <c r="G11" s="226"/>
      <c r="H11" s="226"/>
      <c r="I11" s="126"/>
      <c r="J11" s="126"/>
    </row>
    <row r="12" ht="14.25" customHeight="1">
      <c r="A12" s="189" t="s">
        <v>145</v>
      </c>
      <c r="B12" s="155">
        <v>12500.0</v>
      </c>
      <c r="C12" s="155">
        <v>3000.0</v>
      </c>
      <c r="D12" s="155">
        <v>15500.0</v>
      </c>
      <c r="E12" s="155">
        <v>15500.0</v>
      </c>
      <c r="F12" s="226"/>
      <c r="G12" s="226"/>
      <c r="H12" s="226"/>
      <c r="I12" s="126"/>
      <c r="J12" s="126"/>
    </row>
    <row r="13" ht="14.25" customHeight="1">
      <c r="A13" s="189" t="s">
        <v>146</v>
      </c>
      <c r="B13" s="155">
        <v>12500.0</v>
      </c>
      <c r="C13" s="155">
        <v>3000.0</v>
      </c>
      <c r="D13" s="155">
        <v>15500.0</v>
      </c>
      <c r="E13" s="190" t="s">
        <v>121</v>
      </c>
      <c r="F13" s="226"/>
      <c r="G13" s="226"/>
      <c r="H13" s="226"/>
      <c r="I13" s="126"/>
      <c r="J13" s="126"/>
    </row>
    <row r="14" ht="14.25" customHeight="1">
      <c r="A14" s="126"/>
      <c r="B14" s="194">
        <v>150000.0</v>
      </c>
      <c r="C14" s="194">
        <v>36000.0</v>
      </c>
      <c r="D14" s="194">
        <v>186000.0</v>
      </c>
      <c r="E14" s="195"/>
      <c r="F14" s="295" t="s">
        <v>121</v>
      </c>
      <c r="G14" s="194">
        <v>12000.0</v>
      </c>
      <c r="H14" s="194">
        <v>50000.0</v>
      </c>
      <c r="I14" s="296">
        <v>62000.0</v>
      </c>
      <c r="J14" s="297">
        <v>0.0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0.86"/>
    <col customWidth="1" min="3" max="3" width="9.29"/>
    <col customWidth="1" min="4" max="4" width="14.57"/>
    <col customWidth="1" min="5" max="5" width="16.57"/>
    <col customWidth="1" min="6" max="6" width="12.86"/>
    <col customWidth="1" min="7" max="7" width="14.14"/>
    <col customWidth="1" min="8" max="8" width="16.71"/>
    <col customWidth="1" min="9" max="9" width="8.0"/>
    <col customWidth="1" min="10" max="10" width="9.86"/>
    <col customWidth="1" min="11" max="26" width="8.0"/>
  </cols>
  <sheetData>
    <row r="1" ht="14.25" customHeight="1">
      <c r="A1" s="298" t="s">
        <v>297</v>
      </c>
      <c r="B1" s="298"/>
      <c r="C1" s="298"/>
      <c r="D1" s="299"/>
      <c r="E1" s="299"/>
      <c r="F1" s="299"/>
      <c r="G1" s="300"/>
      <c r="H1" s="300"/>
      <c r="I1" s="126"/>
      <c r="J1" s="126"/>
    </row>
    <row r="2" ht="14.25" customHeight="1">
      <c r="A2" s="298"/>
      <c r="B2" s="298"/>
      <c r="C2" s="298"/>
      <c r="D2" s="299"/>
      <c r="E2" s="299"/>
      <c r="F2" s="299"/>
      <c r="G2" s="300"/>
      <c r="H2" s="300"/>
      <c r="I2" s="126"/>
      <c r="J2" s="126"/>
    </row>
    <row r="3" ht="14.25" customHeight="1">
      <c r="A3" s="301" t="s">
        <v>100</v>
      </c>
      <c r="B3" s="302" t="s">
        <v>101</v>
      </c>
      <c r="C3" s="302" t="s">
        <v>102</v>
      </c>
      <c r="D3" s="302" t="s">
        <v>103</v>
      </c>
      <c r="E3" s="302" t="s">
        <v>115</v>
      </c>
      <c r="F3" s="302" t="s">
        <v>105</v>
      </c>
      <c r="G3" s="185" t="s">
        <v>106</v>
      </c>
      <c r="H3" s="132" t="s">
        <v>107</v>
      </c>
      <c r="I3" s="126"/>
      <c r="J3" s="126"/>
    </row>
    <row r="4" ht="14.25" customHeight="1">
      <c r="A4" s="277">
        <v>45419.0</v>
      </c>
      <c r="B4" s="151">
        <v>12500.0</v>
      </c>
      <c r="C4" s="151">
        <v>6000.0</v>
      </c>
      <c r="D4" s="151">
        <f t="shared" ref="D4:D27" si="1">B4+C4</f>
        <v>18500</v>
      </c>
      <c r="E4" s="151">
        <f>444000-D4</f>
        <v>425500</v>
      </c>
      <c r="F4" s="188"/>
      <c r="G4" s="137">
        <v>6000.0</v>
      </c>
      <c r="H4" s="137">
        <v>12500.0</v>
      </c>
      <c r="I4" s="303"/>
      <c r="J4" s="294"/>
    </row>
    <row r="5" ht="14.25" customHeight="1">
      <c r="A5" s="191">
        <v>45420.0</v>
      </c>
      <c r="B5" s="151">
        <v>12500.0</v>
      </c>
      <c r="C5" s="151">
        <v>6000.0</v>
      </c>
      <c r="D5" s="151">
        <f t="shared" si="1"/>
        <v>18500</v>
      </c>
      <c r="E5" s="155">
        <f t="shared" ref="E5:E27" si="2">E4-D5</f>
        <v>407000</v>
      </c>
      <c r="F5" s="226"/>
      <c r="G5" s="137">
        <v>6000.0</v>
      </c>
      <c r="H5" s="137">
        <v>12500.0</v>
      </c>
      <c r="I5" s="126"/>
      <c r="J5" s="126"/>
    </row>
    <row r="6" ht="14.25" customHeight="1">
      <c r="A6" s="277">
        <v>45421.0</v>
      </c>
      <c r="B6" s="151">
        <v>12500.0</v>
      </c>
      <c r="C6" s="151">
        <v>6000.0</v>
      </c>
      <c r="D6" s="151">
        <f t="shared" si="1"/>
        <v>18500</v>
      </c>
      <c r="E6" s="155">
        <f t="shared" si="2"/>
        <v>388500</v>
      </c>
      <c r="F6" s="226"/>
      <c r="G6" s="304">
        <v>6000.0</v>
      </c>
      <c r="H6" s="137">
        <f>3800+8700</f>
        <v>12500</v>
      </c>
      <c r="I6" s="126"/>
      <c r="J6" s="126"/>
    </row>
    <row r="7" ht="14.25" customHeight="1">
      <c r="A7" s="191">
        <v>45422.0</v>
      </c>
      <c r="B7" s="151">
        <v>12500.0</v>
      </c>
      <c r="C7" s="151">
        <v>6000.0</v>
      </c>
      <c r="D7" s="151">
        <f t="shared" si="1"/>
        <v>18500</v>
      </c>
      <c r="E7" s="155">
        <f t="shared" si="2"/>
        <v>370000</v>
      </c>
      <c r="F7" s="226"/>
      <c r="G7" s="137">
        <v>6000.0</v>
      </c>
      <c r="H7" s="137">
        <v>12500.0</v>
      </c>
      <c r="I7" s="126"/>
      <c r="J7" s="126"/>
    </row>
    <row r="8" ht="14.25" customHeight="1">
      <c r="A8" s="277">
        <v>45423.0</v>
      </c>
      <c r="B8" s="151">
        <v>12500.0</v>
      </c>
      <c r="C8" s="151">
        <v>6000.0</v>
      </c>
      <c r="D8" s="151">
        <f t="shared" si="1"/>
        <v>18500</v>
      </c>
      <c r="E8" s="155">
        <f t="shared" si="2"/>
        <v>351500</v>
      </c>
      <c r="F8" s="226"/>
      <c r="G8" s="137">
        <v>6000.0</v>
      </c>
      <c r="H8" s="137">
        <v>13000.0</v>
      </c>
      <c r="I8" s="126"/>
      <c r="J8" s="126"/>
    </row>
    <row r="9" ht="14.25" customHeight="1">
      <c r="A9" s="191">
        <v>45424.0</v>
      </c>
      <c r="B9" s="151">
        <v>12500.0</v>
      </c>
      <c r="C9" s="151">
        <v>6000.0</v>
      </c>
      <c r="D9" s="151">
        <f t="shared" si="1"/>
        <v>18500</v>
      </c>
      <c r="E9" s="155">
        <f t="shared" si="2"/>
        <v>333000</v>
      </c>
      <c r="F9" s="226"/>
      <c r="G9" s="305">
        <v>6000.0</v>
      </c>
      <c r="H9" s="137">
        <v>12500.0</v>
      </c>
      <c r="I9" s="126"/>
      <c r="J9" s="126"/>
    </row>
    <row r="10" ht="14.25" customHeight="1">
      <c r="A10" s="277">
        <v>45778.0</v>
      </c>
      <c r="B10" s="151">
        <v>12500.0</v>
      </c>
      <c r="C10" s="151">
        <v>6000.0</v>
      </c>
      <c r="D10" s="151">
        <f t="shared" si="1"/>
        <v>18500</v>
      </c>
      <c r="E10" s="155">
        <f t="shared" si="2"/>
        <v>314500</v>
      </c>
      <c r="F10" s="226"/>
      <c r="G10" s="137">
        <v>6000.0</v>
      </c>
      <c r="H10" s="137">
        <v>12500.0</v>
      </c>
      <c r="I10" s="126"/>
      <c r="J10" s="126"/>
    </row>
    <row r="11" ht="14.25" customHeight="1">
      <c r="A11" s="191">
        <v>45779.0</v>
      </c>
      <c r="B11" s="151">
        <v>12500.0</v>
      </c>
      <c r="C11" s="151">
        <v>6000.0</v>
      </c>
      <c r="D11" s="151">
        <f t="shared" si="1"/>
        <v>18500</v>
      </c>
      <c r="E11" s="155">
        <f t="shared" si="2"/>
        <v>296000</v>
      </c>
      <c r="F11" s="226"/>
      <c r="G11" s="137">
        <v>6000.0</v>
      </c>
      <c r="H11" s="137">
        <v>12500.0</v>
      </c>
      <c r="I11" s="126"/>
      <c r="J11" s="126"/>
    </row>
    <row r="12" ht="14.25" customHeight="1">
      <c r="A12" s="277">
        <v>45780.0</v>
      </c>
      <c r="B12" s="151">
        <v>12500.0</v>
      </c>
      <c r="C12" s="151">
        <v>6000.0</v>
      </c>
      <c r="D12" s="151">
        <f t="shared" si="1"/>
        <v>18500</v>
      </c>
      <c r="E12" s="155">
        <f t="shared" si="2"/>
        <v>277500</v>
      </c>
      <c r="F12" s="226"/>
      <c r="G12" s="137">
        <v>6000.0</v>
      </c>
      <c r="H12" s="137">
        <v>12500.0</v>
      </c>
      <c r="I12" s="126"/>
      <c r="J12" s="126"/>
    </row>
    <row r="13" ht="14.25" customHeight="1">
      <c r="A13" s="191">
        <v>45781.0</v>
      </c>
      <c r="B13" s="151">
        <v>12500.0</v>
      </c>
      <c r="C13" s="151">
        <v>6000.0</v>
      </c>
      <c r="D13" s="151">
        <f t="shared" si="1"/>
        <v>18500</v>
      </c>
      <c r="E13" s="155">
        <f t="shared" si="2"/>
        <v>259000</v>
      </c>
      <c r="F13" s="226"/>
      <c r="G13" s="137">
        <v>6000.0</v>
      </c>
      <c r="H13" s="137">
        <v>12500.0</v>
      </c>
      <c r="I13" s="126"/>
      <c r="J13" s="126"/>
    </row>
    <row r="14" ht="14.25" customHeight="1">
      <c r="A14" s="277">
        <v>45782.0</v>
      </c>
      <c r="B14" s="151">
        <v>12500.0</v>
      </c>
      <c r="C14" s="151">
        <v>6000.0</v>
      </c>
      <c r="D14" s="151">
        <f t="shared" si="1"/>
        <v>18500</v>
      </c>
      <c r="E14" s="155">
        <f t="shared" si="2"/>
        <v>240500</v>
      </c>
      <c r="F14" s="226"/>
      <c r="G14" s="137">
        <v>6000.0</v>
      </c>
      <c r="H14" s="137">
        <v>12500.0</v>
      </c>
      <c r="I14" s="126"/>
      <c r="J14" s="126"/>
    </row>
    <row r="15" ht="14.25" customHeight="1">
      <c r="A15" s="191">
        <v>45783.0</v>
      </c>
      <c r="B15" s="151">
        <v>12500.0</v>
      </c>
      <c r="C15" s="151">
        <v>6000.0</v>
      </c>
      <c r="D15" s="151">
        <f t="shared" si="1"/>
        <v>18500</v>
      </c>
      <c r="E15" s="155">
        <f t="shared" si="2"/>
        <v>222000</v>
      </c>
      <c r="F15" s="226"/>
      <c r="G15" s="137">
        <v>6000.0</v>
      </c>
      <c r="H15" s="137">
        <v>12500.0</v>
      </c>
      <c r="I15" s="126"/>
      <c r="J15" s="126"/>
    </row>
    <row r="16" ht="14.25" customHeight="1">
      <c r="A16" s="277">
        <v>45784.0</v>
      </c>
      <c r="B16" s="151">
        <v>12500.0</v>
      </c>
      <c r="C16" s="151">
        <v>6000.0</v>
      </c>
      <c r="D16" s="151">
        <f t="shared" si="1"/>
        <v>18500</v>
      </c>
      <c r="E16" s="155">
        <f t="shared" si="2"/>
        <v>203500</v>
      </c>
      <c r="F16" s="284"/>
      <c r="G16" s="137">
        <v>6000.0</v>
      </c>
      <c r="H16" s="137">
        <v>12500.0</v>
      </c>
      <c r="I16" s="126"/>
      <c r="J16" s="126"/>
    </row>
    <row r="17" ht="14.25" customHeight="1">
      <c r="A17" s="191">
        <v>45785.0</v>
      </c>
      <c r="B17" s="151">
        <v>12500.0</v>
      </c>
      <c r="C17" s="151">
        <v>6000.0</v>
      </c>
      <c r="D17" s="151">
        <f t="shared" si="1"/>
        <v>18500</v>
      </c>
      <c r="E17" s="155">
        <f t="shared" si="2"/>
        <v>185000</v>
      </c>
      <c r="F17" s="284"/>
      <c r="G17" s="137"/>
      <c r="H17" s="137"/>
      <c r="I17" s="126"/>
      <c r="J17" s="126"/>
    </row>
    <row r="18" ht="14.25" customHeight="1">
      <c r="A18" s="277">
        <v>45786.0</v>
      </c>
      <c r="B18" s="151">
        <v>12500.0</v>
      </c>
      <c r="C18" s="151">
        <v>6000.0</v>
      </c>
      <c r="D18" s="151">
        <f t="shared" si="1"/>
        <v>18500</v>
      </c>
      <c r="E18" s="155">
        <f t="shared" si="2"/>
        <v>166500</v>
      </c>
      <c r="F18" s="284"/>
      <c r="G18" s="137"/>
      <c r="H18" s="137"/>
      <c r="I18" s="126"/>
      <c r="J18" s="126"/>
    </row>
    <row r="19" ht="14.25" customHeight="1">
      <c r="A19" s="191">
        <v>45787.0</v>
      </c>
      <c r="B19" s="151">
        <v>12500.0</v>
      </c>
      <c r="C19" s="151">
        <v>6000.0</v>
      </c>
      <c r="D19" s="151">
        <f t="shared" si="1"/>
        <v>18500</v>
      </c>
      <c r="E19" s="155">
        <f t="shared" si="2"/>
        <v>148000</v>
      </c>
      <c r="F19" s="284"/>
      <c r="G19" s="284"/>
      <c r="H19" s="284"/>
      <c r="I19" s="126"/>
      <c r="J19" s="126"/>
    </row>
    <row r="20" ht="14.25" customHeight="1">
      <c r="A20" s="277">
        <v>45788.0</v>
      </c>
      <c r="B20" s="151">
        <v>12500.0</v>
      </c>
      <c r="C20" s="151">
        <v>6000.0</v>
      </c>
      <c r="D20" s="151">
        <f t="shared" si="1"/>
        <v>18500</v>
      </c>
      <c r="E20" s="155">
        <f t="shared" si="2"/>
        <v>129500</v>
      </c>
      <c r="F20" s="284"/>
      <c r="G20" s="284"/>
      <c r="H20" s="284"/>
      <c r="I20" s="126"/>
      <c r="J20" s="126"/>
    </row>
    <row r="21" ht="14.25" customHeight="1">
      <c r="A21" s="191">
        <v>45789.0</v>
      </c>
      <c r="B21" s="151">
        <v>12500.0</v>
      </c>
      <c r="C21" s="151">
        <v>6000.0</v>
      </c>
      <c r="D21" s="151">
        <f t="shared" si="1"/>
        <v>18500</v>
      </c>
      <c r="E21" s="155">
        <f t="shared" si="2"/>
        <v>111000</v>
      </c>
      <c r="F21" s="284"/>
      <c r="G21" s="284"/>
      <c r="H21" s="284"/>
      <c r="I21" s="126"/>
      <c r="J21" s="126"/>
    </row>
    <row r="22" ht="14.25" customHeight="1">
      <c r="A22" s="277">
        <v>46143.0</v>
      </c>
      <c r="B22" s="151">
        <v>12500.0</v>
      </c>
      <c r="C22" s="151">
        <v>6000.0</v>
      </c>
      <c r="D22" s="151">
        <f t="shared" si="1"/>
        <v>18500</v>
      </c>
      <c r="E22" s="155">
        <f t="shared" si="2"/>
        <v>92500</v>
      </c>
      <c r="F22" s="284"/>
      <c r="G22" s="284"/>
      <c r="H22" s="284"/>
      <c r="I22" s="126"/>
      <c r="J22" s="126"/>
    </row>
    <row r="23" ht="14.25" customHeight="1">
      <c r="A23" s="191">
        <v>46144.0</v>
      </c>
      <c r="B23" s="151">
        <v>12500.0</v>
      </c>
      <c r="C23" s="151">
        <v>6000.0</v>
      </c>
      <c r="D23" s="151">
        <f t="shared" si="1"/>
        <v>18500</v>
      </c>
      <c r="E23" s="155">
        <f t="shared" si="2"/>
        <v>74000</v>
      </c>
      <c r="F23" s="284"/>
      <c r="G23" s="284"/>
      <c r="H23" s="284"/>
      <c r="I23" s="126"/>
      <c r="J23" s="126"/>
    </row>
    <row r="24" ht="14.25" customHeight="1">
      <c r="A24" s="277">
        <v>46145.0</v>
      </c>
      <c r="B24" s="151">
        <v>12500.0</v>
      </c>
      <c r="C24" s="151">
        <v>6000.0</v>
      </c>
      <c r="D24" s="151">
        <f t="shared" si="1"/>
        <v>18500</v>
      </c>
      <c r="E24" s="155">
        <f t="shared" si="2"/>
        <v>55500</v>
      </c>
      <c r="F24" s="284"/>
      <c r="G24" s="284"/>
      <c r="H24" s="284"/>
      <c r="I24" s="126"/>
      <c r="J24" s="126"/>
    </row>
    <row r="25" ht="14.25" customHeight="1">
      <c r="A25" s="191">
        <v>46146.0</v>
      </c>
      <c r="B25" s="151">
        <v>12500.0</v>
      </c>
      <c r="C25" s="151">
        <v>6000.0</v>
      </c>
      <c r="D25" s="151">
        <f t="shared" si="1"/>
        <v>18500</v>
      </c>
      <c r="E25" s="155">
        <f t="shared" si="2"/>
        <v>37000</v>
      </c>
      <c r="F25" s="284"/>
      <c r="G25" s="284"/>
      <c r="H25" s="284"/>
      <c r="I25" s="126"/>
      <c r="J25" s="126"/>
    </row>
    <row r="26" ht="14.25" customHeight="1">
      <c r="A26" s="277">
        <v>46147.0</v>
      </c>
      <c r="B26" s="151">
        <v>12500.0</v>
      </c>
      <c r="C26" s="151">
        <v>6000.0</v>
      </c>
      <c r="D26" s="151">
        <f t="shared" si="1"/>
        <v>18500</v>
      </c>
      <c r="E26" s="155">
        <f t="shared" si="2"/>
        <v>18500</v>
      </c>
      <c r="F26" s="284"/>
      <c r="G26" s="284"/>
      <c r="H26" s="284"/>
      <c r="I26" s="126"/>
      <c r="J26" s="126"/>
    </row>
    <row r="27" ht="14.25" customHeight="1">
      <c r="A27" s="191">
        <v>46148.0</v>
      </c>
      <c r="B27" s="151">
        <v>12500.0</v>
      </c>
      <c r="C27" s="151">
        <v>6000.0</v>
      </c>
      <c r="D27" s="151">
        <f t="shared" si="1"/>
        <v>18500</v>
      </c>
      <c r="E27" s="155">
        <f t="shared" si="2"/>
        <v>0</v>
      </c>
      <c r="F27" s="284"/>
      <c r="G27" s="284"/>
      <c r="H27" s="284"/>
      <c r="I27" s="126"/>
      <c r="J27" s="126"/>
    </row>
    <row r="28" ht="14.25" customHeight="1">
      <c r="A28" s="277"/>
      <c r="B28" s="306">
        <f t="shared" ref="B28:D28" si="3">SUM(B4:B27)</f>
        <v>300000</v>
      </c>
      <c r="C28" s="306">
        <f t="shared" si="3"/>
        <v>144000</v>
      </c>
      <c r="D28" s="306">
        <f t="shared" si="3"/>
        <v>444000</v>
      </c>
      <c r="E28" s="307"/>
      <c r="F28" s="308"/>
      <c r="G28" s="306">
        <f t="shared" ref="G28:H28" si="4">SUM(G4:G27)</f>
        <v>78000</v>
      </c>
      <c r="H28" s="306">
        <f t="shared" si="4"/>
        <v>163000</v>
      </c>
      <c r="I28" s="306">
        <f>G28+H28</f>
        <v>241000</v>
      </c>
      <c r="J28" s="309">
        <f>D28-I28</f>
        <v>203000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3.29"/>
    <col customWidth="1" min="3" max="3" width="11.57"/>
    <col customWidth="1" min="4" max="4" width="12.29"/>
    <col customWidth="1" min="5" max="5" width="12.57"/>
    <col customWidth="1" min="6" max="6" width="14.57"/>
    <col customWidth="1" min="7" max="7" width="12.29"/>
    <col customWidth="1" min="8" max="8" width="13.86"/>
    <col customWidth="1" min="9" max="9" width="8.86"/>
    <col customWidth="1" min="10" max="10" width="9.0"/>
    <col customWidth="1" min="11" max="11" width="10.86"/>
    <col customWidth="1" min="12" max="26" width="8.0"/>
  </cols>
  <sheetData>
    <row r="1" ht="14.25" customHeight="1">
      <c r="A1" s="310" t="s">
        <v>33</v>
      </c>
      <c r="B1" s="310"/>
      <c r="C1" s="310"/>
      <c r="D1" s="311"/>
      <c r="E1" s="311"/>
      <c r="F1" s="126"/>
      <c r="G1" s="126"/>
      <c r="H1" s="126"/>
      <c r="I1" s="126"/>
      <c r="J1" s="126"/>
      <c r="K1" s="126"/>
      <c r="L1" s="126"/>
    </row>
    <row r="2" ht="14.25" customHeight="1">
      <c r="A2" s="310" t="s">
        <v>95</v>
      </c>
      <c r="D2" s="311"/>
      <c r="E2" s="311"/>
      <c r="F2" s="126"/>
      <c r="G2" s="126"/>
      <c r="H2" s="126"/>
      <c r="I2" s="126"/>
      <c r="J2" s="126"/>
      <c r="K2" s="126"/>
      <c r="L2" s="126"/>
    </row>
    <row r="3" ht="14.25" customHeight="1">
      <c r="A3" s="310" t="s">
        <v>96</v>
      </c>
      <c r="F3" s="126"/>
      <c r="G3" s="126"/>
      <c r="H3" s="126"/>
      <c r="I3" s="126"/>
      <c r="J3" s="126"/>
      <c r="K3" s="126"/>
      <c r="L3" s="126"/>
    </row>
    <row r="4" ht="14.25" customHeight="1">
      <c r="A4" s="310" t="s">
        <v>97</v>
      </c>
      <c r="E4" s="311"/>
      <c r="F4" s="126"/>
      <c r="G4" s="126"/>
      <c r="H4" s="126"/>
      <c r="I4" s="126"/>
      <c r="J4" s="126"/>
      <c r="K4" s="126"/>
      <c r="L4" s="126"/>
    </row>
    <row r="5" ht="14.25" customHeight="1">
      <c r="A5" s="310" t="s">
        <v>230</v>
      </c>
      <c r="C5" s="311"/>
      <c r="D5" s="311"/>
      <c r="E5" s="311"/>
      <c r="F5" s="126"/>
      <c r="G5" s="126"/>
      <c r="H5" s="126"/>
      <c r="I5" s="126"/>
      <c r="J5" s="126"/>
      <c r="K5" s="126"/>
      <c r="L5" s="126"/>
    </row>
    <row r="6" ht="14.25" customHeight="1">
      <c r="A6" s="310" t="s">
        <v>298</v>
      </c>
      <c r="D6" s="311"/>
      <c r="E6" s="311"/>
      <c r="F6" s="126"/>
      <c r="G6" s="126"/>
      <c r="H6" s="126"/>
      <c r="I6" s="126"/>
      <c r="J6" s="126"/>
      <c r="K6" s="126"/>
      <c r="L6" s="126"/>
    </row>
    <row r="7" ht="14.25" customHeight="1">
      <c r="A7" s="184" t="s">
        <v>100</v>
      </c>
      <c r="B7" s="131" t="s">
        <v>101</v>
      </c>
      <c r="C7" s="131" t="s">
        <v>102</v>
      </c>
      <c r="D7" s="131" t="s">
        <v>103</v>
      </c>
      <c r="E7" s="131" t="s">
        <v>115</v>
      </c>
      <c r="F7" s="131" t="s">
        <v>105</v>
      </c>
      <c r="G7" s="185" t="s">
        <v>106</v>
      </c>
      <c r="H7" s="132" t="s">
        <v>107</v>
      </c>
      <c r="I7" s="126"/>
      <c r="J7" s="126"/>
      <c r="K7" s="126"/>
      <c r="L7" s="126"/>
    </row>
    <row r="8" ht="14.25" customHeight="1">
      <c r="A8" s="277">
        <v>45293.0</v>
      </c>
      <c r="B8" s="151">
        <v>21000.0</v>
      </c>
      <c r="C8" s="151">
        <v>10000.0</v>
      </c>
      <c r="D8" s="151">
        <v>31000.0</v>
      </c>
      <c r="E8" s="151">
        <v>709000.0</v>
      </c>
      <c r="F8" s="188" t="s">
        <v>299</v>
      </c>
      <c r="G8" s="155">
        <v>10000.0</v>
      </c>
      <c r="H8" s="155">
        <v>21000.0</v>
      </c>
      <c r="I8" s="126"/>
      <c r="J8" s="126"/>
      <c r="K8" s="126"/>
      <c r="L8" s="126"/>
    </row>
    <row r="9" ht="14.25" customHeight="1">
      <c r="A9" s="191">
        <v>45294.0</v>
      </c>
      <c r="B9" s="155">
        <v>21000.0</v>
      </c>
      <c r="C9" s="155">
        <v>10000.0</v>
      </c>
      <c r="D9" s="155">
        <v>31000.0</v>
      </c>
      <c r="E9" s="155">
        <v>678000.0</v>
      </c>
      <c r="F9" s="190" t="s">
        <v>299</v>
      </c>
      <c r="G9" s="155">
        <v>10000.0</v>
      </c>
      <c r="H9" s="155">
        <v>21000.0</v>
      </c>
      <c r="I9" s="126"/>
      <c r="J9" s="126"/>
      <c r="K9" s="126"/>
      <c r="L9" s="126"/>
    </row>
    <row r="10" ht="14.25" customHeight="1">
      <c r="A10" s="191">
        <v>45295.0</v>
      </c>
      <c r="B10" s="155">
        <v>21000.0</v>
      </c>
      <c r="C10" s="155">
        <v>10000.0</v>
      </c>
      <c r="D10" s="155">
        <v>31000.0</v>
      </c>
      <c r="E10" s="155">
        <v>647000.0</v>
      </c>
      <c r="F10" s="190" t="s">
        <v>299</v>
      </c>
      <c r="G10" s="155">
        <v>10000.0</v>
      </c>
      <c r="H10" s="155">
        <v>21000.0</v>
      </c>
      <c r="I10" s="126"/>
      <c r="J10" s="126"/>
      <c r="K10" s="126"/>
      <c r="L10" s="126"/>
    </row>
    <row r="11" ht="14.25" customHeight="1">
      <c r="A11" s="191">
        <v>45296.0</v>
      </c>
      <c r="B11" s="155">
        <v>21000.0</v>
      </c>
      <c r="C11" s="155">
        <v>10000.0</v>
      </c>
      <c r="D11" s="155">
        <v>31000.0</v>
      </c>
      <c r="E11" s="155">
        <v>616000.0</v>
      </c>
      <c r="F11" s="190" t="s">
        <v>300</v>
      </c>
      <c r="G11" s="155">
        <v>10000.0</v>
      </c>
      <c r="H11" s="155">
        <v>21000.0</v>
      </c>
      <c r="I11" s="312">
        <f>D11*5/100</f>
        <v>1550</v>
      </c>
      <c r="J11" s="126"/>
      <c r="K11" s="126"/>
      <c r="L11" s="126"/>
    </row>
    <row r="12" ht="14.25" customHeight="1">
      <c r="A12" s="191">
        <v>45297.0</v>
      </c>
      <c r="B12" s="155">
        <v>21000.0</v>
      </c>
      <c r="C12" s="155">
        <v>10000.0</v>
      </c>
      <c r="D12" s="155">
        <v>31000.0</v>
      </c>
      <c r="E12" s="155">
        <v>585000.0</v>
      </c>
      <c r="F12" s="190" t="s">
        <v>301</v>
      </c>
      <c r="G12" s="155">
        <v>10000.0</v>
      </c>
      <c r="H12" s="155">
        <v>21000.0</v>
      </c>
      <c r="I12" s="126"/>
      <c r="J12" s="126"/>
      <c r="K12" s="126"/>
      <c r="L12" s="126"/>
    </row>
    <row r="13" ht="14.25" customHeight="1">
      <c r="A13" s="191">
        <v>45298.0</v>
      </c>
      <c r="B13" s="155">
        <v>21000.0</v>
      </c>
      <c r="C13" s="155">
        <v>10000.0</v>
      </c>
      <c r="D13" s="155">
        <v>31000.0</v>
      </c>
      <c r="E13" s="155">
        <v>554000.0</v>
      </c>
      <c r="F13" s="226"/>
      <c r="G13" s="155">
        <v>10000.0</v>
      </c>
      <c r="H13" s="155">
        <v>21000.0</v>
      </c>
      <c r="I13" s="126"/>
      <c r="J13" s="126"/>
      <c r="K13" s="126"/>
      <c r="L13" s="126"/>
    </row>
    <row r="14" ht="14.25" customHeight="1">
      <c r="A14" s="191">
        <v>45299.0</v>
      </c>
      <c r="B14" s="155">
        <v>21000.0</v>
      </c>
      <c r="C14" s="155">
        <v>10000.0</v>
      </c>
      <c r="D14" s="155">
        <v>31000.0</v>
      </c>
      <c r="E14" s="155">
        <v>523000.0</v>
      </c>
      <c r="F14" s="226"/>
      <c r="G14" s="155">
        <v>10000.0</v>
      </c>
      <c r="H14" s="155">
        <v>21000.0</v>
      </c>
      <c r="I14" s="126"/>
      <c r="J14" s="126"/>
      <c r="K14" s="126"/>
      <c r="L14" s="126"/>
    </row>
    <row r="15" ht="14.25" customHeight="1">
      <c r="A15" s="191">
        <v>45300.0</v>
      </c>
      <c r="B15" s="155">
        <v>21000.0</v>
      </c>
      <c r="C15" s="155">
        <v>10000.0</v>
      </c>
      <c r="D15" s="155">
        <v>31000.0</v>
      </c>
      <c r="E15" s="155">
        <v>492000.0</v>
      </c>
      <c r="F15" s="226"/>
      <c r="G15" s="155">
        <v>10000.0</v>
      </c>
      <c r="H15" s="155">
        <v>21000.0</v>
      </c>
      <c r="I15" s="126"/>
      <c r="J15" s="126"/>
      <c r="K15" s="126"/>
      <c r="L15" s="126"/>
    </row>
    <row r="16" ht="14.25" customHeight="1">
      <c r="A16" s="191">
        <v>45301.0</v>
      </c>
      <c r="B16" s="155">
        <v>21000.0</v>
      </c>
      <c r="C16" s="155">
        <v>10000.0</v>
      </c>
      <c r="D16" s="155">
        <v>31000.0</v>
      </c>
      <c r="E16" s="155">
        <v>461000.0</v>
      </c>
      <c r="F16" s="226"/>
      <c r="G16" s="228">
        <v>10000.0</v>
      </c>
      <c r="H16" s="228">
        <v>21000.0</v>
      </c>
      <c r="I16" s="126"/>
      <c r="J16" s="126"/>
      <c r="K16" s="126"/>
      <c r="L16" s="126"/>
    </row>
    <row r="17" ht="14.25" customHeight="1">
      <c r="A17" s="191">
        <v>45302.0</v>
      </c>
      <c r="B17" s="155">
        <v>21000.0</v>
      </c>
      <c r="C17" s="155">
        <v>10000.0</v>
      </c>
      <c r="D17" s="155">
        <v>31000.0</v>
      </c>
      <c r="E17" s="155">
        <v>430000.0</v>
      </c>
      <c r="F17" s="226"/>
      <c r="G17" s="228">
        <v>10000.0</v>
      </c>
      <c r="H17" s="228">
        <v>21000.0</v>
      </c>
      <c r="I17" s="126"/>
      <c r="J17" s="126"/>
      <c r="K17" s="126"/>
      <c r="L17" s="126"/>
    </row>
    <row r="18" ht="14.25" customHeight="1">
      <c r="A18" s="191">
        <v>45303.0</v>
      </c>
      <c r="B18" s="155">
        <v>21000.0</v>
      </c>
      <c r="C18" s="155">
        <v>10000.0</v>
      </c>
      <c r="D18" s="155">
        <v>31000.0</v>
      </c>
      <c r="E18" s="155">
        <v>399000.0</v>
      </c>
      <c r="F18" s="226"/>
      <c r="G18" s="228">
        <v>10000.0</v>
      </c>
      <c r="H18" s="228">
        <v>21000.0</v>
      </c>
      <c r="I18" s="126"/>
      <c r="J18" s="126"/>
      <c r="K18" s="126"/>
      <c r="L18" s="126"/>
    </row>
    <row r="19" ht="14.25" customHeight="1">
      <c r="A19" s="191">
        <v>45658.0</v>
      </c>
      <c r="B19" s="155">
        <v>21000.0</v>
      </c>
      <c r="C19" s="155">
        <v>10000.0</v>
      </c>
      <c r="D19" s="155">
        <v>31000.0</v>
      </c>
      <c r="E19" s="155">
        <v>368000.0</v>
      </c>
      <c r="F19" s="226"/>
      <c r="G19" s="228">
        <v>10000.0</v>
      </c>
      <c r="H19" s="228">
        <v>21000.0</v>
      </c>
      <c r="I19" s="126"/>
      <c r="J19" s="126"/>
      <c r="K19" s="126"/>
      <c r="L19" s="126"/>
    </row>
    <row r="20" ht="14.25" customHeight="1">
      <c r="A20" s="191">
        <v>45659.0</v>
      </c>
      <c r="B20" s="155">
        <v>21000.0</v>
      </c>
      <c r="C20" s="155">
        <v>10000.0</v>
      </c>
      <c r="D20" s="155">
        <v>31000.0</v>
      </c>
      <c r="E20" s="155">
        <v>337000.0</v>
      </c>
      <c r="F20" s="226"/>
      <c r="G20" s="228">
        <v>10000.0</v>
      </c>
      <c r="H20" s="228">
        <f>21000-5000</f>
        <v>16000</v>
      </c>
      <c r="I20" s="126"/>
      <c r="J20" s="126"/>
      <c r="K20" s="126"/>
      <c r="L20" s="126"/>
    </row>
    <row r="21" ht="14.25" customHeight="1">
      <c r="A21" s="191">
        <v>45660.0</v>
      </c>
      <c r="B21" s="155">
        <v>21000.0</v>
      </c>
      <c r="C21" s="155">
        <v>10000.0</v>
      </c>
      <c r="D21" s="155">
        <v>31000.0</v>
      </c>
      <c r="E21" s="155">
        <v>306000.0</v>
      </c>
      <c r="F21" s="226"/>
      <c r="G21" s="155">
        <v>10000.0</v>
      </c>
      <c r="H21" s="155">
        <v>21000.0</v>
      </c>
      <c r="I21" s="139" t="s">
        <v>302</v>
      </c>
      <c r="J21" s="126"/>
      <c r="K21" s="126"/>
      <c r="L21" s="126"/>
    </row>
    <row r="22" ht="14.25" customHeight="1">
      <c r="A22" s="191">
        <v>45661.0</v>
      </c>
      <c r="B22" s="155">
        <v>21000.0</v>
      </c>
      <c r="C22" s="155">
        <v>10000.0</v>
      </c>
      <c r="D22" s="155">
        <v>31000.0</v>
      </c>
      <c r="E22" s="155">
        <v>275000.0</v>
      </c>
      <c r="F22" s="226"/>
      <c r="G22" s="228"/>
      <c r="H22" s="155"/>
      <c r="I22" s="126"/>
      <c r="J22" s="126"/>
      <c r="K22" s="126"/>
      <c r="L22" s="126"/>
    </row>
    <row r="23" ht="14.25" customHeight="1">
      <c r="A23" s="191">
        <v>45662.0</v>
      </c>
      <c r="B23" s="155">
        <v>21000.0</v>
      </c>
      <c r="C23" s="155">
        <v>10000.0</v>
      </c>
      <c r="D23" s="155">
        <v>31000.0</v>
      </c>
      <c r="E23" s="155">
        <v>244000.0</v>
      </c>
      <c r="F23" s="226"/>
      <c r="G23" s="226"/>
      <c r="H23" s="226"/>
      <c r="I23" s="126"/>
      <c r="J23" s="126"/>
      <c r="K23" s="126"/>
      <c r="L23" s="126"/>
    </row>
    <row r="24" ht="14.25" customHeight="1">
      <c r="A24" s="191">
        <v>45663.0</v>
      </c>
      <c r="B24" s="155">
        <v>21000.0</v>
      </c>
      <c r="C24" s="155">
        <v>10000.0</v>
      </c>
      <c r="D24" s="155">
        <v>31000.0</v>
      </c>
      <c r="E24" s="155">
        <v>213000.0</v>
      </c>
      <c r="F24" s="226"/>
      <c r="G24" s="226"/>
      <c r="H24" s="226"/>
      <c r="I24" s="126"/>
      <c r="J24" s="126"/>
      <c r="K24" s="126"/>
      <c r="L24" s="126"/>
    </row>
    <row r="25" ht="14.25" customHeight="1">
      <c r="A25" s="191">
        <v>45664.0</v>
      </c>
      <c r="B25" s="155">
        <v>21000.0</v>
      </c>
      <c r="C25" s="155">
        <v>10000.0</v>
      </c>
      <c r="D25" s="155">
        <v>31000.0</v>
      </c>
      <c r="E25" s="155">
        <v>182000.0</v>
      </c>
      <c r="F25" s="226"/>
      <c r="G25" s="226"/>
      <c r="H25" s="226"/>
      <c r="I25" s="126"/>
      <c r="J25" s="126"/>
      <c r="K25" s="126"/>
      <c r="L25" s="126"/>
    </row>
    <row r="26" ht="14.25" customHeight="1">
      <c r="A26" s="191">
        <v>45665.0</v>
      </c>
      <c r="B26" s="155">
        <v>21000.0</v>
      </c>
      <c r="C26" s="155">
        <v>10000.0</v>
      </c>
      <c r="D26" s="155">
        <v>31000.0</v>
      </c>
      <c r="E26" s="155">
        <v>151000.0</v>
      </c>
      <c r="F26" s="226"/>
      <c r="G26" s="226"/>
      <c r="H26" s="226"/>
      <c r="I26" s="126"/>
      <c r="J26" s="126"/>
      <c r="K26" s="126"/>
      <c r="L26" s="126"/>
    </row>
    <row r="27" ht="14.25" customHeight="1">
      <c r="A27" s="191">
        <v>45666.0</v>
      </c>
      <c r="B27" s="155">
        <v>21000.0</v>
      </c>
      <c r="C27" s="155">
        <v>10000.0</v>
      </c>
      <c r="D27" s="155">
        <v>31000.0</v>
      </c>
      <c r="E27" s="155">
        <v>120000.0</v>
      </c>
      <c r="F27" s="226"/>
      <c r="G27" s="226"/>
      <c r="H27" s="226"/>
      <c r="I27" s="126"/>
      <c r="J27" s="126"/>
      <c r="K27" s="126"/>
      <c r="L27" s="126"/>
    </row>
    <row r="28" ht="14.25" customHeight="1">
      <c r="A28" s="191">
        <v>45667.0</v>
      </c>
      <c r="B28" s="155">
        <v>21000.0</v>
      </c>
      <c r="C28" s="155">
        <v>10000.0</v>
      </c>
      <c r="D28" s="155">
        <v>31000.0</v>
      </c>
      <c r="E28" s="155">
        <v>89000.0</v>
      </c>
      <c r="F28" s="226"/>
      <c r="G28" s="226"/>
      <c r="H28" s="226"/>
      <c r="I28" s="126"/>
      <c r="J28" s="126"/>
      <c r="K28" s="126"/>
      <c r="L28" s="126"/>
    </row>
    <row r="29" ht="14.25" customHeight="1">
      <c r="A29" s="191">
        <v>45668.0</v>
      </c>
      <c r="B29" s="155">
        <v>21000.0</v>
      </c>
      <c r="C29" s="155">
        <v>10000.0</v>
      </c>
      <c r="D29" s="155">
        <v>31000.0</v>
      </c>
      <c r="E29" s="155">
        <v>58000.0</v>
      </c>
      <c r="F29" s="226"/>
      <c r="G29" s="226"/>
      <c r="H29" s="226"/>
      <c r="I29" s="126"/>
      <c r="J29" s="126"/>
      <c r="K29" s="126"/>
      <c r="L29" s="126"/>
    </row>
    <row r="30" ht="14.25" customHeight="1">
      <c r="A30" s="191">
        <v>45669.0</v>
      </c>
      <c r="B30" s="155">
        <v>21000.0</v>
      </c>
      <c r="C30" s="155">
        <v>10000.0</v>
      </c>
      <c r="D30" s="155">
        <v>31000.0</v>
      </c>
      <c r="E30" s="155">
        <v>27000.0</v>
      </c>
      <c r="F30" s="226"/>
      <c r="G30" s="226"/>
      <c r="H30" s="226"/>
      <c r="I30" s="126"/>
      <c r="J30" s="126"/>
      <c r="K30" s="126"/>
      <c r="L30" s="126"/>
    </row>
    <row r="31" ht="14.25" customHeight="1">
      <c r="A31" s="191">
        <v>46023.0</v>
      </c>
      <c r="B31" s="155">
        <v>17000.0</v>
      </c>
      <c r="C31" s="155">
        <v>10000.0</v>
      </c>
      <c r="D31" s="155">
        <v>27000.0</v>
      </c>
      <c r="E31" s="190" t="s">
        <v>121</v>
      </c>
      <c r="F31" s="126"/>
      <c r="G31" s="126"/>
      <c r="H31" s="126"/>
      <c r="I31" s="126"/>
      <c r="J31" s="126"/>
      <c r="K31" s="126"/>
      <c r="L31" s="126"/>
    </row>
    <row r="32" ht="14.25" customHeight="1">
      <c r="A32" s="126"/>
      <c r="B32" s="194">
        <v>500000.0</v>
      </c>
      <c r="C32" s="194">
        <v>240000.0</v>
      </c>
      <c r="D32" s="194">
        <v>740000.0</v>
      </c>
      <c r="E32" s="195"/>
      <c r="F32" s="126"/>
      <c r="G32" s="296">
        <f t="shared" ref="G32:H32" si="1">SUM(G8:G31)</f>
        <v>140000</v>
      </c>
      <c r="H32" s="296">
        <f t="shared" si="1"/>
        <v>289000</v>
      </c>
      <c r="I32" s="313"/>
      <c r="J32" s="296">
        <f>G32+H32</f>
        <v>429000</v>
      </c>
      <c r="K32" s="148">
        <f>D32-J32</f>
        <v>311000</v>
      </c>
      <c r="L32" s="126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</sheetData>
  <mergeCells count="5">
    <mergeCell ref="A2:C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13.29"/>
    <col customWidth="1" min="3" max="3" width="11.57"/>
    <col customWidth="1" min="4" max="4" width="11.86"/>
    <col customWidth="1" min="5" max="5" width="12.57"/>
    <col customWidth="1" min="6" max="6" width="10.43"/>
    <col customWidth="1" min="7" max="7" width="13.43"/>
    <col customWidth="1" min="8" max="8" width="15.86"/>
    <col customWidth="1" min="9" max="26" width="8.0"/>
  </cols>
  <sheetData>
    <row r="1" ht="14.25" customHeight="1">
      <c r="A1" s="182" t="s">
        <v>303</v>
      </c>
      <c r="B1" s="182"/>
      <c r="C1" s="182"/>
      <c r="D1" s="183"/>
      <c r="E1" s="183"/>
      <c r="F1" s="183"/>
      <c r="G1" s="126"/>
      <c r="H1" s="126"/>
      <c r="I1" s="126"/>
      <c r="J1" s="126"/>
      <c r="K1" s="126"/>
      <c r="L1" s="126"/>
    </row>
    <row r="2" ht="14.25" customHeight="1">
      <c r="A2" s="182" t="s">
        <v>304</v>
      </c>
      <c r="D2" s="183"/>
      <c r="E2" s="183"/>
      <c r="F2" s="183"/>
      <c r="G2" s="126"/>
      <c r="H2" s="126"/>
      <c r="I2" s="126"/>
      <c r="J2" s="126"/>
      <c r="K2" s="126"/>
      <c r="L2" s="126"/>
    </row>
    <row r="3" ht="14.25" customHeight="1">
      <c r="A3" s="182" t="s">
        <v>305</v>
      </c>
      <c r="F3" s="183"/>
      <c r="G3" s="126"/>
      <c r="H3" s="126"/>
      <c r="I3" s="126"/>
      <c r="J3" s="126"/>
      <c r="K3" s="126"/>
      <c r="L3" s="126"/>
    </row>
    <row r="4" ht="14.25" customHeight="1">
      <c r="A4" s="182" t="s">
        <v>97</v>
      </c>
      <c r="E4" s="183"/>
      <c r="F4" s="183"/>
      <c r="G4" s="126"/>
      <c r="H4" s="126"/>
      <c r="I4" s="126"/>
      <c r="J4" s="126"/>
      <c r="K4" s="126"/>
      <c r="L4" s="126"/>
    </row>
    <row r="5" ht="14.25" customHeight="1">
      <c r="A5" s="182" t="s">
        <v>98</v>
      </c>
      <c r="C5" s="183"/>
      <c r="D5" s="183"/>
      <c r="E5" s="183"/>
      <c r="F5" s="183"/>
      <c r="G5" s="126"/>
      <c r="H5" s="126"/>
      <c r="I5" s="126"/>
      <c r="J5" s="126"/>
      <c r="K5" s="126"/>
      <c r="L5" s="126"/>
    </row>
    <row r="6" ht="14.25" customHeight="1">
      <c r="A6" s="182" t="s">
        <v>99</v>
      </c>
      <c r="D6" s="183"/>
      <c r="E6" s="183"/>
      <c r="F6" s="183"/>
      <c r="G6" s="126"/>
      <c r="H6" s="126"/>
      <c r="I6" s="126"/>
      <c r="J6" s="126"/>
      <c r="K6" s="126"/>
      <c r="L6" s="126"/>
    </row>
    <row r="7" ht="14.25" customHeight="1">
      <c r="A7" s="184" t="s">
        <v>100</v>
      </c>
      <c r="B7" s="131" t="s">
        <v>101</v>
      </c>
      <c r="C7" s="131" t="s">
        <v>102</v>
      </c>
      <c r="D7" s="131" t="s">
        <v>103</v>
      </c>
      <c r="E7" s="131" t="s">
        <v>115</v>
      </c>
      <c r="F7" s="131" t="s">
        <v>105</v>
      </c>
      <c r="G7" s="185" t="s">
        <v>106</v>
      </c>
      <c r="H7" s="132" t="s">
        <v>107</v>
      </c>
      <c r="I7" s="126"/>
      <c r="J7" s="126"/>
      <c r="K7" s="126"/>
      <c r="L7" s="126"/>
    </row>
    <row r="8" ht="14.25" customHeight="1">
      <c r="A8" s="187" t="s">
        <v>306</v>
      </c>
      <c r="B8" s="151">
        <v>41700.0</v>
      </c>
      <c r="C8" s="151">
        <v>10000.0</v>
      </c>
      <c r="D8" s="151">
        <v>51700.0</v>
      </c>
      <c r="E8" s="151">
        <v>568300.0</v>
      </c>
      <c r="F8" s="225"/>
      <c r="G8" s="155">
        <v>10000.0</v>
      </c>
      <c r="H8" s="155">
        <v>42000.0</v>
      </c>
      <c r="I8" s="126"/>
      <c r="J8" s="126"/>
      <c r="K8" s="126"/>
      <c r="L8" s="126"/>
    </row>
    <row r="9" ht="14.25" customHeight="1">
      <c r="A9" s="189" t="s">
        <v>203</v>
      </c>
      <c r="B9" s="155">
        <v>41700.0</v>
      </c>
      <c r="C9" s="155">
        <v>10000.0</v>
      </c>
      <c r="D9" s="155">
        <v>51700.0</v>
      </c>
      <c r="E9" s="155">
        <v>516600.0</v>
      </c>
      <c r="F9" s="226"/>
      <c r="G9" s="155">
        <v>10000.0</v>
      </c>
      <c r="H9" s="155">
        <v>42000.0</v>
      </c>
      <c r="I9" s="126"/>
      <c r="J9" s="126"/>
      <c r="K9" s="126"/>
      <c r="L9" s="126"/>
    </row>
    <row r="10" ht="14.25" customHeight="1">
      <c r="A10" s="189" t="s">
        <v>307</v>
      </c>
      <c r="B10" s="155">
        <v>41700.0</v>
      </c>
      <c r="C10" s="155">
        <v>10000.0</v>
      </c>
      <c r="D10" s="155">
        <v>51700.0</v>
      </c>
      <c r="E10" s="155">
        <v>464900.0</v>
      </c>
      <c r="F10" s="226"/>
      <c r="G10" s="155">
        <v>10000.0</v>
      </c>
      <c r="H10" s="155">
        <v>42000.0</v>
      </c>
      <c r="I10" s="126"/>
      <c r="J10" s="126"/>
      <c r="K10" s="126"/>
      <c r="L10" s="126"/>
    </row>
    <row r="11" ht="14.25" customHeight="1">
      <c r="A11" s="189" t="s">
        <v>308</v>
      </c>
      <c r="B11" s="155">
        <v>41700.0</v>
      </c>
      <c r="C11" s="155">
        <v>10000.0</v>
      </c>
      <c r="D11" s="155">
        <v>51700.0</v>
      </c>
      <c r="E11" s="155">
        <v>413200.0</v>
      </c>
      <c r="F11" s="226"/>
      <c r="G11" s="155">
        <v>10000.0</v>
      </c>
      <c r="H11" s="155">
        <v>42000.0</v>
      </c>
      <c r="I11" s="126"/>
      <c r="J11" s="126"/>
      <c r="K11" s="126"/>
      <c r="L11" s="126"/>
    </row>
    <row r="12" ht="14.25" customHeight="1">
      <c r="A12" s="189" t="s">
        <v>309</v>
      </c>
      <c r="B12" s="155">
        <v>41700.0</v>
      </c>
      <c r="C12" s="155">
        <v>10000.0</v>
      </c>
      <c r="D12" s="155">
        <v>51700.0</v>
      </c>
      <c r="E12" s="155">
        <v>361500.0</v>
      </c>
      <c r="F12" s="226"/>
      <c r="G12" s="155">
        <v>10000.0</v>
      </c>
      <c r="H12" s="155">
        <v>42000.0</v>
      </c>
      <c r="I12" s="126"/>
      <c r="J12" s="126"/>
      <c r="K12" s="126"/>
      <c r="L12" s="126"/>
    </row>
    <row r="13" ht="14.25" customHeight="1">
      <c r="A13" s="189" t="s">
        <v>310</v>
      </c>
      <c r="B13" s="155">
        <v>41700.0</v>
      </c>
      <c r="C13" s="155">
        <v>10000.0</v>
      </c>
      <c r="D13" s="155">
        <v>51700.0</v>
      </c>
      <c r="E13" s="155">
        <v>309800.0</v>
      </c>
      <c r="F13" s="226"/>
      <c r="G13" s="155">
        <v>10000.0</v>
      </c>
      <c r="H13" s="155">
        <v>42000.0</v>
      </c>
      <c r="I13" s="126"/>
      <c r="J13" s="126"/>
      <c r="K13" s="126"/>
      <c r="L13" s="126"/>
    </row>
    <row r="14" ht="14.25" customHeight="1">
      <c r="A14" s="189" t="s">
        <v>311</v>
      </c>
      <c r="B14" s="155">
        <v>41700.0</v>
      </c>
      <c r="C14" s="155">
        <v>10000.0</v>
      </c>
      <c r="D14" s="155">
        <v>51700.0</v>
      </c>
      <c r="E14" s="155">
        <v>258100.0</v>
      </c>
      <c r="F14" s="226"/>
      <c r="G14" s="155">
        <v>10000.0</v>
      </c>
      <c r="H14" s="155">
        <v>42000.0</v>
      </c>
      <c r="I14" s="126"/>
      <c r="J14" s="126"/>
      <c r="K14" s="126"/>
      <c r="L14" s="126"/>
    </row>
    <row r="15" ht="14.25" customHeight="1">
      <c r="A15" s="189" t="s">
        <v>44</v>
      </c>
      <c r="B15" s="155">
        <v>41700.0</v>
      </c>
      <c r="C15" s="155">
        <v>10000.0</v>
      </c>
      <c r="D15" s="155">
        <v>51700.0</v>
      </c>
      <c r="E15" s="155">
        <v>206400.0</v>
      </c>
      <c r="F15" s="226"/>
      <c r="G15" s="226"/>
      <c r="H15" s="226"/>
      <c r="I15" s="126"/>
      <c r="J15" s="126"/>
      <c r="K15" s="126"/>
      <c r="L15" s="126"/>
    </row>
    <row r="16" ht="14.25" customHeight="1">
      <c r="A16" s="189" t="s">
        <v>312</v>
      </c>
      <c r="B16" s="155">
        <v>41700.0</v>
      </c>
      <c r="C16" s="155">
        <v>10000.0</v>
      </c>
      <c r="D16" s="155">
        <v>51700.0</v>
      </c>
      <c r="E16" s="155">
        <v>154700.0</v>
      </c>
      <c r="F16" s="226"/>
      <c r="G16" s="226"/>
      <c r="H16" s="226"/>
      <c r="I16" s="126"/>
      <c r="J16" s="126"/>
      <c r="K16" s="126"/>
      <c r="L16" s="126"/>
    </row>
    <row r="17" ht="14.25" customHeight="1">
      <c r="A17" s="189" t="s">
        <v>313</v>
      </c>
      <c r="B17" s="155">
        <v>41700.0</v>
      </c>
      <c r="C17" s="155">
        <v>10000.0</v>
      </c>
      <c r="D17" s="155">
        <v>51700.0</v>
      </c>
      <c r="E17" s="155">
        <v>103000.0</v>
      </c>
      <c r="F17" s="226"/>
      <c r="G17" s="226"/>
      <c r="H17" s="226"/>
      <c r="I17" s="126"/>
      <c r="J17" s="126"/>
      <c r="K17" s="126"/>
      <c r="L17" s="126"/>
    </row>
    <row r="18" ht="14.25" customHeight="1">
      <c r="A18" s="189" t="s">
        <v>314</v>
      </c>
      <c r="B18" s="155">
        <v>41700.0</v>
      </c>
      <c r="C18" s="155">
        <v>10000.0</v>
      </c>
      <c r="D18" s="155">
        <v>51700.0</v>
      </c>
      <c r="E18" s="155">
        <v>51300.0</v>
      </c>
      <c r="F18" s="226"/>
      <c r="G18" s="226"/>
      <c r="H18" s="226"/>
      <c r="I18" s="126"/>
      <c r="J18" s="126"/>
      <c r="K18" s="126"/>
      <c r="L18" s="126"/>
    </row>
    <row r="19" ht="14.25" customHeight="1">
      <c r="A19" s="189" t="s">
        <v>315</v>
      </c>
      <c r="B19" s="155">
        <v>41300.0</v>
      </c>
      <c r="C19" s="155">
        <v>10000.0</v>
      </c>
      <c r="D19" s="155">
        <v>51300.0</v>
      </c>
      <c r="E19" s="190" t="s">
        <v>121</v>
      </c>
      <c r="F19" s="226"/>
      <c r="G19" s="226"/>
      <c r="H19" s="226"/>
      <c r="I19" s="126"/>
      <c r="J19" s="126"/>
      <c r="K19" s="126"/>
      <c r="L19" s="126"/>
    </row>
    <row r="20" ht="14.25" customHeight="1">
      <c r="A20" s="126"/>
      <c r="B20" s="194">
        <v>500000.0</v>
      </c>
      <c r="C20" s="194">
        <v>120000.0</v>
      </c>
      <c r="D20" s="194">
        <v>620000.0</v>
      </c>
      <c r="E20" s="195"/>
      <c r="F20" s="126"/>
      <c r="G20" s="196">
        <f t="shared" ref="G20:H20" si="1">SUM(G8:G19)</f>
        <v>70000</v>
      </c>
      <c r="H20" s="196">
        <f t="shared" si="1"/>
        <v>294000</v>
      </c>
      <c r="I20" s="179">
        <f>G20+H20</f>
        <v>364000</v>
      </c>
      <c r="J20" s="297">
        <f>D20-I20</f>
        <v>256000</v>
      </c>
      <c r="K20" s="139" t="s">
        <v>3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</sheetData>
  <mergeCells count="6">
    <mergeCell ref="A2:C2"/>
    <mergeCell ref="A3:E3"/>
    <mergeCell ref="A4:D4"/>
    <mergeCell ref="A5:B5"/>
    <mergeCell ref="A6:C6"/>
    <mergeCell ref="K20:L20"/>
  </mergeCell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0.57"/>
    <col customWidth="1" min="3" max="3" width="8.86"/>
    <col customWidth="1" min="4" max="4" width="11.43"/>
    <col customWidth="1" min="5" max="5" width="14.29"/>
    <col customWidth="1" min="6" max="6" width="14.71"/>
    <col customWidth="1" min="7" max="7" width="13.43"/>
    <col customWidth="1" min="8" max="8" width="15.86"/>
    <col customWidth="1" min="9" max="9" width="11.57"/>
    <col customWidth="1" min="10" max="10" width="13.71"/>
    <col customWidth="1" min="11" max="26" width="8.0"/>
  </cols>
  <sheetData>
    <row r="1" ht="15.0" customHeight="1">
      <c r="A1" s="314" t="s">
        <v>316</v>
      </c>
      <c r="B1" s="315"/>
      <c r="C1" s="315"/>
      <c r="D1" s="315"/>
      <c r="E1" s="315"/>
    </row>
    <row r="2" ht="15.0" customHeight="1">
      <c r="A2" s="316" t="s">
        <v>276</v>
      </c>
      <c r="B2" s="316"/>
      <c r="C2" s="316"/>
      <c r="D2" s="316"/>
      <c r="E2" s="316"/>
    </row>
    <row r="3" ht="15.0" customHeight="1">
      <c r="A3" s="317" t="s">
        <v>317</v>
      </c>
      <c r="B3" s="316"/>
      <c r="C3" s="316"/>
      <c r="D3" s="316"/>
      <c r="E3" s="316"/>
    </row>
    <row r="4" ht="15.0" customHeight="1">
      <c r="A4" s="316" t="s">
        <v>97</v>
      </c>
      <c r="B4" s="316"/>
      <c r="C4" s="316"/>
      <c r="D4" s="316"/>
      <c r="E4" s="316"/>
    </row>
    <row r="5" ht="15.0" customHeight="1">
      <c r="A5" s="316" t="s">
        <v>318</v>
      </c>
      <c r="B5" s="316"/>
      <c r="C5" s="316"/>
      <c r="D5" s="316"/>
      <c r="E5" s="316"/>
    </row>
    <row r="6" ht="15.75" customHeight="1">
      <c r="A6" s="317" t="s">
        <v>298</v>
      </c>
      <c r="B6" s="316"/>
      <c r="C6" s="316"/>
      <c r="D6" s="316"/>
      <c r="E6" s="316"/>
    </row>
    <row r="7" ht="60.0" customHeight="1">
      <c r="A7" s="112" t="s">
        <v>100</v>
      </c>
      <c r="B7" s="112" t="s">
        <v>101</v>
      </c>
      <c r="C7" s="113" t="s">
        <v>102</v>
      </c>
      <c r="D7" s="113" t="s">
        <v>103</v>
      </c>
      <c r="E7" s="113" t="s">
        <v>104</v>
      </c>
      <c r="F7" s="112" t="s">
        <v>105</v>
      </c>
      <c r="G7" s="114" t="s">
        <v>106</v>
      </c>
      <c r="H7" s="114" t="s">
        <v>107</v>
      </c>
      <c r="I7" s="318" t="s">
        <v>116</v>
      </c>
    </row>
    <row r="8" ht="14.25" customHeight="1">
      <c r="A8" s="251">
        <v>45324.0</v>
      </c>
      <c r="B8" s="7">
        <v>21000.0</v>
      </c>
      <c r="C8" s="7">
        <v>10000.0</v>
      </c>
      <c r="D8" s="7">
        <f t="shared" ref="D8:D31" si="1">B8+C8</f>
        <v>31000</v>
      </c>
      <c r="E8" s="7">
        <f>740000-D8</f>
        <v>709000</v>
      </c>
      <c r="F8" s="5"/>
      <c r="G8" s="7">
        <v>10000.0</v>
      </c>
      <c r="H8" s="6">
        <v>21000.0</v>
      </c>
    </row>
    <row r="9" ht="14.25" customHeight="1">
      <c r="A9" s="251">
        <v>45325.0</v>
      </c>
      <c r="B9" s="7">
        <v>21000.0</v>
      </c>
      <c r="C9" s="7">
        <v>10000.0</v>
      </c>
      <c r="D9" s="7">
        <f t="shared" si="1"/>
        <v>31000</v>
      </c>
      <c r="E9" s="7">
        <f t="shared" ref="E9:E31" si="2">E8-D9</f>
        <v>678000</v>
      </c>
      <c r="F9" s="5"/>
      <c r="G9" s="7">
        <v>10000.0</v>
      </c>
      <c r="H9" s="6">
        <v>21000.0</v>
      </c>
    </row>
    <row r="10" ht="14.25" customHeight="1">
      <c r="A10" s="251">
        <v>45326.0</v>
      </c>
      <c r="B10" s="7">
        <v>21000.0</v>
      </c>
      <c r="C10" s="7">
        <v>10000.0</v>
      </c>
      <c r="D10" s="7">
        <f t="shared" si="1"/>
        <v>31000</v>
      </c>
      <c r="E10" s="7">
        <f t="shared" si="2"/>
        <v>647000</v>
      </c>
      <c r="F10" s="5"/>
      <c r="G10" s="7">
        <v>10000.0</v>
      </c>
      <c r="H10" s="6">
        <v>21000.0</v>
      </c>
    </row>
    <row r="11" ht="14.25" customHeight="1">
      <c r="A11" s="251">
        <v>45327.0</v>
      </c>
      <c r="B11" s="7">
        <v>21000.0</v>
      </c>
      <c r="C11" s="7">
        <v>10000.0</v>
      </c>
      <c r="D11" s="7">
        <f t="shared" si="1"/>
        <v>31000</v>
      </c>
      <c r="E11" s="7">
        <f t="shared" si="2"/>
        <v>616000</v>
      </c>
      <c r="F11" s="5"/>
      <c r="G11" s="7">
        <v>10000.0</v>
      </c>
      <c r="H11" s="6">
        <v>21000.0</v>
      </c>
      <c r="I11" s="107">
        <f>31000*5%</f>
        <v>1550</v>
      </c>
      <c r="J11" s="59" t="s">
        <v>49</v>
      </c>
    </row>
    <row r="12" ht="14.25" customHeight="1">
      <c r="A12" s="251">
        <v>45328.0</v>
      </c>
      <c r="B12" s="7">
        <v>21000.0</v>
      </c>
      <c r="C12" s="7">
        <v>10000.0</v>
      </c>
      <c r="D12" s="7">
        <f t="shared" si="1"/>
        <v>31000</v>
      </c>
      <c r="E12" s="7">
        <f t="shared" si="2"/>
        <v>585000</v>
      </c>
      <c r="F12" s="5"/>
      <c r="G12" s="7">
        <v>10000.0</v>
      </c>
      <c r="H12" s="6">
        <v>21000.0</v>
      </c>
    </row>
    <row r="13" ht="14.25" customHeight="1">
      <c r="A13" s="251">
        <v>45329.0</v>
      </c>
      <c r="B13" s="7">
        <v>21000.0</v>
      </c>
      <c r="C13" s="7">
        <v>10000.0</v>
      </c>
      <c r="D13" s="7">
        <f t="shared" si="1"/>
        <v>31000</v>
      </c>
      <c r="E13" s="7">
        <f t="shared" si="2"/>
        <v>554000</v>
      </c>
      <c r="F13" s="5"/>
      <c r="G13" s="7">
        <v>10000.0</v>
      </c>
      <c r="H13" s="6">
        <v>21000.0</v>
      </c>
      <c r="I13" s="59">
        <v>1550.0</v>
      </c>
      <c r="J13" s="59" t="s">
        <v>49</v>
      </c>
    </row>
    <row r="14" ht="14.25" customHeight="1">
      <c r="A14" s="251">
        <v>45330.0</v>
      </c>
      <c r="B14" s="7">
        <v>21000.0</v>
      </c>
      <c r="C14" s="7">
        <v>10000.0</v>
      </c>
      <c r="D14" s="7">
        <f t="shared" si="1"/>
        <v>31000</v>
      </c>
      <c r="E14" s="7">
        <f t="shared" si="2"/>
        <v>523000</v>
      </c>
      <c r="F14" s="5"/>
      <c r="G14" s="7">
        <v>10000.0</v>
      </c>
      <c r="H14" s="6">
        <v>21000.0</v>
      </c>
    </row>
    <row r="15" ht="14.25" customHeight="1">
      <c r="A15" s="251">
        <v>45331.0</v>
      </c>
      <c r="B15" s="7">
        <v>21000.0</v>
      </c>
      <c r="C15" s="7">
        <v>10000.0</v>
      </c>
      <c r="D15" s="7">
        <f t="shared" si="1"/>
        <v>31000</v>
      </c>
      <c r="E15" s="7">
        <f t="shared" si="2"/>
        <v>492000</v>
      </c>
      <c r="F15" s="5"/>
      <c r="G15" s="7">
        <v>10000.0</v>
      </c>
      <c r="H15" s="6">
        <v>21000.0</v>
      </c>
    </row>
    <row r="16" ht="14.25" customHeight="1">
      <c r="A16" s="251">
        <v>45332.0</v>
      </c>
      <c r="B16" s="7">
        <v>21000.0</v>
      </c>
      <c r="C16" s="7">
        <v>10000.0</v>
      </c>
      <c r="D16" s="7">
        <f t="shared" si="1"/>
        <v>31000</v>
      </c>
      <c r="E16" s="7">
        <f t="shared" si="2"/>
        <v>461000</v>
      </c>
      <c r="F16" s="5"/>
      <c r="G16" s="7">
        <v>10000.0</v>
      </c>
      <c r="H16" s="6">
        <v>21000.0</v>
      </c>
    </row>
    <row r="17" ht="14.25" customHeight="1">
      <c r="A17" s="251">
        <v>45333.0</v>
      </c>
      <c r="B17" s="7">
        <v>21000.0</v>
      </c>
      <c r="C17" s="7"/>
      <c r="D17" s="7">
        <f t="shared" si="1"/>
        <v>21000</v>
      </c>
      <c r="E17" s="7">
        <f t="shared" si="2"/>
        <v>440000</v>
      </c>
      <c r="F17" s="5"/>
      <c r="G17" s="11"/>
      <c r="H17" s="11">
        <v>311000.0</v>
      </c>
      <c r="I17" s="59" t="s">
        <v>319</v>
      </c>
    </row>
    <row r="18" ht="14.25" customHeight="1">
      <c r="A18" s="251">
        <v>45334.0</v>
      </c>
      <c r="B18" s="7">
        <v>21000.0</v>
      </c>
      <c r="C18" s="7"/>
      <c r="D18" s="7">
        <f t="shared" si="1"/>
        <v>21000</v>
      </c>
      <c r="E18" s="7">
        <f t="shared" si="2"/>
        <v>419000</v>
      </c>
      <c r="F18" s="5"/>
      <c r="G18" s="5"/>
      <c r="H18" s="5"/>
    </row>
    <row r="19" ht="14.25" customHeight="1">
      <c r="A19" s="251">
        <v>45689.0</v>
      </c>
      <c r="B19" s="7">
        <v>21000.0</v>
      </c>
      <c r="C19" s="7"/>
      <c r="D19" s="7">
        <f t="shared" si="1"/>
        <v>21000</v>
      </c>
      <c r="E19" s="7">
        <f t="shared" si="2"/>
        <v>398000</v>
      </c>
      <c r="F19" s="5"/>
      <c r="G19" s="5"/>
      <c r="H19" s="5"/>
    </row>
    <row r="20" ht="14.25" customHeight="1">
      <c r="A20" s="251">
        <v>45690.0</v>
      </c>
      <c r="B20" s="7">
        <v>21000.0</v>
      </c>
      <c r="C20" s="7"/>
      <c r="D20" s="7">
        <f t="shared" si="1"/>
        <v>21000</v>
      </c>
      <c r="E20" s="7">
        <f t="shared" si="2"/>
        <v>377000</v>
      </c>
      <c r="F20" s="5"/>
      <c r="G20" s="5"/>
      <c r="H20" s="5"/>
    </row>
    <row r="21" ht="14.25" customHeight="1">
      <c r="A21" s="251">
        <v>45691.0</v>
      </c>
      <c r="B21" s="7">
        <v>21000.0</v>
      </c>
      <c r="C21" s="7"/>
      <c r="D21" s="7">
        <f t="shared" si="1"/>
        <v>21000</v>
      </c>
      <c r="E21" s="7">
        <f t="shared" si="2"/>
        <v>356000</v>
      </c>
      <c r="F21" s="5"/>
      <c r="G21" s="5"/>
      <c r="H21" s="5"/>
    </row>
    <row r="22" ht="14.25" customHeight="1">
      <c r="A22" s="251">
        <v>45692.0</v>
      </c>
      <c r="B22" s="7">
        <v>21000.0</v>
      </c>
      <c r="C22" s="7"/>
      <c r="D22" s="7">
        <f t="shared" si="1"/>
        <v>21000</v>
      </c>
      <c r="E22" s="7">
        <f t="shared" si="2"/>
        <v>335000</v>
      </c>
      <c r="F22" s="5"/>
      <c r="G22" s="5"/>
      <c r="H22" s="5"/>
    </row>
    <row r="23" ht="14.25" customHeight="1">
      <c r="A23" s="251">
        <v>45693.0</v>
      </c>
      <c r="B23" s="7">
        <v>21000.0</v>
      </c>
      <c r="C23" s="7"/>
      <c r="D23" s="7">
        <f t="shared" si="1"/>
        <v>21000</v>
      </c>
      <c r="E23" s="7">
        <f t="shared" si="2"/>
        <v>314000</v>
      </c>
      <c r="F23" s="5"/>
      <c r="G23" s="5"/>
      <c r="H23" s="5"/>
    </row>
    <row r="24" ht="14.25" customHeight="1">
      <c r="A24" s="251">
        <v>45694.0</v>
      </c>
      <c r="B24" s="7">
        <v>21000.0</v>
      </c>
      <c r="C24" s="7"/>
      <c r="D24" s="7">
        <f t="shared" si="1"/>
        <v>21000</v>
      </c>
      <c r="E24" s="7">
        <f t="shared" si="2"/>
        <v>293000</v>
      </c>
      <c r="F24" s="5"/>
      <c r="G24" s="5"/>
      <c r="H24" s="5"/>
      <c r="J24" s="107">
        <f>311000+10000</f>
        <v>321000</v>
      </c>
    </row>
    <row r="25" ht="14.25" customHeight="1">
      <c r="A25" s="251">
        <v>45695.0</v>
      </c>
      <c r="B25" s="7">
        <v>21000.0</v>
      </c>
      <c r="C25" s="7"/>
      <c r="D25" s="7">
        <f t="shared" si="1"/>
        <v>21000</v>
      </c>
      <c r="E25" s="7">
        <f t="shared" si="2"/>
        <v>272000</v>
      </c>
      <c r="F25" s="5"/>
      <c r="G25" s="5"/>
      <c r="H25" s="5"/>
    </row>
    <row r="26" ht="14.25" customHeight="1">
      <c r="A26" s="251">
        <v>45696.0</v>
      </c>
      <c r="B26" s="7">
        <v>21000.0</v>
      </c>
      <c r="C26" s="7"/>
      <c r="D26" s="7">
        <f t="shared" si="1"/>
        <v>21000</v>
      </c>
      <c r="E26" s="7">
        <f t="shared" si="2"/>
        <v>251000</v>
      </c>
      <c r="F26" s="5"/>
      <c r="G26" s="5"/>
      <c r="H26" s="5"/>
    </row>
    <row r="27" ht="14.25" customHeight="1">
      <c r="A27" s="251">
        <v>45697.0</v>
      </c>
      <c r="B27" s="7">
        <v>21000.0</v>
      </c>
      <c r="C27" s="7"/>
      <c r="D27" s="7">
        <f t="shared" si="1"/>
        <v>21000</v>
      </c>
      <c r="E27" s="7">
        <f t="shared" si="2"/>
        <v>230000</v>
      </c>
      <c r="F27" s="5"/>
      <c r="G27" s="5"/>
      <c r="H27" s="5"/>
    </row>
    <row r="28" ht="14.25" customHeight="1">
      <c r="A28" s="251">
        <v>45698.0</v>
      </c>
      <c r="B28" s="7">
        <v>21000.0</v>
      </c>
      <c r="C28" s="7"/>
      <c r="D28" s="7">
        <f t="shared" si="1"/>
        <v>21000</v>
      </c>
      <c r="E28" s="7">
        <f t="shared" si="2"/>
        <v>209000</v>
      </c>
      <c r="F28" s="5"/>
      <c r="G28" s="5"/>
      <c r="H28" s="5"/>
    </row>
    <row r="29" ht="14.25" customHeight="1">
      <c r="A29" s="251">
        <v>45699.0</v>
      </c>
      <c r="B29" s="7">
        <v>21000.0</v>
      </c>
      <c r="C29" s="7"/>
      <c r="D29" s="7">
        <f t="shared" si="1"/>
        <v>21000</v>
      </c>
      <c r="E29" s="7">
        <f t="shared" si="2"/>
        <v>188000</v>
      </c>
      <c r="F29" s="5"/>
      <c r="G29" s="5"/>
      <c r="H29" s="11"/>
    </row>
    <row r="30" ht="14.25" customHeight="1">
      <c r="A30" s="251">
        <v>45700.0</v>
      </c>
      <c r="B30" s="7">
        <v>21000.0</v>
      </c>
      <c r="C30" s="7"/>
      <c r="D30" s="7">
        <f t="shared" si="1"/>
        <v>21000</v>
      </c>
      <c r="E30" s="7">
        <f t="shared" si="2"/>
        <v>167000</v>
      </c>
      <c r="F30" s="5"/>
      <c r="G30" s="5"/>
      <c r="H30" s="5"/>
    </row>
    <row r="31" ht="14.25" customHeight="1">
      <c r="A31" s="251">
        <v>46054.0</v>
      </c>
      <c r="B31" s="7">
        <f>21000-4000</f>
        <v>17000</v>
      </c>
      <c r="C31" s="7"/>
      <c r="D31" s="7">
        <f t="shared" si="1"/>
        <v>17000</v>
      </c>
      <c r="E31" s="7">
        <f t="shared" si="2"/>
        <v>150000</v>
      </c>
    </row>
    <row r="32" ht="14.25" customHeight="1">
      <c r="A32" s="117"/>
      <c r="B32" s="258">
        <f t="shared" ref="B32:D32" si="3">SUM(B8:B31)</f>
        <v>500000</v>
      </c>
      <c r="C32" s="258">
        <f t="shared" si="3"/>
        <v>90000</v>
      </c>
      <c r="D32" s="258">
        <f t="shared" si="3"/>
        <v>590000</v>
      </c>
      <c r="E32" s="258"/>
    </row>
    <row r="33" ht="14.25" customHeight="1">
      <c r="G33" s="260">
        <f t="shared" ref="G33:H33" si="4">SUM(G8:G32)</f>
        <v>90000</v>
      </c>
      <c r="H33" s="260">
        <f t="shared" si="4"/>
        <v>500000</v>
      </c>
      <c r="I33" s="260">
        <f>G33+H33</f>
        <v>590000</v>
      </c>
      <c r="J33" s="261">
        <f>D32-I33</f>
        <v>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13.0"/>
    <col customWidth="1" min="3" max="3" width="10.14"/>
    <col customWidth="1" min="4" max="4" width="13.71"/>
    <col customWidth="1" min="5" max="5" width="14.29"/>
    <col customWidth="1" min="6" max="6" width="14.71"/>
    <col customWidth="1" min="7" max="7" width="13.43"/>
    <col customWidth="1" min="8" max="8" width="15.57"/>
    <col customWidth="1" min="9" max="9" width="11.57"/>
    <col customWidth="1" min="10" max="10" width="13.71"/>
    <col customWidth="1" min="11" max="11" width="10.86"/>
    <col customWidth="1" min="12" max="26" width="8.0"/>
  </cols>
  <sheetData>
    <row r="1" ht="15.0" customHeight="1">
      <c r="A1" s="314" t="s">
        <v>316</v>
      </c>
      <c r="B1" s="315"/>
      <c r="C1" s="315"/>
      <c r="D1" s="315"/>
      <c r="E1" s="315"/>
    </row>
    <row r="2" ht="15.0" customHeight="1">
      <c r="A2" s="317" t="s">
        <v>320</v>
      </c>
      <c r="B2" s="316"/>
      <c r="C2" s="316"/>
      <c r="D2" s="316"/>
      <c r="E2" s="316"/>
    </row>
    <row r="3" ht="15.0" customHeight="1">
      <c r="A3" s="317" t="s">
        <v>321</v>
      </c>
      <c r="B3" s="316"/>
      <c r="C3" s="316"/>
      <c r="D3" s="316"/>
      <c r="E3" s="316"/>
    </row>
    <row r="4" ht="15.0" customHeight="1">
      <c r="A4" s="317" t="s">
        <v>322</v>
      </c>
      <c r="B4" s="316"/>
      <c r="C4" s="316"/>
      <c r="D4" s="316"/>
      <c r="E4" s="316"/>
    </row>
    <row r="5" ht="15.0" customHeight="1">
      <c r="A5" s="317" t="s">
        <v>230</v>
      </c>
      <c r="B5" s="316"/>
      <c r="C5" s="316"/>
      <c r="D5" s="316"/>
      <c r="E5" s="316"/>
    </row>
    <row r="6" ht="15.75" customHeight="1">
      <c r="A6" s="316" t="s">
        <v>323</v>
      </c>
      <c r="B6" s="316"/>
      <c r="C6" s="316"/>
      <c r="D6" s="316"/>
      <c r="E6" s="316"/>
    </row>
    <row r="7" ht="60.0" customHeight="1">
      <c r="A7" s="112" t="s">
        <v>100</v>
      </c>
      <c r="B7" s="112" t="s">
        <v>101</v>
      </c>
      <c r="C7" s="113" t="s">
        <v>102</v>
      </c>
      <c r="D7" s="113" t="s">
        <v>103</v>
      </c>
      <c r="E7" s="319" t="s">
        <v>324</v>
      </c>
      <c r="F7" s="112" t="s">
        <v>105</v>
      </c>
      <c r="G7" s="114" t="s">
        <v>106</v>
      </c>
      <c r="H7" s="114" t="s">
        <v>107</v>
      </c>
      <c r="I7" s="318"/>
    </row>
    <row r="8" ht="14.25" customHeight="1">
      <c r="A8" s="251">
        <v>45334.0</v>
      </c>
      <c r="B8" s="320">
        <f t="shared" ref="B8:B31" si="1">1000000/24</f>
        <v>41666.66667</v>
      </c>
      <c r="C8" s="6">
        <v>20000.0</v>
      </c>
      <c r="D8" s="7">
        <f t="shared" ref="D8:D31" si="2">B8+C8</f>
        <v>61666.66667</v>
      </c>
      <c r="E8" s="7">
        <f>1480000-D8</f>
        <v>1418333.333</v>
      </c>
      <c r="F8" s="5"/>
      <c r="G8" s="7"/>
      <c r="H8" s="6"/>
      <c r="K8" s="321"/>
    </row>
    <row r="9" ht="14.25" customHeight="1">
      <c r="A9" s="251">
        <v>45689.0</v>
      </c>
      <c r="B9" s="320">
        <f t="shared" si="1"/>
        <v>41666.66667</v>
      </c>
      <c r="C9" s="6">
        <v>20000.0</v>
      </c>
      <c r="D9" s="7">
        <f t="shared" si="2"/>
        <v>61666.66667</v>
      </c>
      <c r="E9" s="7">
        <f t="shared" ref="E9:E31" si="3">E8-D9</f>
        <v>1356666.667</v>
      </c>
      <c r="F9" s="5"/>
      <c r="G9" s="7"/>
      <c r="H9" s="6"/>
    </row>
    <row r="10" ht="14.25" customHeight="1">
      <c r="A10" s="251">
        <v>45690.0</v>
      </c>
      <c r="B10" s="320">
        <f t="shared" si="1"/>
        <v>41666.66667</v>
      </c>
      <c r="C10" s="6">
        <v>20000.0</v>
      </c>
      <c r="D10" s="7">
        <f t="shared" si="2"/>
        <v>61666.66667</v>
      </c>
      <c r="E10" s="7">
        <f t="shared" si="3"/>
        <v>1295000</v>
      </c>
      <c r="F10" s="5"/>
      <c r="G10" s="7"/>
      <c r="H10" s="6"/>
    </row>
    <row r="11" ht="14.25" customHeight="1">
      <c r="A11" s="251">
        <v>45691.0</v>
      </c>
      <c r="B11" s="320">
        <f t="shared" si="1"/>
        <v>41666.66667</v>
      </c>
      <c r="C11" s="6">
        <v>20000.0</v>
      </c>
      <c r="D11" s="7">
        <f t="shared" si="2"/>
        <v>61666.66667</v>
      </c>
      <c r="E11" s="7">
        <f t="shared" si="3"/>
        <v>1233333.333</v>
      </c>
      <c r="F11" s="5"/>
      <c r="G11" s="7"/>
      <c r="H11" s="6"/>
    </row>
    <row r="12" ht="14.25" customHeight="1">
      <c r="A12" s="251">
        <v>45692.0</v>
      </c>
      <c r="B12" s="320">
        <f t="shared" si="1"/>
        <v>41666.66667</v>
      </c>
      <c r="C12" s="6">
        <v>20000.0</v>
      </c>
      <c r="D12" s="7">
        <f t="shared" si="2"/>
        <v>61666.66667</v>
      </c>
      <c r="E12" s="7">
        <f t="shared" si="3"/>
        <v>1171666.667</v>
      </c>
      <c r="F12" s="5"/>
      <c r="G12" s="7"/>
      <c r="H12" s="6"/>
      <c r="K12" s="107">
        <f>62000+31000+31000</f>
        <v>124000</v>
      </c>
    </row>
    <row r="13" ht="14.25" customHeight="1">
      <c r="A13" s="251">
        <v>45693.0</v>
      </c>
      <c r="B13" s="320">
        <f t="shared" si="1"/>
        <v>41666.66667</v>
      </c>
      <c r="C13" s="6">
        <v>20000.0</v>
      </c>
      <c r="D13" s="7">
        <f t="shared" si="2"/>
        <v>61666.66667</v>
      </c>
      <c r="E13" s="7">
        <f t="shared" si="3"/>
        <v>1110000</v>
      </c>
      <c r="F13" s="5"/>
      <c r="G13" s="7"/>
      <c r="H13" s="6"/>
    </row>
    <row r="14" ht="14.25" customHeight="1">
      <c r="A14" s="251">
        <v>45694.0</v>
      </c>
      <c r="B14" s="320">
        <f t="shared" si="1"/>
        <v>41666.66667</v>
      </c>
      <c r="C14" s="6">
        <v>20000.0</v>
      </c>
      <c r="D14" s="7">
        <f t="shared" si="2"/>
        <v>61666.66667</v>
      </c>
      <c r="E14" s="7">
        <f t="shared" si="3"/>
        <v>1048333.333</v>
      </c>
      <c r="F14" s="5"/>
      <c r="G14" s="7"/>
      <c r="H14" s="6"/>
    </row>
    <row r="15" ht="14.25" customHeight="1">
      <c r="A15" s="251">
        <v>45695.0</v>
      </c>
      <c r="B15" s="320">
        <f t="shared" si="1"/>
        <v>41666.66667</v>
      </c>
      <c r="C15" s="6">
        <v>20000.0</v>
      </c>
      <c r="D15" s="7">
        <f t="shared" si="2"/>
        <v>61666.66667</v>
      </c>
      <c r="E15" s="7">
        <f t="shared" si="3"/>
        <v>986666.6667</v>
      </c>
      <c r="F15" s="5"/>
      <c r="G15" s="7"/>
      <c r="H15" s="6"/>
    </row>
    <row r="16" ht="14.25" customHeight="1">
      <c r="A16" s="251">
        <v>45696.0</v>
      </c>
      <c r="B16" s="320">
        <f t="shared" si="1"/>
        <v>41666.66667</v>
      </c>
      <c r="C16" s="6">
        <v>20000.0</v>
      </c>
      <c r="D16" s="7">
        <f t="shared" si="2"/>
        <v>61666.66667</v>
      </c>
      <c r="E16" s="7">
        <f t="shared" si="3"/>
        <v>925000</v>
      </c>
      <c r="F16" s="5"/>
      <c r="G16" s="7"/>
      <c r="H16" s="6"/>
    </row>
    <row r="17" ht="14.25" customHeight="1">
      <c r="A17" s="251">
        <v>45697.0</v>
      </c>
      <c r="B17" s="320">
        <f t="shared" si="1"/>
        <v>41666.66667</v>
      </c>
      <c r="C17" s="6">
        <v>20000.0</v>
      </c>
      <c r="D17" s="7">
        <f t="shared" si="2"/>
        <v>61666.66667</v>
      </c>
      <c r="E17" s="7">
        <f t="shared" si="3"/>
        <v>863333.3333</v>
      </c>
      <c r="F17" s="5"/>
      <c r="G17" s="5"/>
      <c r="H17" s="11"/>
    </row>
    <row r="18" ht="14.25" customHeight="1">
      <c r="A18" s="251">
        <v>45698.0</v>
      </c>
      <c r="B18" s="320">
        <f t="shared" si="1"/>
        <v>41666.66667</v>
      </c>
      <c r="C18" s="6">
        <v>20000.0</v>
      </c>
      <c r="D18" s="7">
        <f t="shared" si="2"/>
        <v>61666.66667</v>
      </c>
      <c r="E18" s="7">
        <f t="shared" si="3"/>
        <v>801666.6667</v>
      </c>
      <c r="F18" s="5"/>
      <c r="G18" s="5"/>
      <c r="H18" s="5"/>
    </row>
    <row r="19" ht="14.25" customHeight="1">
      <c r="A19" s="251">
        <v>45699.0</v>
      </c>
      <c r="B19" s="320">
        <f t="shared" si="1"/>
        <v>41666.66667</v>
      </c>
      <c r="C19" s="6">
        <v>20000.0</v>
      </c>
      <c r="D19" s="7">
        <f t="shared" si="2"/>
        <v>61666.66667</v>
      </c>
      <c r="E19" s="7">
        <f t="shared" si="3"/>
        <v>740000</v>
      </c>
      <c r="F19" s="5"/>
      <c r="G19" s="5"/>
      <c r="H19" s="5"/>
    </row>
    <row r="20" ht="14.25" customHeight="1">
      <c r="A20" s="9">
        <v>45700.0</v>
      </c>
      <c r="B20" s="320">
        <f t="shared" si="1"/>
        <v>41666.66667</v>
      </c>
      <c r="C20" s="6">
        <v>20000.0</v>
      </c>
      <c r="D20" s="7">
        <f t="shared" si="2"/>
        <v>61666.66667</v>
      </c>
      <c r="E20" s="7">
        <f t="shared" si="3"/>
        <v>678333.3333</v>
      </c>
      <c r="F20" s="5"/>
      <c r="G20" s="5"/>
      <c r="H20" s="5"/>
    </row>
    <row r="21" ht="14.25" customHeight="1">
      <c r="A21" s="251">
        <v>46054.0</v>
      </c>
      <c r="B21" s="320">
        <f t="shared" si="1"/>
        <v>41666.66667</v>
      </c>
      <c r="C21" s="6">
        <v>20000.0</v>
      </c>
      <c r="D21" s="7">
        <f t="shared" si="2"/>
        <v>61666.66667</v>
      </c>
      <c r="E21" s="7">
        <f t="shared" si="3"/>
        <v>616666.6667</v>
      </c>
      <c r="F21" s="5"/>
      <c r="G21" s="5"/>
      <c r="H21" s="5"/>
    </row>
    <row r="22" ht="14.25" customHeight="1">
      <c r="A22" s="251">
        <v>46055.0</v>
      </c>
      <c r="B22" s="320">
        <f t="shared" si="1"/>
        <v>41666.66667</v>
      </c>
      <c r="C22" s="6">
        <v>20000.0</v>
      </c>
      <c r="D22" s="7">
        <f t="shared" si="2"/>
        <v>61666.66667</v>
      </c>
      <c r="E22" s="7">
        <f t="shared" si="3"/>
        <v>555000</v>
      </c>
      <c r="F22" s="5"/>
      <c r="G22" s="5"/>
      <c r="H22" s="5"/>
    </row>
    <row r="23" ht="14.25" customHeight="1">
      <c r="A23" s="251">
        <v>46056.0</v>
      </c>
      <c r="B23" s="320">
        <f t="shared" si="1"/>
        <v>41666.66667</v>
      </c>
      <c r="C23" s="6">
        <v>20000.0</v>
      </c>
      <c r="D23" s="7">
        <f t="shared" si="2"/>
        <v>61666.66667</v>
      </c>
      <c r="E23" s="7">
        <f t="shared" si="3"/>
        <v>493333.3333</v>
      </c>
      <c r="F23" s="5"/>
      <c r="G23" s="5"/>
      <c r="H23" s="5"/>
    </row>
    <row r="24" ht="14.25" customHeight="1">
      <c r="A24" s="251">
        <v>46057.0</v>
      </c>
      <c r="B24" s="320">
        <f t="shared" si="1"/>
        <v>41666.66667</v>
      </c>
      <c r="C24" s="6">
        <v>20000.0</v>
      </c>
      <c r="D24" s="7">
        <f t="shared" si="2"/>
        <v>61666.66667</v>
      </c>
      <c r="E24" s="7">
        <f t="shared" si="3"/>
        <v>431666.6667</v>
      </c>
      <c r="F24" s="5"/>
      <c r="G24" s="5"/>
      <c r="H24" s="5"/>
    </row>
    <row r="25" ht="14.25" customHeight="1">
      <c r="A25" s="251">
        <v>46058.0</v>
      </c>
      <c r="B25" s="320">
        <f t="shared" si="1"/>
        <v>41666.66667</v>
      </c>
      <c r="C25" s="6">
        <v>20000.0</v>
      </c>
      <c r="D25" s="7">
        <f t="shared" si="2"/>
        <v>61666.66667</v>
      </c>
      <c r="E25" s="7">
        <f t="shared" si="3"/>
        <v>370000</v>
      </c>
      <c r="F25" s="5"/>
      <c r="G25" s="5"/>
      <c r="H25" s="5"/>
    </row>
    <row r="26" ht="14.25" customHeight="1">
      <c r="A26" s="251">
        <v>46059.0</v>
      </c>
      <c r="B26" s="320">
        <f t="shared" si="1"/>
        <v>41666.66667</v>
      </c>
      <c r="C26" s="6">
        <v>20000.0</v>
      </c>
      <c r="D26" s="7">
        <f t="shared" si="2"/>
        <v>61666.66667</v>
      </c>
      <c r="E26" s="7">
        <f t="shared" si="3"/>
        <v>308333.3333</v>
      </c>
      <c r="F26" s="5"/>
      <c r="G26" s="5"/>
      <c r="H26" s="5"/>
    </row>
    <row r="27" ht="14.25" customHeight="1">
      <c r="A27" s="251">
        <v>46060.0</v>
      </c>
      <c r="B27" s="320">
        <f t="shared" si="1"/>
        <v>41666.66667</v>
      </c>
      <c r="C27" s="6">
        <v>20000.0</v>
      </c>
      <c r="D27" s="7">
        <f t="shared" si="2"/>
        <v>61666.66667</v>
      </c>
      <c r="E27" s="7">
        <f t="shared" si="3"/>
        <v>246666.6667</v>
      </c>
      <c r="F27" s="5"/>
      <c r="G27" s="5"/>
      <c r="H27" s="5"/>
    </row>
    <row r="28" ht="14.25" customHeight="1">
      <c r="A28" s="251">
        <v>46061.0</v>
      </c>
      <c r="B28" s="320">
        <f t="shared" si="1"/>
        <v>41666.66667</v>
      </c>
      <c r="C28" s="6">
        <v>20000.0</v>
      </c>
      <c r="D28" s="7">
        <f t="shared" si="2"/>
        <v>61666.66667</v>
      </c>
      <c r="E28" s="7">
        <f t="shared" si="3"/>
        <v>185000</v>
      </c>
      <c r="F28" s="5"/>
      <c r="G28" s="5"/>
      <c r="H28" s="5"/>
    </row>
    <row r="29" ht="14.25" customHeight="1">
      <c r="A29" s="251">
        <v>46062.0</v>
      </c>
      <c r="B29" s="320">
        <f t="shared" si="1"/>
        <v>41666.66667</v>
      </c>
      <c r="C29" s="6">
        <v>20000.0</v>
      </c>
      <c r="D29" s="7">
        <f t="shared" si="2"/>
        <v>61666.66667</v>
      </c>
      <c r="E29" s="7">
        <f t="shared" si="3"/>
        <v>123333.3333</v>
      </c>
      <c r="F29" s="5"/>
      <c r="G29" s="5"/>
      <c r="H29" s="5"/>
    </row>
    <row r="30" ht="14.25" customHeight="1">
      <c r="A30" s="251">
        <v>46063.0</v>
      </c>
      <c r="B30" s="320">
        <f t="shared" si="1"/>
        <v>41666.66667</v>
      </c>
      <c r="C30" s="6">
        <v>20000.0</v>
      </c>
      <c r="D30" s="7">
        <f t="shared" si="2"/>
        <v>61666.66667</v>
      </c>
      <c r="E30" s="7">
        <f t="shared" si="3"/>
        <v>61666.66667</v>
      </c>
      <c r="F30" s="5"/>
      <c r="G30" s="5"/>
      <c r="H30" s="5"/>
    </row>
    <row r="31" ht="14.25" customHeight="1">
      <c r="A31" s="251">
        <v>46064.0</v>
      </c>
      <c r="B31" s="320">
        <f t="shared" si="1"/>
        <v>41666.66667</v>
      </c>
      <c r="C31" s="6">
        <v>20000.0</v>
      </c>
      <c r="D31" s="7">
        <f t="shared" si="2"/>
        <v>61666.66667</v>
      </c>
      <c r="E31" s="7">
        <f t="shared" si="3"/>
        <v>-0.0000000001600710675</v>
      </c>
    </row>
    <row r="32" ht="14.25" customHeight="1">
      <c r="A32" s="117"/>
      <c r="B32" s="322">
        <f t="shared" ref="B32:D32" si="4">SUM(B8:B31)</f>
        <v>1000000</v>
      </c>
      <c r="C32" s="258">
        <f t="shared" si="4"/>
        <v>480000</v>
      </c>
      <c r="D32" s="258">
        <f t="shared" si="4"/>
        <v>1480000</v>
      </c>
      <c r="E32" s="7"/>
    </row>
    <row r="33" ht="14.25" customHeight="1">
      <c r="G33" s="260">
        <f t="shared" ref="G33:H33" si="5">SUM(G8:G32)</f>
        <v>0</v>
      </c>
      <c r="H33" s="260">
        <f t="shared" si="5"/>
        <v>0</v>
      </c>
      <c r="I33" s="260">
        <f>G33+H33</f>
        <v>0</v>
      </c>
      <c r="J33" s="261">
        <f>D32-I33</f>
        <v>1480000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3" width="8.0"/>
    <col customWidth="1" min="4" max="4" width="10.14"/>
    <col customWidth="1" min="5" max="5" width="8.86"/>
    <col customWidth="1" min="6" max="6" width="15.86"/>
    <col customWidth="1" min="7" max="7" width="14.71"/>
    <col customWidth="1" min="8" max="8" width="14.29"/>
    <col customWidth="1" min="9" max="9" width="9.0"/>
    <col customWidth="1" min="10" max="10" width="14.14"/>
    <col customWidth="1" min="11" max="26" width="8.0"/>
  </cols>
  <sheetData>
    <row r="1" ht="15.0" customHeight="1">
      <c r="A1" s="323" t="s">
        <v>325</v>
      </c>
      <c r="B1" s="315"/>
      <c r="C1" s="315"/>
      <c r="D1" s="315"/>
      <c r="E1" s="315"/>
    </row>
    <row r="2" ht="15.0" customHeight="1">
      <c r="A2" s="317" t="s">
        <v>276</v>
      </c>
      <c r="B2" s="316"/>
      <c r="C2" s="316"/>
      <c r="D2" s="316"/>
      <c r="E2" s="316"/>
    </row>
    <row r="3" ht="15.0" customHeight="1">
      <c r="A3" s="316" t="s">
        <v>317</v>
      </c>
      <c r="B3" s="316"/>
      <c r="C3" s="316"/>
      <c r="D3" s="316"/>
      <c r="E3" s="316"/>
    </row>
    <row r="4" ht="15.0" customHeight="1">
      <c r="A4" s="316" t="s">
        <v>97</v>
      </c>
      <c r="B4" s="316"/>
      <c r="C4" s="316"/>
      <c r="D4" s="316"/>
      <c r="E4" s="316"/>
    </row>
    <row r="5" ht="15.0" customHeight="1">
      <c r="A5" s="316" t="s">
        <v>230</v>
      </c>
      <c r="B5" s="316"/>
      <c r="C5" s="316"/>
      <c r="D5" s="316"/>
      <c r="E5" s="316"/>
    </row>
    <row r="6" ht="15.75" customHeight="1">
      <c r="A6" s="316" t="s">
        <v>323</v>
      </c>
      <c r="B6" s="316"/>
      <c r="C6" s="316"/>
      <c r="D6" s="316"/>
      <c r="E6" s="316"/>
    </row>
    <row r="7" ht="75.0" customHeight="1">
      <c r="A7" s="112" t="s">
        <v>100</v>
      </c>
      <c r="B7" s="112" t="s">
        <v>101</v>
      </c>
      <c r="C7" s="113" t="s">
        <v>102</v>
      </c>
      <c r="D7" s="113" t="s">
        <v>103</v>
      </c>
      <c r="E7" s="113" t="s">
        <v>104</v>
      </c>
      <c r="F7" s="112" t="s">
        <v>105</v>
      </c>
      <c r="G7" s="114" t="s">
        <v>106</v>
      </c>
      <c r="H7" s="114" t="s">
        <v>107</v>
      </c>
      <c r="I7" s="59" t="s">
        <v>10</v>
      </c>
    </row>
    <row r="8" ht="14.25" customHeight="1">
      <c r="A8" s="251">
        <v>45324.0</v>
      </c>
      <c r="B8" s="7">
        <v>21000.0</v>
      </c>
      <c r="C8" s="7">
        <v>10000.0</v>
      </c>
      <c r="D8" s="7">
        <f t="shared" ref="D8:D31" si="1">B8+C8</f>
        <v>31000</v>
      </c>
      <c r="E8" s="7">
        <f>740000-D8</f>
        <v>709000</v>
      </c>
      <c r="F8" s="5"/>
      <c r="G8" s="7">
        <v>10000.0</v>
      </c>
      <c r="H8" s="6">
        <v>21000.0</v>
      </c>
    </row>
    <row r="9" ht="14.25" customHeight="1">
      <c r="A9" s="251">
        <v>45325.0</v>
      </c>
      <c r="B9" s="7">
        <v>21000.0</v>
      </c>
      <c r="C9" s="7">
        <v>10000.0</v>
      </c>
      <c r="D9" s="7">
        <f t="shared" si="1"/>
        <v>31000</v>
      </c>
      <c r="E9" s="7">
        <f t="shared" ref="E9:E31" si="2">E8-D9</f>
        <v>678000</v>
      </c>
      <c r="F9" s="5"/>
      <c r="G9" s="7">
        <v>10000.0</v>
      </c>
      <c r="H9" s="6">
        <v>21000.0</v>
      </c>
    </row>
    <row r="10" ht="14.25" customHeight="1">
      <c r="A10" s="251">
        <v>45326.0</v>
      </c>
      <c r="B10" s="7">
        <v>21000.0</v>
      </c>
      <c r="C10" s="7">
        <v>10000.0</v>
      </c>
      <c r="D10" s="7">
        <f t="shared" si="1"/>
        <v>31000</v>
      </c>
      <c r="E10" s="7">
        <f t="shared" si="2"/>
        <v>647000</v>
      </c>
      <c r="F10" s="5"/>
      <c r="G10" s="7">
        <v>10000.0</v>
      </c>
      <c r="H10" s="6">
        <v>21000.0</v>
      </c>
    </row>
    <row r="11" ht="14.25" customHeight="1">
      <c r="A11" s="251">
        <v>45327.0</v>
      </c>
      <c r="B11" s="7">
        <v>21000.0</v>
      </c>
      <c r="C11" s="7">
        <v>10000.0</v>
      </c>
      <c r="D11" s="7">
        <f t="shared" si="1"/>
        <v>31000</v>
      </c>
      <c r="E11" s="7">
        <f t="shared" si="2"/>
        <v>616000</v>
      </c>
      <c r="F11" s="5"/>
      <c r="G11" s="7">
        <v>10000.0</v>
      </c>
      <c r="H11" s="6">
        <v>21000.0</v>
      </c>
      <c r="I11" s="107">
        <f>31000*5%</f>
        <v>1550</v>
      </c>
      <c r="J11" s="59" t="s">
        <v>49</v>
      </c>
    </row>
    <row r="12" ht="14.25" customHeight="1">
      <c r="A12" s="251">
        <v>45328.0</v>
      </c>
      <c r="B12" s="7">
        <v>21000.0</v>
      </c>
      <c r="C12" s="7">
        <v>10000.0</v>
      </c>
      <c r="D12" s="7">
        <f t="shared" si="1"/>
        <v>31000</v>
      </c>
      <c r="E12" s="7">
        <f t="shared" si="2"/>
        <v>585000</v>
      </c>
      <c r="F12" s="5"/>
      <c r="G12" s="7">
        <v>10000.0</v>
      </c>
      <c r="H12" s="6">
        <v>21000.0</v>
      </c>
    </row>
    <row r="13" ht="14.25" customHeight="1">
      <c r="A13" s="251">
        <v>45329.0</v>
      </c>
      <c r="B13" s="7">
        <v>21000.0</v>
      </c>
      <c r="C13" s="7">
        <v>10000.0</v>
      </c>
      <c r="D13" s="7">
        <f t="shared" si="1"/>
        <v>31000</v>
      </c>
      <c r="E13" s="7">
        <f t="shared" si="2"/>
        <v>554000</v>
      </c>
      <c r="F13" s="5"/>
      <c r="G13" s="7">
        <v>10000.0</v>
      </c>
      <c r="H13" s="6">
        <v>21000.0</v>
      </c>
    </row>
    <row r="14" ht="14.25" customHeight="1">
      <c r="A14" s="251">
        <v>45330.0</v>
      </c>
      <c r="B14" s="7">
        <v>21000.0</v>
      </c>
      <c r="C14" s="7">
        <v>10000.0</v>
      </c>
      <c r="D14" s="7">
        <f t="shared" si="1"/>
        <v>31000</v>
      </c>
      <c r="E14" s="7">
        <f t="shared" si="2"/>
        <v>523000</v>
      </c>
      <c r="F14" s="5"/>
      <c r="G14" s="7">
        <v>10000.0</v>
      </c>
      <c r="H14" s="6">
        <v>21000.0</v>
      </c>
      <c r="I14" s="59">
        <v>1550.0</v>
      </c>
      <c r="J14" s="59" t="s">
        <v>49</v>
      </c>
    </row>
    <row r="15" ht="14.25" customHeight="1">
      <c r="A15" s="251">
        <v>45331.0</v>
      </c>
      <c r="B15" s="7">
        <v>21000.0</v>
      </c>
      <c r="C15" s="7">
        <v>10000.0</v>
      </c>
      <c r="D15" s="7">
        <f t="shared" si="1"/>
        <v>31000</v>
      </c>
      <c r="E15" s="7">
        <f t="shared" si="2"/>
        <v>492000</v>
      </c>
      <c r="F15" s="5"/>
      <c r="G15" s="324">
        <v>10000.0</v>
      </c>
      <c r="H15" s="324">
        <v>21000.0</v>
      </c>
    </row>
    <row r="16" ht="14.25" customHeight="1">
      <c r="A16" s="251">
        <v>45332.0</v>
      </c>
      <c r="B16" s="7">
        <v>21000.0</v>
      </c>
      <c r="C16" s="7">
        <v>10000.0</v>
      </c>
      <c r="D16" s="7">
        <f t="shared" si="1"/>
        <v>31000</v>
      </c>
      <c r="E16" s="7">
        <f t="shared" si="2"/>
        <v>461000</v>
      </c>
      <c r="F16" s="5"/>
      <c r="G16" s="324">
        <v>10000.0</v>
      </c>
      <c r="H16" s="324">
        <v>21000.0</v>
      </c>
    </row>
    <row r="17" ht="14.25" customHeight="1">
      <c r="A17" s="251">
        <v>45333.0</v>
      </c>
      <c r="B17" s="7">
        <v>21000.0</v>
      </c>
      <c r="C17" s="7">
        <v>10000.0</v>
      </c>
      <c r="D17" s="7">
        <f t="shared" si="1"/>
        <v>31000</v>
      </c>
      <c r="E17" s="7">
        <f t="shared" si="2"/>
        <v>430000</v>
      </c>
      <c r="F17" s="5"/>
      <c r="G17" s="324">
        <v>10000.0</v>
      </c>
      <c r="H17" s="324">
        <v>21000.0</v>
      </c>
    </row>
    <row r="18" ht="14.25" customHeight="1">
      <c r="A18" s="251">
        <v>45334.0</v>
      </c>
      <c r="B18" s="7">
        <v>21000.0</v>
      </c>
      <c r="C18" s="7">
        <v>10000.0</v>
      </c>
      <c r="D18" s="7">
        <f t="shared" si="1"/>
        <v>31000</v>
      </c>
      <c r="E18" s="7">
        <f t="shared" si="2"/>
        <v>399000</v>
      </c>
      <c r="F18" s="5"/>
      <c r="G18" s="5"/>
      <c r="H18" s="5"/>
    </row>
    <row r="19" ht="14.25" customHeight="1">
      <c r="A19" s="251">
        <v>45689.0</v>
      </c>
      <c r="B19" s="7">
        <v>21000.0</v>
      </c>
      <c r="C19" s="7">
        <v>10000.0</v>
      </c>
      <c r="D19" s="7">
        <f t="shared" si="1"/>
        <v>31000</v>
      </c>
      <c r="E19" s="7">
        <f t="shared" si="2"/>
        <v>368000</v>
      </c>
      <c r="F19" s="5"/>
      <c r="G19" s="5"/>
      <c r="H19" s="5"/>
    </row>
    <row r="20" ht="14.25" customHeight="1">
      <c r="A20" s="251">
        <v>45690.0</v>
      </c>
      <c r="B20" s="7">
        <v>21000.0</v>
      </c>
      <c r="C20" s="7">
        <v>10000.0</v>
      </c>
      <c r="D20" s="7">
        <f t="shared" si="1"/>
        <v>31000</v>
      </c>
      <c r="E20" s="7">
        <f t="shared" si="2"/>
        <v>337000</v>
      </c>
      <c r="F20" s="5"/>
      <c r="G20" s="5"/>
      <c r="H20" s="5"/>
    </row>
    <row r="21" ht="14.25" customHeight="1">
      <c r="A21" s="251">
        <v>45691.0</v>
      </c>
      <c r="B21" s="7">
        <v>21000.0</v>
      </c>
      <c r="C21" s="7">
        <v>10000.0</v>
      </c>
      <c r="D21" s="7">
        <f t="shared" si="1"/>
        <v>31000</v>
      </c>
      <c r="E21" s="7">
        <f t="shared" si="2"/>
        <v>306000</v>
      </c>
      <c r="F21" s="5"/>
      <c r="G21" s="5"/>
      <c r="H21" s="5"/>
    </row>
    <row r="22" ht="14.25" customHeight="1">
      <c r="A22" s="251">
        <v>45692.0</v>
      </c>
      <c r="B22" s="7">
        <v>21000.0</v>
      </c>
      <c r="C22" s="7">
        <v>10000.0</v>
      </c>
      <c r="D22" s="7">
        <f t="shared" si="1"/>
        <v>31000</v>
      </c>
      <c r="E22" s="7">
        <f t="shared" si="2"/>
        <v>275000</v>
      </c>
      <c r="F22" s="5"/>
      <c r="G22" s="5"/>
      <c r="H22" s="5"/>
    </row>
    <row r="23" ht="14.25" customHeight="1">
      <c r="A23" s="251">
        <v>45693.0</v>
      </c>
      <c r="B23" s="7">
        <v>21000.0</v>
      </c>
      <c r="C23" s="7">
        <v>10000.0</v>
      </c>
      <c r="D23" s="7">
        <f t="shared" si="1"/>
        <v>31000</v>
      </c>
      <c r="E23" s="7">
        <f t="shared" si="2"/>
        <v>244000</v>
      </c>
      <c r="F23" s="5"/>
      <c r="G23" s="5"/>
      <c r="H23" s="5"/>
    </row>
    <row r="24" ht="14.25" customHeight="1">
      <c r="A24" s="251">
        <v>45694.0</v>
      </c>
      <c r="B24" s="7">
        <v>21000.0</v>
      </c>
      <c r="C24" s="7">
        <v>10000.0</v>
      </c>
      <c r="D24" s="7">
        <f t="shared" si="1"/>
        <v>31000</v>
      </c>
      <c r="E24" s="7">
        <f t="shared" si="2"/>
        <v>213000</v>
      </c>
      <c r="F24" s="5"/>
      <c r="G24" s="5"/>
      <c r="H24" s="5"/>
    </row>
    <row r="25" ht="14.25" customHeight="1">
      <c r="A25" s="251">
        <v>45695.0</v>
      </c>
      <c r="B25" s="7">
        <v>21000.0</v>
      </c>
      <c r="C25" s="7">
        <v>10000.0</v>
      </c>
      <c r="D25" s="7">
        <f t="shared" si="1"/>
        <v>31000</v>
      </c>
      <c r="E25" s="7">
        <f t="shared" si="2"/>
        <v>182000</v>
      </c>
      <c r="F25" s="5"/>
      <c r="G25" s="5"/>
      <c r="H25" s="5"/>
    </row>
    <row r="26" ht="14.25" customHeight="1">
      <c r="A26" s="251">
        <v>45696.0</v>
      </c>
      <c r="B26" s="7">
        <v>21000.0</v>
      </c>
      <c r="C26" s="7">
        <v>10000.0</v>
      </c>
      <c r="D26" s="7">
        <f t="shared" si="1"/>
        <v>31000</v>
      </c>
      <c r="E26" s="7">
        <f t="shared" si="2"/>
        <v>151000</v>
      </c>
      <c r="F26" s="5"/>
      <c r="G26" s="5"/>
      <c r="H26" s="5"/>
    </row>
    <row r="27" ht="14.25" customHeight="1">
      <c r="A27" s="251">
        <v>45697.0</v>
      </c>
      <c r="B27" s="7">
        <v>21000.0</v>
      </c>
      <c r="C27" s="7">
        <v>10000.0</v>
      </c>
      <c r="D27" s="7">
        <f t="shared" si="1"/>
        <v>31000</v>
      </c>
      <c r="E27" s="7">
        <f t="shared" si="2"/>
        <v>120000</v>
      </c>
      <c r="F27" s="5"/>
      <c r="G27" s="5"/>
      <c r="H27" s="5"/>
    </row>
    <row r="28" ht="14.25" customHeight="1">
      <c r="A28" s="251">
        <v>45698.0</v>
      </c>
      <c r="B28" s="7">
        <v>21000.0</v>
      </c>
      <c r="C28" s="7">
        <v>10000.0</v>
      </c>
      <c r="D28" s="7">
        <f t="shared" si="1"/>
        <v>31000</v>
      </c>
      <c r="E28" s="7">
        <f t="shared" si="2"/>
        <v>89000</v>
      </c>
      <c r="F28" s="5"/>
      <c r="G28" s="5"/>
      <c r="H28" s="5"/>
    </row>
    <row r="29" ht="14.25" customHeight="1">
      <c r="A29" s="251">
        <v>45699.0</v>
      </c>
      <c r="B29" s="7">
        <v>21000.0</v>
      </c>
      <c r="C29" s="7">
        <v>10000.0</v>
      </c>
      <c r="D29" s="7">
        <f t="shared" si="1"/>
        <v>31000</v>
      </c>
      <c r="E29" s="7">
        <f t="shared" si="2"/>
        <v>58000</v>
      </c>
      <c r="F29" s="5"/>
      <c r="G29" s="5"/>
      <c r="H29" s="5"/>
    </row>
    <row r="30" ht="14.25" customHeight="1">
      <c r="A30" s="251">
        <v>45700.0</v>
      </c>
      <c r="B30" s="7">
        <v>21000.0</v>
      </c>
      <c r="C30" s="7">
        <v>10000.0</v>
      </c>
      <c r="D30" s="7">
        <f t="shared" si="1"/>
        <v>31000</v>
      </c>
      <c r="E30" s="7">
        <f t="shared" si="2"/>
        <v>27000</v>
      </c>
      <c r="F30" s="5"/>
      <c r="G30" s="5"/>
      <c r="H30" s="5"/>
    </row>
    <row r="31" ht="14.25" customHeight="1">
      <c r="A31" s="251">
        <v>46054.0</v>
      </c>
      <c r="B31" s="7">
        <f>21000-4000</f>
        <v>17000</v>
      </c>
      <c r="C31" s="7">
        <v>10000.0</v>
      </c>
      <c r="D31" s="7">
        <f t="shared" si="1"/>
        <v>27000</v>
      </c>
      <c r="E31" s="7">
        <f t="shared" si="2"/>
        <v>0</v>
      </c>
    </row>
    <row r="32" ht="14.25" customHeight="1">
      <c r="A32" s="117"/>
      <c r="B32" s="258">
        <f t="shared" ref="B32:D32" si="3">SUM(B8:B31)</f>
        <v>500000</v>
      </c>
      <c r="C32" s="258">
        <f t="shared" si="3"/>
        <v>240000</v>
      </c>
      <c r="D32" s="258">
        <f t="shared" si="3"/>
        <v>740000</v>
      </c>
      <c r="E32" s="258"/>
    </row>
    <row r="33" ht="14.25" customHeight="1">
      <c r="G33" s="260">
        <f t="shared" ref="G33:H33" si="4">SUM(G8:G32)</f>
        <v>100000</v>
      </c>
      <c r="H33" s="260">
        <f t="shared" si="4"/>
        <v>210000</v>
      </c>
      <c r="I33" s="325">
        <f>G33+H33</f>
        <v>310000</v>
      </c>
      <c r="J33" s="261">
        <f>D32-I33</f>
        <v>430000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29"/>
    <col customWidth="1" min="3" max="3" width="10.57"/>
    <col customWidth="1" min="4" max="4" width="8.0"/>
    <col customWidth="1" min="5" max="5" width="9.71"/>
    <col customWidth="1" min="6" max="6" width="14.57"/>
    <col customWidth="1" min="7" max="7" width="13.43"/>
    <col customWidth="1" min="8" max="8" width="15.29"/>
    <col customWidth="1" min="9" max="9" width="10.71"/>
    <col customWidth="1" min="10" max="10" width="12.71"/>
    <col customWidth="1" min="11" max="11" width="8.0"/>
    <col customWidth="1" min="12" max="12" width="9.57"/>
    <col customWidth="1" min="13" max="13" width="11.14"/>
    <col customWidth="1" min="14" max="15" width="8.0"/>
    <col customWidth="1" min="16" max="16" width="12.57"/>
    <col customWidth="1" min="17" max="26" width="8.0"/>
  </cols>
  <sheetData>
    <row r="1" ht="14.25" customHeight="1">
      <c r="A1" s="123" t="s">
        <v>110</v>
      </c>
      <c r="D1" s="124"/>
      <c r="E1" s="124"/>
      <c r="F1" s="124"/>
      <c r="G1" s="125"/>
      <c r="H1" s="125"/>
      <c r="I1" s="125"/>
      <c r="J1" s="126"/>
      <c r="K1" s="126"/>
      <c r="L1" s="126"/>
      <c r="M1" s="126"/>
    </row>
    <row r="2" ht="14.25" customHeight="1">
      <c r="A2" s="123" t="s">
        <v>111</v>
      </c>
      <c r="F2" s="124"/>
      <c r="G2" s="125"/>
      <c r="H2" s="125"/>
      <c r="I2" s="125"/>
      <c r="J2" s="126"/>
      <c r="K2" s="126"/>
      <c r="L2" s="126"/>
      <c r="M2" s="126"/>
    </row>
    <row r="3" ht="14.25" customHeight="1">
      <c r="A3" s="123" t="s">
        <v>112</v>
      </c>
      <c r="E3" s="124"/>
      <c r="F3" s="124"/>
      <c r="G3" s="125"/>
      <c r="H3" s="125"/>
      <c r="I3" s="125"/>
      <c r="J3" s="126"/>
      <c r="K3" s="126"/>
      <c r="L3" s="126"/>
      <c r="M3" s="126"/>
    </row>
    <row r="4" ht="14.25" customHeight="1">
      <c r="A4" s="123" t="s">
        <v>113</v>
      </c>
      <c r="C4" s="124"/>
      <c r="D4" s="124"/>
      <c r="E4" s="124"/>
      <c r="F4" s="124"/>
      <c r="G4" s="125"/>
      <c r="H4" s="125"/>
      <c r="I4" s="125"/>
      <c r="J4" s="126"/>
      <c r="K4" s="126"/>
      <c r="L4" s="126"/>
      <c r="M4" s="126"/>
    </row>
    <row r="5" ht="14.25" customHeight="1">
      <c r="A5" s="127" t="s">
        <v>114</v>
      </c>
      <c r="B5" s="128"/>
      <c r="C5" s="128"/>
      <c r="D5" s="124"/>
      <c r="E5" s="124"/>
      <c r="F5" s="124"/>
      <c r="G5" s="125"/>
      <c r="H5" s="125"/>
      <c r="I5" s="125"/>
      <c r="J5" s="126"/>
      <c r="K5" s="126"/>
      <c r="L5" s="126"/>
      <c r="M5" s="126"/>
    </row>
    <row r="6" ht="14.25" customHeight="1">
      <c r="A6" s="129" t="s">
        <v>100</v>
      </c>
      <c r="B6" s="130" t="s">
        <v>101</v>
      </c>
      <c r="C6" s="130" t="s">
        <v>102</v>
      </c>
      <c r="D6" s="131" t="s">
        <v>103</v>
      </c>
      <c r="E6" s="131" t="s">
        <v>115</v>
      </c>
      <c r="F6" s="131" t="s">
        <v>105</v>
      </c>
      <c r="G6" s="132" t="s">
        <v>106</v>
      </c>
      <c r="H6" s="132" t="s">
        <v>107</v>
      </c>
      <c r="I6" s="133" t="s">
        <v>116</v>
      </c>
      <c r="J6" s="126"/>
      <c r="K6" s="126"/>
      <c r="L6" s="126"/>
      <c r="M6" s="126"/>
    </row>
    <row r="7" ht="14.25" customHeight="1">
      <c r="A7" s="134" t="s">
        <v>117</v>
      </c>
      <c r="B7" s="135">
        <v>166700.0</v>
      </c>
      <c r="C7" s="135">
        <v>10000.0</v>
      </c>
      <c r="D7" s="135">
        <v>176700.0</v>
      </c>
      <c r="E7" s="135">
        <v>353300.0</v>
      </c>
      <c r="F7" s="136"/>
      <c r="G7" s="137">
        <v>10000.0</v>
      </c>
      <c r="H7" s="137">
        <v>166700.0</v>
      </c>
      <c r="I7" s="138">
        <v>8835.0</v>
      </c>
      <c r="J7" s="139" t="s">
        <v>118</v>
      </c>
    </row>
    <row r="8" ht="14.25" customHeight="1">
      <c r="A8" s="140" t="s">
        <v>119</v>
      </c>
      <c r="B8" s="141">
        <v>166700.0</v>
      </c>
      <c r="C8" s="141">
        <v>10000.0</v>
      </c>
      <c r="D8" s="141">
        <v>176700.0</v>
      </c>
      <c r="E8" s="141">
        <v>176600.0</v>
      </c>
      <c r="F8" s="142"/>
      <c r="G8" s="137">
        <v>10000.0</v>
      </c>
      <c r="H8" s="137">
        <v>166700.0</v>
      </c>
      <c r="I8" s="143"/>
      <c r="J8" s="126"/>
      <c r="K8" s="126"/>
      <c r="L8" s="126"/>
      <c r="M8" s="126"/>
    </row>
    <row r="9" ht="14.25" customHeight="1">
      <c r="A9" s="140" t="s">
        <v>120</v>
      </c>
      <c r="B9" s="141">
        <v>166600.0</v>
      </c>
      <c r="C9" s="141">
        <v>10000.0</v>
      </c>
      <c r="D9" s="141">
        <v>176600.0</v>
      </c>
      <c r="E9" s="144" t="s">
        <v>121</v>
      </c>
      <c r="F9" s="142"/>
      <c r="G9" s="137">
        <v>10000.0</v>
      </c>
      <c r="H9" s="137">
        <v>166600.0</v>
      </c>
      <c r="I9" s="143"/>
      <c r="J9" s="126"/>
      <c r="K9" s="126"/>
      <c r="L9" s="126"/>
      <c r="M9" s="126"/>
    </row>
    <row r="10" ht="14.25" customHeight="1">
      <c r="A10" s="125"/>
      <c r="B10" s="145">
        <v>500000.0</v>
      </c>
      <c r="C10" s="145">
        <v>30000.0</v>
      </c>
      <c r="D10" s="145">
        <v>530000.0</v>
      </c>
      <c r="E10" s="146"/>
      <c r="F10" s="125"/>
      <c r="G10" s="147">
        <v>30000.0</v>
      </c>
      <c r="H10" s="147">
        <v>500000.0</v>
      </c>
      <c r="I10" s="147">
        <v>8835.0</v>
      </c>
      <c r="J10" s="126"/>
      <c r="K10" s="126"/>
      <c r="L10" s="126"/>
      <c r="M10" s="126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6">
    <mergeCell ref="A1:C1"/>
    <mergeCell ref="A2:E2"/>
    <mergeCell ref="A3:D3"/>
    <mergeCell ref="A4:B4"/>
    <mergeCell ref="A5:C5"/>
    <mergeCell ref="J7:M7"/>
  </mergeCells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3" width="8.0"/>
    <col customWidth="1" min="4" max="4" width="12.43"/>
    <col customWidth="1" min="5" max="5" width="10.71"/>
    <col customWidth="1" min="6" max="6" width="15.14"/>
    <col customWidth="1" min="7" max="7" width="14.14"/>
    <col customWidth="1" min="8" max="9" width="16.14"/>
    <col customWidth="1" min="10" max="10" width="15.29"/>
    <col customWidth="1" min="11" max="26" width="8.0"/>
  </cols>
  <sheetData>
    <row r="1" ht="15.0" customHeight="1">
      <c r="A1" s="323" t="s">
        <v>326</v>
      </c>
      <c r="B1" s="315"/>
      <c r="C1" s="315"/>
      <c r="D1" s="315"/>
      <c r="E1" s="315"/>
    </row>
    <row r="2" ht="15.0" customHeight="1">
      <c r="A2" s="316" t="s">
        <v>276</v>
      </c>
      <c r="B2" s="316"/>
      <c r="C2" s="316"/>
      <c r="D2" s="316"/>
      <c r="E2" s="316"/>
    </row>
    <row r="3" ht="15.0" customHeight="1">
      <c r="A3" s="317" t="s">
        <v>317</v>
      </c>
      <c r="B3" s="316"/>
      <c r="C3" s="316"/>
      <c r="D3" s="316"/>
      <c r="E3" s="316"/>
    </row>
    <row r="4" ht="15.0" customHeight="1">
      <c r="A4" s="316" t="s">
        <v>97</v>
      </c>
      <c r="B4" s="316"/>
      <c r="C4" s="316"/>
      <c r="D4" s="316"/>
      <c r="E4" s="316"/>
    </row>
    <row r="5" ht="15.0" customHeight="1">
      <c r="A5" s="316" t="s">
        <v>318</v>
      </c>
      <c r="B5" s="316"/>
      <c r="C5" s="316"/>
      <c r="D5" s="316"/>
      <c r="E5" s="316"/>
    </row>
    <row r="6" ht="15.75" customHeight="1">
      <c r="A6" s="316" t="s">
        <v>323</v>
      </c>
      <c r="B6" s="316"/>
      <c r="C6" s="316"/>
      <c r="D6" s="316"/>
      <c r="E6" s="316"/>
    </row>
    <row r="7" ht="60.0" customHeight="1">
      <c r="A7" s="112" t="s">
        <v>100</v>
      </c>
      <c r="B7" s="112" t="s">
        <v>101</v>
      </c>
      <c r="C7" s="113" t="s">
        <v>102</v>
      </c>
      <c r="D7" s="113" t="s">
        <v>103</v>
      </c>
      <c r="E7" s="113" t="s">
        <v>104</v>
      </c>
      <c r="F7" s="112" t="s">
        <v>105</v>
      </c>
      <c r="G7" s="114" t="s">
        <v>106</v>
      </c>
      <c r="H7" s="114" t="s">
        <v>107</v>
      </c>
      <c r="I7" s="318" t="s">
        <v>10</v>
      </c>
    </row>
    <row r="8" ht="14.25" customHeight="1">
      <c r="A8" s="251">
        <v>45324.0</v>
      </c>
      <c r="B8" s="7">
        <v>21000.0</v>
      </c>
      <c r="C8" s="7">
        <v>10000.0</v>
      </c>
      <c r="D8" s="7">
        <f t="shared" ref="D8:D31" si="1">B8+C8</f>
        <v>31000</v>
      </c>
      <c r="E8" s="7">
        <f>740000-D8</f>
        <v>709000</v>
      </c>
      <c r="F8" s="5"/>
      <c r="G8" s="7">
        <v>10000.0</v>
      </c>
      <c r="H8" s="6">
        <v>21000.0</v>
      </c>
    </row>
    <row r="9" ht="14.25" customHeight="1">
      <c r="A9" s="251">
        <v>45325.0</v>
      </c>
      <c r="B9" s="7">
        <v>21000.0</v>
      </c>
      <c r="C9" s="7">
        <v>10000.0</v>
      </c>
      <c r="D9" s="7">
        <f t="shared" si="1"/>
        <v>31000</v>
      </c>
      <c r="E9" s="7">
        <f t="shared" ref="E9:E31" si="2">E8-D9</f>
        <v>678000</v>
      </c>
      <c r="F9" s="5"/>
      <c r="G9" s="7">
        <v>10000.0</v>
      </c>
      <c r="H9" s="6">
        <v>21000.0</v>
      </c>
    </row>
    <row r="10" ht="14.25" customHeight="1">
      <c r="A10" s="251">
        <v>45326.0</v>
      </c>
      <c r="B10" s="7">
        <v>21000.0</v>
      </c>
      <c r="C10" s="7">
        <v>10000.0</v>
      </c>
      <c r="D10" s="7">
        <f t="shared" si="1"/>
        <v>31000</v>
      </c>
      <c r="E10" s="7">
        <f t="shared" si="2"/>
        <v>647000</v>
      </c>
      <c r="F10" s="5"/>
      <c r="G10" s="7">
        <v>10000.0</v>
      </c>
      <c r="H10" s="6">
        <v>21000.0</v>
      </c>
    </row>
    <row r="11" ht="14.25" customHeight="1">
      <c r="A11" s="251">
        <v>45327.0</v>
      </c>
      <c r="B11" s="7">
        <v>21000.0</v>
      </c>
      <c r="C11" s="7">
        <v>10000.0</v>
      </c>
      <c r="D11" s="7">
        <f t="shared" si="1"/>
        <v>31000</v>
      </c>
      <c r="E11" s="7">
        <f t="shared" si="2"/>
        <v>616000</v>
      </c>
      <c r="F11" s="5"/>
      <c r="G11" s="7">
        <v>10000.0</v>
      </c>
      <c r="H11" s="6">
        <v>21000.0</v>
      </c>
      <c r="I11" s="107">
        <f>31000*5%</f>
        <v>1550</v>
      </c>
    </row>
    <row r="12" ht="14.25" customHeight="1">
      <c r="A12" s="251">
        <v>45328.0</v>
      </c>
      <c r="B12" s="7">
        <v>21000.0</v>
      </c>
      <c r="C12" s="7">
        <v>10000.0</v>
      </c>
      <c r="D12" s="7">
        <f t="shared" si="1"/>
        <v>31000</v>
      </c>
      <c r="E12" s="7">
        <f t="shared" si="2"/>
        <v>585000</v>
      </c>
      <c r="F12" s="5"/>
      <c r="G12" s="7">
        <v>10000.0</v>
      </c>
      <c r="H12" s="6">
        <v>21000.0</v>
      </c>
    </row>
    <row r="13" ht="14.25" customHeight="1">
      <c r="A13" s="251">
        <v>45329.0</v>
      </c>
      <c r="B13" s="7">
        <v>21000.0</v>
      </c>
      <c r="C13" s="7">
        <v>10000.0</v>
      </c>
      <c r="D13" s="7">
        <f t="shared" si="1"/>
        <v>31000</v>
      </c>
      <c r="E13" s="7">
        <f t="shared" si="2"/>
        <v>554000</v>
      </c>
      <c r="F13" s="5"/>
      <c r="G13" s="7">
        <v>10000.0</v>
      </c>
      <c r="H13" s="6">
        <v>21000.0</v>
      </c>
      <c r="I13" s="59">
        <v>1550.0</v>
      </c>
    </row>
    <row r="14" ht="14.25" customHeight="1">
      <c r="A14" s="251">
        <v>45330.0</v>
      </c>
      <c r="B14" s="7">
        <v>21000.0</v>
      </c>
      <c r="C14" s="7">
        <v>10000.0</v>
      </c>
      <c r="D14" s="7">
        <f t="shared" si="1"/>
        <v>31000</v>
      </c>
      <c r="E14" s="7">
        <f t="shared" si="2"/>
        <v>523000</v>
      </c>
      <c r="F14" s="5"/>
      <c r="G14" s="7">
        <v>10000.0</v>
      </c>
      <c r="H14" s="6">
        <v>21000.0</v>
      </c>
    </row>
    <row r="15" ht="14.25" customHeight="1">
      <c r="A15" s="251">
        <v>45331.0</v>
      </c>
      <c r="B15" s="7">
        <v>21000.0</v>
      </c>
      <c r="C15" s="7">
        <v>10000.0</v>
      </c>
      <c r="D15" s="7">
        <f t="shared" si="1"/>
        <v>31000</v>
      </c>
      <c r="E15" s="7">
        <f t="shared" si="2"/>
        <v>492000</v>
      </c>
      <c r="F15" s="5"/>
      <c r="G15" s="324">
        <v>10000.0</v>
      </c>
      <c r="H15" s="324">
        <v>21000.0</v>
      </c>
    </row>
    <row r="16" ht="14.25" customHeight="1">
      <c r="A16" s="251">
        <v>45332.0</v>
      </c>
      <c r="B16" s="7">
        <v>21000.0</v>
      </c>
      <c r="C16" s="7">
        <v>10000.0</v>
      </c>
      <c r="D16" s="7">
        <f t="shared" si="1"/>
        <v>31000</v>
      </c>
      <c r="E16" s="7">
        <f t="shared" si="2"/>
        <v>461000</v>
      </c>
      <c r="F16" s="5"/>
      <c r="G16" s="324">
        <v>10000.0</v>
      </c>
      <c r="H16" s="324">
        <v>21000.0</v>
      </c>
    </row>
    <row r="17" ht="14.25" customHeight="1">
      <c r="A17" s="251">
        <v>45333.0</v>
      </c>
      <c r="B17" s="7">
        <v>21000.0</v>
      </c>
      <c r="C17" s="7">
        <v>10000.0</v>
      </c>
      <c r="D17" s="7">
        <f t="shared" si="1"/>
        <v>31000</v>
      </c>
      <c r="E17" s="7">
        <f t="shared" si="2"/>
        <v>430000</v>
      </c>
      <c r="F17" s="5"/>
      <c r="G17" s="324">
        <v>10000.0</v>
      </c>
      <c r="H17" s="324">
        <v>21000.0</v>
      </c>
    </row>
    <row r="18" ht="14.25" customHeight="1">
      <c r="A18" s="251">
        <v>45334.0</v>
      </c>
      <c r="B18" s="7">
        <v>21000.0</v>
      </c>
      <c r="C18" s="7">
        <v>10000.0</v>
      </c>
      <c r="D18" s="7">
        <f t="shared" si="1"/>
        <v>31000</v>
      </c>
      <c r="E18" s="7">
        <f t="shared" si="2"/>
        <v>399000</v>
      </c>
      <c r="F18" s="5"/>
      <c r="G18" s="5"/>
      <c r="H18" s="5"/>
    </row>
    <row r="19" ht="14.25" customHeight="1">
      <c r="A19" s="251">
        <v>45689.0</v>
      </c>
      <c r="B19" s="7">
        <v>21000.0</v>
      </c>
      <c r="C19" s="7">
        <v>10000.0</v>
      </c>
      <c r="D19" s="7">
        <f t="shared" si="1"/>
        <v>31000</v>
      </c>
      <c r="E19" s="7">
        <f t="shared" si="2"/>
        <v>368000</v>
      </c>
      <c r="F19" s="5"/>
      <c r="G19" s="5"/>
      <c r="H19" s="5"/>
    </row>
    <row r="20" ht="14.25" customHeight="1">
      <c r="A20" s="251">
        <v>45690.0</v>
      </c>
      <c r="B20" s="7">
        <v>21000.0</v>
      </c>
      <c r="C20" s="7">
        <v>10000.0</v>
      </c>
      <c r="D20" s="7">
        <f t="shared" si="1"/>
        <v>31000</v>
      </c>
      <c r="E20" s="7">
        <f t="shared" si="2"/>
        <v>337000</v>
      </c>
      <c r="F20" s="5"/>
      <c r="G20" s="5"/>
      <c r="H20" s="5"/>
    </row>
    <row r="21" ht="14.25" customHeight="1">
      <c r="A21" s="251">
        <v>45691.0</v>
      </c>
      <c r="B21" s="7">
        <v>21000.0</v>
      </c>
      <c r="C21" s="7">
        <v>10000.0</v>
      </c>
      <c r="D21" s="7">
        <f t="shared" si="1"/>
        <v>31000</v>
      </c>
      <c r="E21" s="7">
        <f t="shared" si="2"/>
        <v>306000</v>
      </c>
      <c r="F21" s="5"/>
      <c r="G21" s="5"/>
      <c r="H21" s="5"/>
    </row>
    <row r="22" ht="14.25" customHeight="1">
      <c r="A22" s="251">
        <v>45692.0</v>
      </c>
      <c r="B22" s="7">
        <v>21000.0</v>
      </c>
      <c r="C22" s="7">
        <v>10000.0</v>
      </c>
      <c r="D22" s="7">
        <f t="shared" si="1"/>
        <v>31000</v>
      </c>
      <c r="E22" s="7">
        <f t="shared" si="2"/>
        <v>275000</v>
      </c>
      <c r="F22" s="5"/>
      <c r="G22" s="5"/>
      <c r="H22" s="5"/>
    </row>
    <row r="23" ht="14.25" customHeight="1">
      <c r="A23" s="251">
        <v>45693.0</v>
      </c>
      <c r="B23" s="7">
        <v>21000.0</v>
      </c>
      <c r="C23" s="7">
        <v>10000.0</v>
      </c>
      <c r="D23" s="7">
        <f t="shared" si="1"/>
        <v>31000</v>
      </c>
      <c r="E23" s="7">
        <f t="shared" si="2"/>
        <v>244000</v>
      </c>
      <c r="F23" s="5"/>
      <c r="G23" s="5"/>
      <c r="H23" s="5"/>
    </row>
    <row r="24" ht="14.25" customHeight="1">
      <c r="A24" s="251">
        <v>45694.0</v>
      </c>
      <c r="B24" s="7">
        <v>21000.0</v>
      </c>
      <c r="C24" s="7">
        <v>10000.0</v>
      </c>
      <c r="D24" s="7">
        <f t="shared" si="1"/>
        <v>31000</v>
      </c>
      <c r="E24" s="7">
        <f t="shared" si="2"/>
        <v>213000</v>
      </c>
      <c r="F24" s="5"/>
      <c r="G24" s="5"/>
      <c r="H24" s="5"/>
    </row>
    <row r="25" ht="14.25" customHeight="1">
      <c r="A25" s="251">
        <v>45695.0</v>
      </c>
      <c r="B25" s="7">
        <v>21000.0</v>
      </c>
      <c r="C25" s="7">
        <v>10000.0</v>
      </c>
      <c r="D25" s="7">
        <f t="shared" si="1"/>
        <v>31000</v>
      </c>
      <c r="E25" s="7">
        <f t="shared" si="2"/>
        <v>182000</v>
      </c>
      <c r="F25" s="5"/>
      <c r="G25" s="5"/>
      <c r="H25" s="5"/>
    </row>
    <row r="26" ht="14.25" customHeight="1">
      <c r="A26" s="251">
        <v>45696.0</v>
      </c>
      <c r="B26" s="7">
        <v>21000.0</v>
      </c>
      <c r="C26" s="7">
        <v>10000.0</v>
      </c>
      <c r="D26" s="7">
        <f t="shared" si="1"/>
        <v>31000</v>
      </c>
      <c r="E26" s="7">
        <f t="shared" si="2"/>
        <v>151000</v>
      </c>
      <c r="F26" s="5"/>
      <c r="G26" s="5"/>
      <c r="H26" s="5"/>
    </row>
    <row r="27" ht="14.25" customHeight="1">
      <c r="A27" s="251">
        <v>45697.0</v>
      </c>
      <c r="B27" s="7">
        <v>21000.0</v>
      </c>
      <c r="C27" s="7">
        <v>10000.0</v>
      </c>
      <c r="D27" s="7">
        <f t="shared" si="1"/>
        <v>31000</v>
      </c>
      <c r="E27" s="7">
        <f t="shared" si="2"/>
        <v>120000</v>
      </c>
      <c r="F27" s="5"/>
      <c r="G27" s="5"/>
      <c r="H27" s="5"/>
    </row>
    <row r="28" ht="14.25" customHeight="1">
      <c r="A28" s="251">
        <v>45698.0</v>
      </c>
      <c r="B28" s="7">
        <v>21000.0</v>
      </c>
      <c r="C28" s="7">
        <v>10000.0</v>
      </c>
      <c r="D28" s="7">
        <f t="shared" si="1"/>
        <v>31000</v>
      </c>
      <c r="E28" s="7">
        <f t="shared" si="2"/>
        <v>89000</v>
      </c>
      <c r="F28" s="5"/>
      <c r="G28" s="5"/>
      <c r="H28" s="5"/>
    </row>
    <row r="29" ht="14.25" customHeight="1">
      <c r="A29" s="251">
        <v>45699.0</v>
      </c>
      <c r="B29" s="7">
        <v>21000.0</v>
      </c>
      <c r="C29" s="7">
        <v>10000.0</v>
      </c>
      <c r="D29" s="7">
        <f t="shared" si="1"/>
        <v>31000</v>
      </c>
      <c r="E29" s="7">
        <f t="shared" si="2"/>
        <v>58000</v>
      </c>
      <c r="F29" s="5"/>
      <c r="G29" s="5"/>
      <c r="H29" s="5"/>
    </row>
    <row r="30" ht="14.25" customHeight="1">
      <c r="A30" s="251">
        <v>45700.0</v>
      </c>
      <c r="B30" s="7">
        <v>21000.0</v>
      </c>
      <c r="C30" s="7">
        <v>10000.0</v>
      </c>
      <c r="D30" s="7">
        <f t="shared" si="1"/>
        <v>31000</v>
      </c>
      <c r="E30" s="7">
        <f t="shared" si="2"/>
        <v>27000</v>
      </c>
      <c r="F30" s="5"/>
      <c r="G30" s="5"/>
      <c r="H30" s="5"/>
    </row>
    <row r="31" ht="14.25" customHeight="1">
      <c r="A31" s="251">
        <v>46054.0</v>
      </c>
      <c r="B31" s="7">
        <f>21000-4000</f>
        <v>17000</v>
      </c>
      <c r="C31" s="7">
        <v>10000.0</v>
      </c>
      <c r="D31" s="7">
        <f t="shared" si="1"/>
        <v>27000</v>
      </c>
      <c r="E31" s="7">
        <f t="shared" si="2"/>
        <v>0</v>
      </c>
      <c r="J31" s="59" t="s">
        <v>327</v>
      </c>
    </row>
    <row r="32" ht="14.25" customHeight="1">
      <c r="A32" s="117"/>
      <c r="B32" s="258">
        <f t="shared" ref="B32:D32" si="3">SUM(B8:B31)</f>
        <v>500000</v>
      </c>
      <c r="C32" s="258">
        <f t="shared" si="3"/>
        <v>240000</v>
      </c>
      <c r="D32" s="258">
        <f t="shared" si="3"/>
        <v>740000</v>
      </c>
      <c r="E32" s="258"/>
      <c r="G32" s="326">
        <f t="shared" ref="G32:H32" si="4">SUM(G8:G31)</f>
        <v>100000</v>
      </c>
      <c r="H32" s="326">
        <f t="shared" si="4"/>
        <v>210000</v>
      </c>
      <c r="I32" s="326">
        <f>G32+H32</f>
        <v>310000</v>
      </c>
      <c r="J32" s="327">
        <f>D32-I32</f>
        <v>430000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57"/>
    <col customWidth="1" min="3" max="3" width="12.71"/>
    <col customWidth="1" min="4" max="4" width="17.14"/>
    <col customWidth="1" min="5" max="5" width="13.29"/>
    <col customWidth="1" min="6" max="6" width="21.86"/>
    <col customWidth="1" min="7" max="7" width="15.57"/>
    <col customWidth="1" min="8" max="8" width="15.29"/>
    <col customWidth="1" min="9" max="26" width="8.0"/>
  </cols>
  <sheetData>
    <row r="1" ht="14.25" customHeight="1">
      <c r="A1" s="310" t="s">
        <v>95</v>
      </c>
      <c r="D1" s="311"/>
      <c r="E1" s="311"/>
      <c r="F1" s="126"/>
      <c r="G1" s="126"/>
      <c r="H1" s="126"/>
      <c r="I1" s="126"/>
      <c r="J1" s="126"/>
      <c r="K1" s="126"/>
    </row>
    <row r="2" ht="14.25" customHeight="1">
      <c r="A2" s="310" t="s">
        <v>96</v>
      </c>
      <c r="F2" s="126"/>
      <c r="G2" s="126"/>
      <c r="H2" s="126"/>
      <c r="I2" s="126"/>
      <c r="J2" s="126"/>
      <c r="K2" s="126"/>
    </row>
    <row r="3" ht="14.25" customHeight="1">
      <c r="A3" s="310" t="s">
        <v>97</v>
      </c>
      <c r="E3" s="311"/>
      <c r="F3" s="328" t="s">
        <v>328</v>
      </c>
      <c r="G3" s="329"/>
      <c r="H3" s="330"/>
      <c r="I3" s="126"/>
      <c r="J3" s="126"/>
      <c r="K3" s="126"/>
    </row>
    <row r="4" ht="14.25" customHeight="1">
      <c r="A4" s="310" t="s">
        <v>98</v>
      </c>
      <c r="C4" s="311"/>
      <c r="D4" s="311"/>
      <c r="E4" s="311"/>
      <c r="F4" s="126"/>
      <c r="G4" s="126"/>
      <c r="H4" s="126"/>
      <c r="I4" s="126"/>
      <c r="J4" s="126"/>
      <c r="K4" s="126"/>
    </row>
    <row r="5" ht="14.25" customHeight="1">
      <c r="A5" s="310" t="s">
        <v>329</v>
      </c>
      <c r="D5" s="311"/>
      <c r="E5" s="311"/>
      <c r="F5" s="126"/>
      <c r="G5" s="126"/>
      <c r="H5" s="126"/>
      <c r="I5" s="126"/>
      <c r="J5" s="126"/>
      <c r="K5" s="126"/>
    </row>
    <row r="6" ht="14.25" customHeight="1">
      <c r="A6" s="184" t="s">
        <v>100</v>
      </c>
      <c r="B6" s="131" t="s">
        <v>101</v>
      </c>
      <c r="C6" s="131" t="s">
        <v>102</v>
      </c>
      <c r="D6" s="131" t="s">
        <v>103</v>
      </c>
      <c r="E6" s="131" t="s">
        <v>115</v>
      </c>
      <c r="F6" s="131" t="s">
        <v>105</v>
      </c>
      <c r="G6" s="331" t="s">
        <v>106</v>
      </c>
      <c r="H6" s="132" t="s">
        <v>107</v>
      </c>
      <c r="I6" s="126"/>
      <c r="J6" s="126"/>
      <c r="K6" s="126"/>
    </row>
    <row r="7" ht="14.25" customHeight="1">
      <c r="A7" s="277">
        <v>45293.0</v>
      </c>
      <c r="B7" s="151">
        <v>42000.0</v>
      </c>
      <c r="C7" s="151">
        <v>10000.0</v>
      </c>
      <c r="D7" s="151">
        <v>52000.0</v>
      </c>
      <c r="E7" s="151">
        <v>568000.0</v>
      </c>
      <c r="F7" s="188" t="s">
        <v>330</v>
      </c>
      <c r="G7" s="155">
        <v>10000.0</v>
      </c>
      <c r="H7" s="155">
        <v>65000.0</v>
      </c>
      <c r="I7" s="126"/>
      <c r="J7" s="126"/>
      <c r="K7" s="126"/>
    </row>
    <row r="8" ht="14.25" customHeight="1">
      <c r="A8" s="191">
        <v>45294.0</v>
      </c>
      <c r="B8" s="155">
        <v>42000.0</v>
      </c>
      <c r="C8" s="155">
        <v>10000.0</v>
      </c>
      <c r="D8" s="155">
        <v>52000.0</v>
      </c>
      <c r="E8" s="155">
        <v>516000.0</v>
      </c>
      <c r="F8" s="190" t="s">
        <v>330</v>
      </c>
      <c r="G8" s="155">
        <v>10000.0</v>
      </c>
      <c r="H8" s="155">
        <v>65000.0</v>
      </c>
      <c r="I8" s="126"/>
      <c r="J8" s="126"/>
      <c r="K8" s="126"/>
    </row>
    <row r="9" ht="14.25" customHeight="1">
      <c r="A9" s="191">
        <v>45295.0</v>
      </c>
      <c r="B9" s="155">
        <v>42000.0</v>
      </c>
      <c r="C9" s="155">
        <v>10000.0</v>
      </c>
      <c r="D9" s="155">
        <v>52000.0</v>
      </c>
      <c r="E9" s="155">
        <v>464000.0</v>
      </c>
      <c r="F9" s="190" t="s">
        <v>299</v>
      </c>
      <c r="G9" s="155">
        <v>10000.0</v>
      </c>
      <c r="H9" s="155">
        <v>42000.0</v>
      </c>
      <c r="I9" s="126"/>
      <c r="J9" s="126"/>
      <c r="K9" s="126"/>
    </row>
    <row r="10" ht="14.25" customHeight="1">
      <c r="A10" s="191">
        <v>45296.0</v>
      </c>
      <c r="B10" s="155">
        <v>42000.0</v>
      </c>
      <c r="C10" s="155">
        <v>10000.0</v>
      </c>
      <c r="D10" s="155">
        <v>52000.0</v>
      </c>
      <c r="E10" s="155">
        <v>412000.0</v>
      </c>
      <c r="F10" s="190" t="s">
        <v>299</v>
      </c>
      <c r="G10" s="155">
        <v>10000.0</v>
      </c>
      <c r="H10" s="155">
        <v>42000.0</v>
      </c>
      <c r="I10" s="126"/>
      <c r="J10" s="126"/>
      <c r="K10" s="126"/>
    </row>
    <row r="11" ht="14.25" customHeight="1">
      <c r="A11" s="191">
        <v>45297.0</v>
      </c>
      <c r="B11" s="155">
        <v>42000.0</v>
      </c>
      <c r="C11" s="155"/>
      <c r="D11" s="155">
        <v>52000.0</v>
      </c>
      <c r="E11" s="155">
        <v>360000.0</v>
      </c>
      <c r="F11" s="226"/>
      <c r="G11" s="226"/>
      <c r="H11" s="226"/>
      <c r="I11" s="126"/>
      <c r="J11" s="126"/>
      <c r="K11" s="126"/>
    </row>
    <row r="12" ht="14.25" customHeight="1">
      <c r="A12" s="191">
        <v>45298.0</v>
      </c>
      <c r="B12" s="155">
        <v>42000.0</v>
      </c>
      <c r="C12" s="155"/>
      <c r="D12" s="155">
        <v>52000.0</v>
      </c>
      <c r="E12" s="155">
        <v>308000.0</v>
      </c>
      <c r="F12" s="226"/>
      <c r="G12" s="226"/>
      <c r="H12" s="226"/>
      <c r="I12" s="126"/>
      <c r="J12" s="126"/>
      <c r="K12" s="126"/>
    </row>
    <row r="13" ht="14.25" customHeight="1">
      <c r="A13" s="191">
        <v>45299.0</v>
      </c>
      <c r="B13" s="155">
        <v>42000.0</v>
      </c>
      <c r="C13" s="155"/>
      <c r="D13" s="155">
        <v>52000.0</v>
      </c>
      <c r="E13" s="155">
        <v>256000.0</v>
      </c>
      <c r="F13" s="226"/>
      <c r="G13" s="226"/>
      <c r="H13" s="226"/>
      <c r="I13" s="126"/>
      <c r="J13" s="126"/>
      <c r="K13" s="126"/>
    </row>
    <row r="14" ht="14.25" customHeight="1">
      <c r="A14" s="191">
        <v>45300.0</v>
      </c>
      <c r="B14" s="155">
        <v>42000.0</v>
      </c>
      <c r="C14" s="155"/>
      <c r="D14" s="155">
        <v>52000.0</v>
      </c>
      <c r="E14" s="155">
        <v>204000.0</v>
      </c>
      <c r="F14" s="226"/>
      <c r="G14" s="226"/>
      <c r="H14" s="226"/>
      <c r="I14" s="126"/>
      <c r="J14" s="126"/>
      <c r="K14" s="126"/>
    </row>
    <row r="15" ht="14.25" customHeight="1">
      <c r="A15" s="191">
        <v>45301.0</v>
      </c>
      <c r="B15" s="155">
        <v>42000.0</v>
      </c>
      <c r="C15" s="155"/>
      <c r="D15" s="155">
        <v>52000.0</v>
      </c>
      <c r="E15" s="155">
        <v>152000.0</v>
      </c>
      <c r="F15" s="226"/>
      <c r="G15" s="226"/>
      <c r="H15" s="226"/>
      <c r="I15" s="126"/>
      <c r="J15" s="126"/>
      <c r="K15" s="126"/>
    </row>
    <row r="16" ht="14.25" customHeight="1">
      <c r="A16" s="191">
        <v>45302.0</v>
      </c>
      <c r="B16" s="155">
        <v>42000.0</v>
      </c>
      <c r="C16" s="155"/>
      <c r="D16" s="155">
        <v>52000.0</v>
      </c>
      <c r="E16" s="155">
        <v>100000.0</v>
      </c>
      <c r="F16" s="226"/>
      <c r="G16" s="226"/>
      <c r="H16" s="226"/>
      <c r="I16" s="126"/>
      <c r="J16" s="126"/>
      <c r="K16" s="126"/>
    </row>
    <row r="17" ht="14.25" customHeight="1">
      <c r="A17" s="191">
        <v>45303.0</v>
      </c>
      <c r="B17" s="155">
        <v>42000.0</v>
      </c>
      <c r="C17" s="155"/>
      <c r="D17" s="155">
        <v>52000.0</v>
      </c>
      <c r="E17" s="155">
        <v>48000.0</v>
      </c>
      <c r="F17" s="226"/>
      <c r="G17" s="226"/>
      <c r="H17" s="226"/>
      <c r="I17" s="126"/>
      <c r="J17" s="126"/>
      <c r="K17" s="126"/>
    </row>
    <row r="18" ht="14.25" customHeight="1">
      <c r="A18" s="191">
        <v>45658.0</v>
      </c>
      <c r="B18" s="155">
        <v>38000.0</v>
      </c>
      <c r="C18" s="155"/>
      <c r="D18" s="155">
        <v>48000.0</v>
      </c>
      <c r="E18" s="190" t="s">
        <v>121</v>
      </c>
      <c r="F18" s="226"/>
      <c r="G18" s="332">
        <f t="shared" ref="G18:H18" si="1">SUM(G7:G17)</f>
        <v>40000</v>
      </c>
      <c r="H18" s="332">
        <f t="shared" si="1"/>
        <v>214000</v>
      </c>
      <c r="I18" s="179">
        <f>G18+H18</f>
        <v>254000</v>
      </c>
      <c r="J18" s="126"/>
      <c r="K18" s="297">
        <v>0.0</v>
      </c>
    </row>
    <row r="19" ht="14.25" customHeight="1">
      <c r="A19" s="126"/>
      <c r="B19" s="194">
        <v>500000.0</v>
      </c>
      <c r="C19" s="194"/>
      <c r="D19" s="194">
        <v>620000.0</v>
      </c>
      <c r="E19" s="195"/>
      <c r="F19" s="126"/>
      <c r="G19" s="126"/>
      <c r="H19" s="126"/>
      <c r="I19" s="126"/>
      <c r="J19" s="126"/>
      <c r="K19" s="126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57"/>
    <col customWidth="1" min="3" max="3" width="12.71"/>
    <col customWidth="1" min="4" max="4" width="17.14"/>
    <col customWidth="1" min="5" max="5" width="13.29"/>
    <col customWidth="1" min="6" max="6" width="20.71"/>
    <col customWidth="1" min="7" max="7" width="15.57"/>
    <col customWidth="1" min="8" max="8" width="15.29"/>
    <col customWidth="1" min="9" max="26" width="8.0"/>
  </cols>
  <sheetData>
    <row r="1" ht="14.25" customHeight="1">
      <c r="A1" s="310" t="s">
        <v>95</v>
      </c>
      <c r="D1" s="311"/>
      <c r="E1" s="311"/>
      <c r="F1" s="126"/>
      <c r="G1" s="126"/>
      <c r="H1" s="126"/>
      <c r="I1" s="126"/>
      <c r="J1" s="126"/>
      <c r="K1" s="126"/>
    </row>
    <row r="2" ht="14.25" customHeight="1">
      <c r="A2" s="310" t="s">
        <v>96</v>
      </c>
      <c r="F2" s="328" t="s">
        <v>331</v>
      </c>
      <c r="G2" s="329"/>
      <c r="H2" s="330"/>
      <c r="I2" s="126"/>
      <c r="J2" s="126"/>
      <c r="K2" s="126"/>
    </row>
    <row r="3" ht="14.25" customHeight="1">
      <c r="A3" s="310" t="s">
        <v>97</v>
      </c>
      <c r="E3" s="311"/>
      <c r="F3" s="126"/>
      <c r="G3" s="126"/>
      <c r="H3" s="126"/>
      <c r="I3" s="126"/>
      <c r="J3" s="126"/>
      <c r="K3" s="126"/>
    </row>
    <row r="4" ht="14.25" customHeight="1">
      <c r="A4" s="310" t="s">
        <v>98</v>
      </c>
      <c r="C4" s="311"/>
      <c r="D4" s="311"/>
      <c r="E4" s="311"/>
      <c r="F4" s="126"/>
      <c r="G4" s="126"/>
      <c r="H4" s="126"/>
      <c r="I4" s="126"/>
      <c r="J4" s="126"/>
      <c r="K4" s="126"/>
    </row>
    <row r="5" ht="14.25" customHeight="1">
      <c r="A5" s="310" t="s">
        <v>329</v>
      </c>
      <c r="D5" s="311"/>
      <c r="E5" s="311"/>
      <c r="F5" s="126"/>
      <c r="G5" s="126"/>
      <c r="H5" s="126"/>
      <c r="I5" s="126"/>
      <c r="J5" s="126"/>
      <c r="K5" s="126"/>
    </row>
    <row r="6" ht="14.25" customHeight="1">
      <c r="A6" s="184" t="s">
        <v>100</v>
      </c>
      <c r="B6" s="131" t="s">
        <v>101</v>
      </c>
      <c r="C6" s="131" t="s">
        <v>102</v>
      </c>
      <c r="D6" s="131" t="s">
        <v>103</v>
      </c>
      <c r="E6" s="131" t="s">
        <v>115</v>
      </c>
      <c r="F6" s="131" t="s">
        <v>105</v>
      </c>
      <c r="G6" s="331" t="s">
        <v>106</v>
      </c>
      <c r="H6" s="132" t="s">
        <v>107</v>
      </c>
      <c r="I6" s="126"/>
      <c r="J6" s="126"/>
      <c r="K6" s="126"/>
    </row>
    <row r="7" ht="14.25" customHeight="1">
      <c r="A7" s="277">
        <v>45293.0</v>
      </c>
      <c r="B7" s="151">
        <v>42000.0</v>
      </c>
      <c r="C7" s="151">
        <v>10000.0</v>
      </c>
      <c r="D7" s="151">
        <v>52000.0</v>
      </c>
      <c r="E7" s="151">
        <v>568000.0</v>
      </c>
      <c r="F7" s="188" t="s">
        <v>330</v>
      </c>
      <c r="G7" s="155">
        <v>10000.0</v>
      </c>
      <c r="H7" s="155">
        <v>65000.0</v>
      </c>
      <c r="I7" s="126"/>
      <c r="J7" s="126"/>
      <c r="K7" s="126"/>
    </row>
    <row r="8" ht="14.25" customHeight="1">
      <c r="A8" s="191">
        <v>45294.0</v>
      </c>
      <c r="B8" s="155">
        <v>42000.0</v>
      </c>
      <c r="C8" s="155">
        <v>10000.0</v>
      </c>
      <c r="D8" s="155">
        <v>52000.0</v>
      </c>
      <c r="E8" s="155">
        <v>516000.0</v>
      </c>
      <c r="F8" s="190" t="s">
        <v>330</v>
      </c>
      <c r="G8" s="155">
        <v>10000.0</v>
      </c>
      <c r="H8" s="155">
        <v>65000.0</v>
      </c>
      <c r="I8" s="126"/>
      <c r="J8" s="126"/>
      <c r="K8" s="126"/>
    </row>
    <row r="9" ht="14.25" customHeight="1">
      <c r="A9" s="191">
        <v>45295.0</v>
      </c>
      <c r="B9" s="155">
        <v>42000.0</v>
      </c>
      <c r="C9" s="155">
        <v>10000.0</v>
      </c>
      <c r="D9" s="155">
        <v>52000.0</v>
      </c>
      <c r="E9" s="155">
        <v>464000.0</v>
      </c>
      <c r="F9" s="190" t="s">
        <v>299</v>
      </c>
      <c r="G9" s="155">
        <v>10000.0</v>
      </c>
      <c r="H9" s="155">
        <v>42000.0</v>
      </c>
      <c r="I9" s="126"/>
      <c r="J9" s="126"/>
      <c r="K9" s="126"/>
    </row>
    <row r="10" ht="14.25" customHeight="1">
      <c r="A10" s="191">
        <v>45296.0</v>
      </c>
      <c r="B10" s="155">
        <v>42000.0</v>
      </c>
      <c r="C10" s="155">
        <v>10000.0</v>
      </c>
      <c r="D10" s="155">
        <v>52000.0</v>
      </c>
      <c r="E10" s="155">
        <v>412000.0</v>
      </c>
      <c r="F10" s="226"/>
      <c r="G10" s="155">
        <v>10000.0</v>
      </c>
      <c r="H10" s="155">
        <v>42000.0</v>
      </c>
      <c r="I10" s="126"/>
      <c r="J10" s="126"/>
      <c r="K10" s="126"/>
    </row>
    <row r="11" ht="14.25" customHeight="1">
      <c r="A11" s="191">
        <v>45297.0</v>
      </c>
      <c r="B11" s="155">
        <v>42000.0</v>
      </c>
      <c r="C11" s="155"/>
      <c r="D11" s="155"/>
      <c r="E11" s="155"/>
      <c r="F11" s="226"/>
      <c r="G11" s="226"/>
      <c r="H11" s="226"/>
      <c r="I11" s="126"/>
      <c r="J11" s="126"/>
      <c r="K11" s="126"/>
    </row>
    <row r="12" ht="14.25" customHeight="1">
      <c r="A12" s="191">
        <v>45298.0</v>
      </c>
      <c r="B12" s="155">
        <v>42000.0</v>
      </c>
      <c r="C12" s="155"/>
      <c r="D12" s="155"/>
      <c r="E12" s="155"/>
      <c r="F12" s="226"/>
      <c r="G12" s="226"/>
      <c r="H12" s="226"/>
      <c r="I12" s="126"/>
      <c r="J12" s="126"/>
      <c r="K12" s="126"/>
    </row>
    <row r="13" ht="14.25" customHeight="1">
      <c r="A13" s="191">
        <v>45299.0</v>
      </c>
      <c r="B13" s="155">
        <v>42000.0</v>
      </c>
      <c r="C13" s="155"/>
      <c r="D13" s="155"/>
      <c r="E13" s="155"/>
      <c r="F13" s="226"/>
      <c r="G13" s="226"/>
      <c r="H13" s="226"/>
      <c r="I13" s="126"/>
      <c r="J13" s="126"/>
      <c r="K13" s="126"/>
    </row>
    <row r="14" ht="14.25" customHeight="1">
      <c r="A14" s="191">
        <v>45300.0</v>
      </c>
      <c r="B14" s="155">
        <v>42000.0</v>
      </c>
      <c r="C14" s="155"/>
      <c r="D14" s="155"/>
      <c r="E14" s="155"/>
      <c r="F14" s="226"/>
      <c r="G14" s="226"/>
      <c r="H14" s="226"/>
      <c r="I14" s="126"/>
      <c r="J14" s="126"/>
      <c r="K14" s="126"/>
    </row>
    <row r="15" ht="14.25" customHeight="1">
      <c r="A15" s="191">
        <v>45301.0</v>
      </c>
      <c r="B15" s="155">
        <v>42000.0</v>
      </c>
      <c r="C15" s="155"/>
      <c r="D15" s="155"/>
      <c r="E15" s="155"/>
      <c r="F15" s="226"/>
      <c r="G15" s="226"/>
      <c r="H15" s="226"/>
      <c r="I15" s="126"/>
      <c r="J15" s="126"/>
      <c r="K15" s="126"/>
    </row>
    <row r="16" ht="14.25" customHeight="1">
      <c r="A16" s="191">
        <v>45302.0</v>
      </c>
      <c r="B16" s="155">
        <v>42000.0</v>
      </c>
      <c r="C16" s="155"/>
      <c r="D16" s="155"/>
      <c r="E16" s="155"/>
      <c r="F16" s="226"/>
      <c r="G16" s="226"/>
      <c r="H16" s="226"/>
      <c r="I16" s="126"/>
      <c r="J16" s="126"/>
      <c r="K16" s="126"/>
    </row>
    <row r="17" ht="14.25" customHeight="1">
      <c r="A17" s="191">
        <v>45303.0</v>
      </c>
      <c r="B17" s="155">
        <v>42000.0</v>
      </c>
      <c r="C17" s="155"/>
      <c r="D17" s="155"/>
      <c r="E17" s="155"/>
      <c r="F17" s="226"/>
      <c r="G17" s="226"/>
      <c r="H17" s="226"/>
      <c r="I17" s="126"/>
      <c r="J17" s="126"/>
      <c r="K17" s="126"/>
    </row>
    <row r="18" ht="14.25" customHeight="1">
      <c r="A18" s="191">
        <v>45658.0</v>
      </c>
      <c r="B18" s="155">
        <v>38000.0</v>
      </c>
      <c r="C18" s="155"/>
      <c r="D18" s="155"/>
      <c r="E18" s="190"/>
      <c r="F18" s="226"/>
      <c r="G18" s="333">
        <f t="shared" ref="G18:H18" si="1">SUM(G7:G17)</f>
        <v>40000</v>
      </c>
      <c r="H18" s="333">
        <f t="shared" si="1"/>
        <v>214000</v>
      </c>
      <c r="I18" s="179">
        <f>G18+H18</f>
        <v>254000</v>
      </c>
      <c r="J18" s="126"/>
      <c r="K18" s="297">
        <v>0.0</v>
      </c>
    </row>
    <row r="19" ht="14.25" customHeight="1">
      <c r="A19" s="126"/>
      <c r="B19" s="194">
        <f t="shared" ref="B19:C19" si="2">SUM(B7:B18)</f>
        <v>500000</v>
      </c>
      <c r="C19" s="194">
        <f t="shared" si="2"/>
        <v>40000</v>
      </c>
      <c r="D19" s="194"/>
      <c r="E19" s="195"/>
      <c r="F19" s="126"/>
      <c r="G19" s="126"/>
      <c r="H19" s="126"/>
      <c r="I19" s="126"/>
      <c r="J19" s="126"/>
      <c r="K19" s="126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29"/>
    <col customWidth="1" min="8" max="8" width="15.86"/>
  </cols>
  <sheetData>
    <row r="1">
      <c r="A1" s="310" t="s">
        <v>332</v>
      </c>
      <c r="D1" s="311"/>
      <c r="E1" s="311"/>
      <c r="F1" s="279"/>
      <c r="G1" s="334"/>
      <c r="H1" s="133"/>
    </row>
    <row r="2">
      <c r="A2" s="310" t="s">
        <v>173</v>
      </c>
      <c r="F2" s="279"/>
      <c r="G2" s="334"/>
      <c r="H2" s="133"/>
    </row>
    <row r="3">
      <c r="A3" s="310" t="s">
        <v>333</v>
      </c>
      <c r="E3" s="311"/>
      <c r="F3" s="279"/>
      <c r="G3" s="334"/>
      <c r="H3" s="133"/>
      <c r="J3" s="107">
        <f>188300/2</f>
        <v>94150</v>
      </c>
      <c r="K3" s="107">
        <f>J3-9650</f>
        <v>84500</v>
      </c>
    </row>
    <row r="4">
      <c r="A4" s="310" t="s">
        <v>334</v>
      </c>
      <c r="C4" s="311"/>
      <c r="D4" s="311"/>
      <c r="E4" s="311"/>
      <c r="F4" s="328" t="s">
        <v>335</v>
      </c>
      <c r="G4" s="329"/>
      <c r="H4" s="335"/>
      <c r="J4" s="336">
        <f>J3*2</f>
        <v>188300</v>
      </c>
    </row>
    <row r="5">
      <c r="A5" s="310" t="s">
        <v>336</v>
      </c>
      <c r="D5" s="311"/>
      <c r="E5" s="311"/>
      <c r="F5" s="279"/>
      <c r="G5" s="334"/>
      <c r="H5" s="133"/>
      <c r="K5" s="107">
        <f>78650-J3</f>
        <v>-15500</v>
      </c>
    </row>
    <row r="6">
      <c r="A6" s="279"/>
      <c r="B6" s="279"/>
      <c r="C6" s="279"/>
      <c r="D6" s="279"/>
      <c r="E6" s="279"/>
      <c r="F6" s="279"/>
      <c r="G6" s="334"/>
      <c r="H6" s="133"/>
    </row>
    <row r="7">
      <c r="A7" s="184" t="s">
        <v>100</v>
      </c>
      <c r="B7" s="131" t="s">
        <v>101</v>
      </c>
      <c r="C7" s="131" t="s">
        <v>102</v>
      </c>
      <c r="D7" s="131" t="s">
        <v>103</v>
      </c>
      <c r="E7" s="131" t="s">
        <v>115</v>
      </c>
      <c r="F7" s="131" t="s">
        <v>105</v>
      </c>
      <c r="G7" s="331" t="s">
        <v>106</v>
      </c>
      <c r="H7" s="132" t="s">
        <v>107</v>
      </c>
    </row>
    <row r="8">
      <c r="A8" s="277">
        <v>45357.0</v>
      </c>
      <c r="B8" s="151">
        <v>69000.0</v>
      </c>
      <c r="C8" s="151">
        <v>9650.0</v>
      </c>
      <c r="D8" s="151">
        <f t="shared" ref="D8:D14" si="1">SUM(B8:C8)</f>
        <v>78650</v>
      </c>
      <c r="E8" s="151">
        <f>550050-D8</f>
        <v>471400</v>
      </c>
      <c r="F8" s="188"/>
      <c r="G8" s="155">
        <v>9650.0</v>
      </c>
      <c r="H8" s="155">
        <v>69000.0</v>
      </c>
    </row>
    <row r="9">
      <c r="A9" s="277">
        <v>45358.0</v>
      </c>
      <c r="B9" s="151">
        <v>69000.0</v>
      </c>
      <c r="C9" s="151">
        <v>9650.0</v>
      </c>
      <c r="D9" s="151">
        <f t="shared" si="1"/>
        <v>78650</v>
      </c>
      <c r="E9" s="155">
        <f t="shared" ref="E9:E14" si="2">E8-D9</f>
        <v>392750</v>
      </c>
      <c r="F9" s="190"/>
      <c r="G9" s="155">
        <v>9650.0</v>
      </c>
      <c r="H9" s="155">
        <v>69000.0</v>
      </c>
      <c r="I9" s="59" t="s">
        <v>337</v>
      </c>
      <c r="K9" s="337">
        <f>D8*5/100</f>
        <v>3932.5</v>
      </c>
    </row>
    <row r="10">
      <c r="A10" s="277">
        <v>45359.0</v>
      </c>
      <c r="B10" s="151">
        <v>69000.0</v>
      </c>
      <c r="C10" s="151">
        <v>9650.0</v>
      </c>
      <c r="D10" s="151">
        <f t="shared" si="1"/>
        <v>78650</v>
      </c>
      <c r="E10" s="155">
        <f t="shared" si="2"/>
        <v>314100</v>
      </c>
      <c r="F10" s="190"/>
      <c r="G10" s="155">
        <v>9650.0</v>
      </c>
      <c r="H10" s="155">
        <v>84500.0</v>
      </c>
    </row>
    <row r="11">
      <c r="A11" s="277">
        <v>45360.0</v>
      </c>
      <c r="B11" s="151">
        <v>69000.0</v>
      </c>
      <c r="C11" s="151"/>
      <c r="D11" s="151">
        <f t="shared" si="1"/>
        <v>69000</v>
      </c>
      <c r="E11" s="155">
        <f t="shared" si="2"/>
        <v>245100</v>
      </c>
      <c r="F11" s="190"/>
      <c r="G11" s="155"/>
      <c r="H11" s="155"/>
    </row>
    <row r="12">
      <c r="A12" s="277">
        <v>45361.0</v>
      </c>
      <c r="B12" s="151">
        <v>69000.0</v>
      </c>
      <c r="C12" s="151"/>
      <c r="D12" s="151">
        <f t="shared" si="1"/>
        <v>69000</v>
      </c>
      <c r="E12" s="155">
        <f t="shared" si="2"/>
        <v>176100</v>
      </c>
      <c r="F12" s="226"/>
      <c r="G12" s="226"/>
      <c r="H12" s="226"/>
    </row>
    <row r="13">
      <c r="A13" s="277">
        <v>45362.0</v>
      </c>
      <c r="B13" s="151">
        <v>69000.0</v>
      </c>
      <c r="C13" s="151"/>
      <c r="D13" s="151">
        <f t="shared" si="1"/>
        <v>69000</v>
      </c>
      <c r="E13" s="155">
        <f t="shared" si="2"/>
        <v>107100</v>
      </c>
      <c r="F13" s="226"/>
      <c r="G13" s="226"/>
      <c r="H13" s="226"/>
    </row>
    <row r="14">
      <c r="A14" s="277">
        <v>45363.0</v>
      </c>
      <c r="B14" s="151">
        <f>69000-500</f>
        <v>68500</v>
      </c>
      <c r="C14" s="151"/>
      <c r="D14" s="151">
        <f t="shared" si="1"/>
        <v>68500</v>
      </c>
      <c r="E14" s="155">
        <f t="shared" si="2"/>
        <v>38600</v>
      </c>
      <c r="F14" s="226"/>
      <c r="G14" s="338">
        <f t="shared" ref="G14:H14" si="3">SUM(G8:G13)</f>
        <v>28950</v>
      </c>
      <c r="H14" s="338">
        <f t="shared" si="3"/>
        <v>222500</v>
      </c>
      <c r="I14" s="170">
        <f>G14+H14</f>
        <v>251450</v>
      </c>
      <c r="J14" s="339">
        <v>0.0</v>
      </c>
      <c r="K14" s="59" t="s">
        <v>338</v>
      </c>
    </row>
    <row r="15">
      <c r="B15" s="340">
        <f t="shared" ref="B15:D15" si="4">SUM(B8:B14)</f>
        <v>482500</v>
      </c>
      <c r="C15" s="340">
        <f t="shared" si="4"/>
        <v>28950</v>
      </c>
      <c r="D15" s="340">
        <f t="shared" si="4"/>
        <v>511450</v>
      </c>
    </row>
    <row r="17">
      <c r="H17" s="107">
        <f>D8*2</f>
        <v>157300</v>
      </c>
    </row>
    <row r="18">
      <c r="F18" s="107">
        <f>78650*2</f>
        <v>157300</v>
      </c>
    </row>
  </sheetData>
  <mergeCells count="5">
    <mergeCell ref="A1:C1"/>
    <mergeCell ref="A2:E2"/>
    <mergeCell ref="A3:D3"/>
    <mergeCell ref="A4:B4"/>
    <mergeCell ref="A5:C5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43"/>
    <col customWidth="1" min="3" max="3" width="16.71"/>
    <col customWidth="1" min="8" max="8" width="16.14"/>
    <col customWidth="1" min="10" max="10" width="17.86"/>
  </cols>
  <sheetData>
    <row r="1">
      <c r="A1" s="310" t="s">
        <v>332</v>
      </c>
      <c r="D1" s="311"/>
      <c r="E1" s="311"/>
      <c r="F1" s="279"/>
      <c r="G1" s="334"/>
      <c r="H1" s="133"/>
    </row>
    <row r="2">
      <c r="A2" s="310" t="s">
        <v>173</v>
      </c>
      <c r="F2" s="279"/>
      <c r="G2" s="334"/>
      <c r="H2" s="133"/>
    </row>
    <row r="3">
      <c r="A3" s="310" t="s">
        <v>333</v>
      </c>
      <c r="E3" s="311"/>
      <c r="F3" s="279"/>
      <c r="G3" s="334"/>
      <c r="H3" s="133"/>
    </row>
    <row r="4">
      <c r="A4" s="310" t="s">
        <v>334</v>
      </c>
      <c r="C4" s="311"/>
      <c r="D4" s="311"/>
      <c r="E4" s="311"/>
      <c r="F4" s="328" t="s">
        <v>339</v>
      </c>
      <c r="G4" s="329"/>
      <c r="H4" s="335"/>
    </row>
    <row r="5">
      <c r="A5" s="310" t="s">
        <v>336</v>
      </c>
      <c r="D5" s="311"/>
      <c r="E5" s="311"/>
      <c r="F5" s="279"/>
      <c r="G5" s="334"/>
      <c r="H5" s="133"/>
    </row>
    <row r="6">
      <c r="A6" s="279"/>
      <c r="B6" s="279"/>
      <c r="C6" s="279"/>
      <c r="D6" s="279"/>
      <c r="E6" s="279"/>
      <c r="F6" s="279"/>
      <c r="G6" s="334"/>
      <c r="H6" s="133"/>
    </row>
    <row r="7">
      <c r="A7" s="184" t="s">
        <v>100</v>
      </c>
      <c r="B7" s="131" t="s">
        <v>101</v>
      </c>
      <c r="C7" s="131" t="s">
        <v>102</v>
      </c>
      <c r="D7" s="131" t="s">
        <v>103</v>
      </c>
      <c r="E7" s="131" t="s">
        <v>115</v>
      </c>
      <c r="F7" s="131" t="s">
        <v>105</v>
      </c>
      <c r="G7" s="331" t="s">
        <v>106</v>
      </c>
      <c r="H7" s="132" t="s">
        <v>107</v>
      </c>
    </row>
    <row r="8">
      <c r="A8" s="277">
        <v>45357.0</v>
      </c>
      <c r="B8" s="151">
        <v>69000.0</v>
      </c>
      <c r="C8" s="151">
        <v>9650.0</v>
      </c>
      <c r="D8" s="151">
        <f t="shared" ref="D8:D14" si="1">SUM(B8:C8)</f>
        <v>78650</v>
      </c>
      <c r="E8" s="151">
        <f>550050-D8</f>
        <v>471400</v>
      </c>
      <c r="F8" s="188"/>
      <c r="G8" s="155">
        <v>9650.0</v>
      </c>
      <c r="H8" s="155">
        <v>69000.0</v>
      </c>
    </row>
    <row r="9">
      <c r="A9" s="277">
        <v>45358.0</v>
      </c>
      <c r="B9" s="151">
        <v>69000.0</v>
      </c>
      <c r="C9" s="151">
        <v>9650.0</v>
      </c>
      <c r="D9" s="151">
        <f t="shared" si="1"/>
        <v>78650</v>
      </c>
      <c r="E9" s="155">
        <f t="shared" ref="E9:E14" si="2">E8-D9</f>
        <v>392750</v>
      </c>
      <c r="F9" s="190"/>
      <c r="G9" s="341">
        <v>9650.0</v>
      </c>
      <c r="H9" s="173">
        <v>69000.0</v>
      </c>
      <c r="I9" s="59" t="s">
        <v>337</v>
      </c>
      <c r="K9" s="337">
        <f>D8*5/100</f>
        <v>3932.5</v>
      </c>
    </row>
    <row r="10">
      <c r="A10" s="277">
        <v>45359.0</v>
      </c>
      <c r="B10" s="151">
        <v>69000.0</v>
      </c>
      <c r="C10" s="151">
        <v>9650.0</v>
      </c>
      <c r="D10" s="151">
        <f t="shared" si="1"/>
        <v>78650</v>
      </c>
      <c r="E10" s="155">
        <f t="shared" si="2"/>
        <v>314100</v>
      </c>
      <c r="F10" s="190"/>
      <c r="G10" s="155">
        <v>9650.0</v>
      </c>
      <c r="H10" s="155">
        <v>84500.0</v>
      </c>
    </row>
    <row r="11">
      <c r="A11" s="277">
        <v>45360.0</v>
      </c>
      <c r="B11" s="151">
        <v>69000.0</v>
      </c>
      <c r="C11" s="151"/>
      <c r="D11" s="151">
        <f t="shared" si="1"/>
        <v>69000</v>
      </c>
      <c r="E11" s="155">
        <f t="shared" si="2"/>
        <v>245100</v>
      </c>
      <c r="F11" s="190"/>
      <c r="G11" s="155"/>
      <c r="H11" s="155"/>
    </row>
    <row r="12">
      <c r="A12" s="277">
        <v>45361.0</v>
      </c>
      <c r="B12" s="151">
        <v>69000.0</v>
      </c>
      <c r="C12" s="151"/>
      <c r="D12" s="151">
        <f t="shared" si="1"/>
        <v>69000</v>
      </c>
      <c r="E12" s="155">
        <f t="shared" si="2"/>
        <v>176100</v>
      </c>
      <c r="F12" s="226"/>
      <c r="G12" s="226"/>
      <c r="H12" s="226"/>
    </row>
    <row r="13">
      <c r="A13" s="277">
        <v>45362.0</v>
      </c>
      <c r="B13" s="151">
        <v>69000.0</v>
      </c>
      <c r="C13" s="151"/>
      <c r="D13" s="151">
        <f t="shared" si="1"/>
        <v>69000</v>
      </c>
      <c r="E13" s="155">
        <f t="shared" si="2"/>
        <v>107100</v>
      </c>
      <c r="F13" s="226"/>
      <c r="G13" s="226"/>
      <c r="H13" s="226"/>
    </row>
    <row r="14">
      <c r="A14" s="277">
        <v>45363.0</v>
      </c>
      <c r="B14" s="151">
        <f>69000-500</f>
        <v>68500</v>
      </c>
      <c r="C14" s="151"/>
      <c r="D14" s="151">
        <f t="shared" si="1"/>
        <v>68500</v>
      </c>
      <c r="E14" s="155">
        <f t="shared" si="2"/>
        <v>38600</v>
      </c>
      <c r="F14" s="226"/>
      <c r="G14" s="338">
        <f t="shared" ref="G14:H14" si="3">SUM(G8:G13)</f>
        <v>28950</v>
      </c>
      <c r="H14" s="338">
        <f t="shared" si="3"/>
        <v>222500</v>
      </c>
      <c r="I14" s="170">
        <f>G14+H14</f>
        <v>251450</v>
      </c>
      <c r="J14" s="339">
        <v>0.0</v>
      </c>
      <c r="K14" s="59" t="s">
        <v>338</v>
      </c>
    </row>
    <row r="15">
      <c r="B15" s="340">
        <f t="shared" ref="B15:D15" si="4">SUM(B8:B14)</f>
        <v>482500</v>
      </c>
      <c r="C15" s="340">
        <f t="shared" si="4"/>
        <v>28950</v>
      </c>
      <c r="D15" s="340">
        <f t="shared" si="4"/>
        <v>511450</v>
      </c>
    </row>
  </sheetData>
  <mergeCells count="5">
    <mergeCell ref="A1:C1"/>
    <mergeCell ref="A2:E2"/>
    <mergeCell ref="A3:D3"/>
    <mergeCell ref="A4:B4"/>
    <mergeCell ref="A5:C5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6" max="6" width="11.57"/>
    <col customWidth="1" min="7" max="7" width="13.29"/>
    <col customWidth="1" min="8" max="8" width="15.86"/>
    <col customWidth="1" min="9" max="9" width="9.71"/>
    <col customWidth="1" min="10" max="10" width="11.71"/>
  </cols>
  <sheetData>
    <row r="1">
      <c r="A1" s="310" t="s">
        <v>340</v>
      </c>
      <c r="B1" s="310"/>
      <c r="C1" s="310"/>
      <c r="D1" s="311"/>
      <c r="E1" s="311"/>
      <c r="F1" s="279"/>
      <c r="G1" s="334"/>
      <c r="H1" s="133"/>
    </row>
    <row r="2">
      <c r="A2" s="310" t="s">
        <v>341</v>
      </c>
      <c r="D2" s="311"/>
      <c r="E2" s="311"/>
      <c r="F2" s="279"/>
      <c r="G2" s="334"/>
      <c r="H2" s="133"/>
    </row>
    <row r="3">
      <c r="A3" s="310" t="s">
        <v>342</v>
      </c>
      <c r="F3" s="279"/>
      <c r="G3" s="334"/>
      <c r="H3" s="133"/>
    </row>
    <row r="4">
      <c r="A4" s="310" t="s">
        <v>343</v>
      </c>
      <c r="E4" s="311"/>
      <c r="F4" s="279"/>
      <c r="G4" s="334"/>
      <c r="H4" s="133"/>
      <c r="J4" s="68"/>
      <c r="K4" s="68"/>
      <c r="L4" s="68"/>
    </row>
    <row r="5">
      <c r="A5" s="310" t="s">
        <v>344</v>
      </c>
      <c r="C5" s="311"/>
      <c r="D5" s="311"/>
      <c r="E5" s="311"/>
      <c r="F5" s="328" t="s">
        <v>345</v>
      </c>
      <c r="G5" s="329"/>
      <c r="H5" s="335"/>
      <c r="J5" s="68"/>
      <c r="K5" s="68"/>
      <c r="L5" s="68"/>
    </row>
    <row r="6">
      <c r="A6" s="310" t="s">
        <v>346</v>
      </c>
      <c r="D6" s="311"/>
      <c r="E6" s="311"/>
      <c r="F6" s="279"/>
      <c r="G6" s="334"/>
      <c r="H6" s="133"/>
      <c r="J6" s="68"/>
      <c r="K6" s="68"/>
      <c r="L6" s="76"/>
    </row>
    <row r="7">
      <c r="A7" s="279"/>
      <c r="B7" s="279"/>
      <c r="C7" s="279"/>
      <c r="D7" s="279"/>
      <c r="E7" s="279"/>
      <c r="F7" s="279"/>
      <c r="G7" s="334"/>
      <c r="H7" s="133"/>
      <c r="J7" s="68"/>
      <c r="K7" s="68"/>
      <c r="L7" s="68"/>
    </row>
    <row r="8">
      <c r="A8" s="184" t="s">
        <v>100</v>
      </c>
      <c r="B8" s="131" t="s">
        <v>101</v>
      </c>
      <c r="C8" s="131" t="s">
        <v>102</v>
      </c>
      <c r="D8" s="131" t="s">
        <v>103</v>
      </c>
      <c r="E8" s="131" t="s">
        <v>115</v>
      </c>
      <c r="F8" s="131" t="s">
        <v>105</v>
      </c>
      <c r="G8" s="331" t="s">
        <v>106</v>
      </c>
      <c r="H8" s="132" t="s">
        <v>107</v>
      </c>
      <c r="J8" s="68"/>
      <c r="K8" s="68"/>
      <c r="L8" s="68"/>
    </row>
    <row r="9">
      <c r="A9" s="187" t="s">
        <v>347</v>
      </c>
      <c r="B9" s="151">
        <v>143875.0</v>
      </c>
      <c r="C9" s="151">
        <v>11510.0</v>
      </c>
      <c r="D9" s="151">
        <f t="shared" ref="D9:D12" si="1">B9+C9</f>
        <v>155385</v>
      </c>
      <c r="E9" s="151">
        <f>621540-D9</f>
        <v>466155</v>
      </c>
      <c r="F9" s="188"/>
      <c r="G9" s="155">
        <v>11510.0</v>
      </c>
      <c r="H9" s="155">
        <v>143875.0</v>
      </c>
      <c r="J9" s="68"/>
      <c r="K9" s="76"/>
      <c r="L9" s="68"/>
    </row>
    <row r="10">
      <c r="A10" s="187" t="s">
        <v>348</v>
      </c>
      <c r="B10" s="151">
        <v>143875.0</v>
      </c>
      <c r="C10" s="151">
        <v>11510.0</v>
      </c>
      <c r="D10" s="151">
        <f t="shared" si="1"/>
        <v>155385</v>
      </c>
      <c r="E10" s="155">
        <f t="shared" ref="E10:E12" si="2">E9-D10</f>
        <v>310770</v>
      </c>
      <c r="F10" s="190"/>
      <c r="G10" s="155">
        <v>11510.0</v>
      </c>
      <c r="H10" s="155">
        <v>143875.0</v>
      </c>
      <c r="I10" s="54"/>
      <c r="J10" s="68"/>
      <c r="K10" s="342"/>
      <c r="L10" s="68"/>
    </row>
    <row r="11">
      <c r="A11" s="187" t="s">
        <v>349</v>
      </c>
      <c r="B11" s="151">
        <v>143875.0</v>
      </c>
      <c r="C11" s="151">
        <v>11510.0</v>
      </c>
      <c r="D11" s="151">
        <f t="shared" si="1"/>
        <v>155385</v>
      </c>
      <c r="E11" s="155">
        <f t="shared" si="2"/>
        <v>155385</v>
      </c>
      <c r="F11" s="190"/>
      <c r="G11" s="155">
        <v>11510.0</v>
      </c>
      <c r="H11" s="155">
        <f>39230+104645</f>
        <v>143875</v>
      </c>
      <c r="J11" s="59" t="s">
        <v>350</v>
      </c>
    </row>
    <row r="12">
      <c r="A12" s="187" t="s">
        <v>351</v>
      </c>
      <c r="B12" s="151">
        <v>143875.0</v>
      </c>
      <c r="C12" s="151"/>
      <c r="D12" s="151">
        <f t="shared" si="1"/>
        <v>143875</v>
      </c>
      <c r="E12" s="155">
        <f t="shared" si="2"/>
        <v>11510</v>
      </c>
      <c r="F12" s="190"/>
      <c r="G12" s="155">
        <v>0.0</v>
      </c>
      <c r="H12" s="155">
        <v>143875.0</v>
      </c>
    </row>
    <row r="13">
      <c r="B13" s="340">
        <f t="shared" ref="B13:D13" si="3">SUM(B9:B12)</f>
        <v>575500</v>
      </c>
      <c r="C13" s="340">
        <f t="shared" si="3"/>
        <v>34530</v>
      </c>
      <c r="D13" s="340">
        <f t="shared" si="3"/>
        <v>610030</v>
      </c>
      <c r="G13" s="271">
        <f t="shared" ref="G13:H13" si="4">SUM(G9:G12)</f>
        <v>34530</v>
      </c>
      <c r="H13" s="271">
        <f t="shared" si="4"/>
        <v>575500</v>
      </c>
      <c r="I13" s="271">
        <f>G13+H13</f>
        <v>610030</v>
      </c>
      <c r="J13" s="343">
        <f>I13-D13</f>
        <v>0</v>
      </c>
    </row>
    <row r="15">
      <c r="D15" s="107">
        <f>D13*2</f>
        <v>1220060</v>
      </c>
    </row>
  </sheetData>
  <mergeCells count="5">
    <mergeCell ref="A2:C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6" max="6" width="11.57"/>
    <col customWidth="1" min="7" max="7" width="13.29"/>
    <col customWidth="1" min="8" max="8" width="15.86"/>
    <col customWidth="1" min="9" max="9" width="9.71"/>
    <col customWidth="1" min="10" max="10" width="11.71"/>
  </cols>
  <sheetData>
    <row r="1">
      <c r="A1" s="310" t="s">
        <v>352</v>
      </c>
      <c r="B1" s="310"/>
      <c r="C1" s="310"/>
      <c r="D1" s="311"/>
      <c r="E1" s="311"/>
      <c r="F1" s="279"/>
      <c r="G1" s="344"/>
      <c r="H1" s="345"/>
    </row>
    <row r="2">
      <c r="A2" s="310" t="s">
        <v>353</v>
      </c>
      <c r="D2" s="311"/>
      <c r="E2" s="311"/>
      <c r="F2" s="279"/>
      <c r="G2" s="344"/>
      <c r="H2" s="345"/>
    </row>
    <row r="3">
      <c r="A3" s="310" t="s">
        <v>354</v>
      </c>
      <c r="F3" s="279"/>
      <c r="G3" s="344"/>
      <c r="H3" s="345"/>
    </row>
    <row r="4">
      <c r="A4" s="310" t="s">
        <v>355</v>
      </c>
      <c r="E4" s="311"/>
      <c r="F4" s="279"/>
      <c r="G4" s="344"/>
      <c r="H4" s="345"/>
      <c r="J4" s="68"/>
      <c r="K4" s="68"/>
      <c r="L4" s="68"/>
    </row>
    <row r="5">
      <c r="A5" s="310" t="s">
        <v>356</v>
      </c>
      <c r="C5" s="311"/>
      <c r="D5" s="311"/>
      <c r="E5" s="311"/>
      <c r="F5" s="346"/>
      <c r="G5" s="347"/>
      <c r="H5" s="348"/>
      <c r="I5" s="28"/>
      <c r="J5" s="68"/>
      <c r="K5" s="68"/>
      <c r="L5" s="68"/>
    </row>
    <row r="6">
      <c r="A6" s="310" t="s">
        <v>357</v>
      </c>
      <c r="D6" s="311"/>
      <c r="E6" s="311"/>
      <c r="F6" s="279"/>
      <c r="G6" s="344"/>
      <c r="H6" s="345"/>
      <c r="J6" s="68"/>
      <c r="K6" s="68"/>
      <c r="L6" s="76"/>
    </row>
    <row r="7">
      <c r="A7" s="279"/>
      <c r="B7" s="279"/>
      <c r="C7" s="279"/>
      <c r="D7" s="279"/>
      <c r="E7" s="279"/>
      <c r="F7" s="279"/>
      <c r="G7" s="344"/>
      <c r="H7" s="345"/>
      <c r="J7" s="68"/>
      <c r="K7" s="68"/>
      <c r="L7" s="68"/>
    </row>
    <row r="8">
      <c r="A8" s="184" t="s">
        <v>100</v>
      </c>
      <c r="B8" s="131" t="s">
        <v>101</v>
      </c>
      <c r="C8" s="131" t="s">
        <v>102</v>
      </c>
      <c r="D8" s="131" t="s">
        <v>103</v>
      </c>
      <c r="E8" s="131" t="s">
        <v>115</v>
      </c>
      <c r="F8" s="131" t="s">
        <v>105</v>
      </c>
      <c r="G8" s="349" t="s">
        <v>106</v>
      </c>
      <c r="H8" s="350" t="s">
        <v>107</v>
      </c>
      <c r="J8" s="68"/>
      <c r="K8" s="68"/>
      <c r="L8" s="68"/>
    </row>
    <row r="9">
      <c r="A9" s="187" t="s">
        <v>87</v>
      </c>
      <c r="B9" s="151">
        <v>375000.0</v>
      </c>
      <c r="C9" s="151">
        <v>15000.0</v>
      </c>
      <c r="D9" s="151">
        <f t="shared" ref="D9:D10" si="1">B9+C9</f>
        <v>390000</v>
      </c>
      <c r="E9" s="155">
        <f>780000-D9</f>
        <v>390000</v>
      </c>
      <c r="F9" s="190"/>
      <c r="G9" s="155"/>
      <c r="H9" s="155"/>
    </row>
    <row r="10">
      <c r="A10" s="187" t="s">
        <v>89</v>
      </c>
      <c r="B10" s="151">
        <v>375000.0</v>
      </c>
      <c r="C10" s="151">
        <v>15000.0</v>
      </c>
      <c r="D10" s="151">
        <f t="shared" si="1"/>
        <v>390000</v>
      </c>
      <c r="E10" s="155">
        <f>E9-D10</f>
        <v>0</v>
      </c>
      <c r="F10" s="190"/>
      <c r="G10" s="155"/>
      <c r="H10" s="155"/>
    </row>
    <row r="11">
      <c r="B11" s="340">
        <f t="shared" ref="B11:D11" si="2">SUM(B9:B10)</f>
        <v>750000</v>
      </c>
      <c r="C11" s="340">
        <f t="shared" si="2"/>
        <v>30000</v>
      </c>
      <c r="D11" s="340">
        <f t="shared" si="2"/>
        <v>780000</v>
      </c>
      <c r="G11" s="271">
        <f t="shared" ref="G11:H11" si="3">SUM(G9:G10)</f>
        <v>0</v>
      </c>
      <c r="H11" s="271">
        <f t="shared" si="3"/>
        <v>0</v>
      </c>
      <c r="I11" s="271">
        <f>G11+H11</f>
        <v>0</v>
      </c>
      <c r="J11" s="343">
        <f>D11-I11</f>
        <v>780000</v>
      </c>
    </row>
  </sheetData>
  <mergeCells count="5">
    <mergeCell ref="A2:C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6" max="6" width="11.57"/>
    <col customWidth="1" min="7" max="7" width="13.29"/>
    <col customWidth="1" min="8" max="8" width="15.86"/>
    <col customWidth="1" min="9" max="9" width="9.71"/>
    <col customWidth="1" min="10" max="10" width="11.71"/>
  </cols>
  <sheetData>
    <row r="1">
      <c r="A1" s="310" t="s">
        <v>352</v>
      </c>
      <c r="B1" s="310"/>
      <c r="C1" s="310"/>
      <c r="D1" s="311"/>
      <c r="E1" s="311"/>
      <c r="F1" s="279"/>
      <c r="G1" s="344"/>
      <c r="H1" s="345"/>
    </row>
    <row r="2">
      <c r="A2" s="310" t="s">
        <v>353</v>
      </c>
      <c r="D2" s="311"/>
      <c r="E2" s="311"/>
      <c r="F2" s="279"/>
      <c r="G2" s="344"/>
      <c r="H2" s="345"/>
    </row>
    <row r="3">
      <c r="A3" s="310" t="s">
        <v>354</v>
      </c>
      <c r="F3" s="279"/>
      <c r="G3" s="344"/>
      <c r="H3" s="345"/>
    </row>
    <row r="4">
      <c r="A4" s="310" t="s">
        <v>355</v>
      </c>
      <c r="E4" s="311"/>
      <c r="F4" s="279"/>
      <c r="G4" s="344"/>
      <c r="H4" s="345"/>
      <c r="J4" s="68"/>
      <c r="K4" s="68"/>
      <c r="L4" s="68"/>
    </row>
    <row r="5">
      <c r="A5" s="310" t="s">
        <v>356</v>
      </c>
      <c r="C5" s="311"/>
      <c r="D5" s="311"/>
      <c r="E5" s="311"/>
      <c r="F5" s="346"/>
      <c r="G5" s="347"/>
      <c r="H5" s="348"/>
      <c r="I5" s="28"/>
      <c r="J5" s="68"/>
      <c r="K5" s="68"/>
      <c r="L5" s="68"/>
    </row>
    <row r="6">
      <c r="A6" s="310" t="s">
        <v>357</v>
      </c>
      <c r="D6" s="311"/>
      <c r="E6" s="311"/>
      <c r="F6" s="279"/>
      <c r="G6" s="344"/>
      <c r="H6" s="345"/>
      <c r="J6" s="68"/>
      <c r="K6" s="68"/>
      <c r="L6" s="76"/>
    </row>
    <row r="7">
      <c r="A7" s="279"/>
      <c r="B7" s="279"/>
      <c r="C7" s="279"/>
      <c r="D7" s="279"/>
      <c r="E7" s="279"/>
      <c r="F7" s="279"/>
      <c r="G7" s="344"/>
      <c r="H7" s="345"/>
      <c r="J7" s="68"/>
      <c r="K7" s="68"/>
      <c r="L7" s="68"/>
    </row>
    <row r="8">
      <c r="A8" s="184" t="s">
        <v>100</v>
      </c>
      <c r="B8" s="131" t="s">
        <v>101</v>
      </c>
      <c r="C8" s="131" t="s">
        <v>102</v>
      </c>
      <c r="D8" s="131" t="s">
        <v>103</v>
      </c>
      <c r="E8" s="131" t="s">
        <v>115</v>
      </c>
      <c r="F8" s="131" t="s">
        <v>105</v>
      </c>
      <c r="G8" s="349" t="s">
        <v>106</v>
      </c>
      <c r="H8" s="350" t="s">
        <v>107</v>
      </c>
      <c r="J8" s="68"/>
      <c r="K8" s="68"/>
      <c r="L8" s="68"/>
    </row>
    <row r="9">
      <c r="A9" s="187" t="s">
        <v>87</v>
      </c>
      <c r="B9" s="151">
        <v>375000.0</v>
      </c>
      <c r="C9" s="151">
        <v>15000.0</v>
      </c>
      <c r="D9" s="151">
        <f t="shared" ref="D9:D10" si="1">B9+C9</f>
        <v>390000</v>
      </c>
      <c r="E9" s="155">
        <f>780000-D9</f>
        <v>390000</v>
      </c>
      <c r="F9" s="190"/>
      <c r="G9" s="155"/>
      <c r="H9" s="155"/>
    </row>
    <row r="10">
      <c r="A10" s="187" t="s">
        <v>87</v>
      </c>
      <c r="B10" s="151">
        <v>375000.0</v>
      </c>
      <c r="C10" s="151">
        <v>15000.0</v>
      </c>
      <c r="D10" s="151">
        <f t="shared" si="1"/>
        <v>390000</v>
      </c>
      <c r="E10" s="155">
        <f>E9-D10</f>
        <v>0</v>
      </c>
      <c r="F10" s="190"/>
      <c r="G10" s="155"/>
      <c r="H10" s="155"/>
    </row>
    <row r="11">
      <c r="B11" s="340">
        <f t="shared" ref="B11:D11" si="2">SUM(B9:B10)</f>
        <v>750000</v>
      </c>
      <c r="C11" s="340">
        <f t="shared" si="2"/>
        <v>30000</v>
      </c>
      <c r="D11" s="340">
        <f t="shared" si="2"/>
        <v>780000</v>
      </c>
      <c r="E11" s="351"/>
      <c r="F11" s="351">
        <f t="shared" ref="F11:H11" si="3">SUM(F9:F10)</f>
        <v>0</v>
      </c>
      <c r="G11" s="340">
        <f t="shared" si="3"/>
        <v>0</v>
      </c>
      <c r="H11" s="340">
        <f t="shared" si="3"/>
        <v>0</v>
      </c>
      <c r="I11" s="271">
        <f>G11+H11</f>
        <v>0</v>
      </c>
      <c r="J11" s="343">
        <f>D11-I11</f>
        <v>780000</v>
      </c>
    </row>
  </sheetData>
  <mergeCells count="5">
    <mergeCell ref="A2:C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4.71"/>
    <col customWidth="1" min="3" max="3" width="16.71"/>
    <col customWidth="1" min="6" max="6" width="10.0"/>
    <col customWidth="1" min="7" max="7" width="12.86"/>
    <col customWidth="1" min="8" max="8" width="19.14"/>
    <col customWidth="1" min="9" max="9" width="10.57"/>
    <col customWidth="1" min="10" max="10" width="8.71"/>
  </cols>
  <sheetData>
    <row r="1">
      <c r="A1" s="310" t="s">
        <v>358</v>
      </c>
      <c r="B1" s="310"/>
      <c r="C1" s="310"/>
      <c r="D1" s="311"/>
      <c r="E1" s="311"/>
      <c r="F1" s="279"/>
      <c r="G1" s="334"/>
      <c r="H1" s="133"/>
    </row>
    <row r="2">
      <c r="A2" s="310" t="s">
        <v>341</v>
      </c>
      <c r="D2" s="311"/>
      <c r="E2" s="311"/>
      <c r="F2" s="279"/>
      <c r="G2" s="334"/>
      <c r="H2" s="133"/>
    </row>
    <row r="3">
      <c r="A3" s="310" t="s">
        <v>359</v>
      </c>
      <c r="F3" s="279"/>
      <c r="G3" s="334"/>
      <c r="H3" s="133"/>
    </row>
    <row r="4">
      <c r="A4" s="310" t="s">
        <v>343</v>
      </c>
      <c r="E4" s="311"/>
      <c r="F4" s="279"/>
      <c r="G4" s="334"/>
      <c r="H4" s="133"/>
    </row>
    <row r="5">
      <c r="A5" s="310" t="s">
        <v>344</v>
      </c>
      <c r="C5" s="311"/>
      <c r="D5" s="311"/>
      <c r="E5" s="311"/>
      <c r="F5" s="328" t="s">
        <v>360</v>
      </c>
      <c r="G5" s="329"/>
      <c r="H5" s="335"/>
    </row>
    <row r="6">
      <c r="A6" s="310" t="s">
        <v>361</v>
      </c>
      <c r="D6" s="311"/>
      <c r="E6" s="311"/>
      <c r="F6" s="279"/>
      <c r="G6" s="334"/>
      <c r="H6" s="133"/>
    </row>
    <row r="7">
      <c r="A7" s="279"/>
      <c r="B7" s="279"/>
      <c r="C7" s="279"/>
      <c r="D7" s="279"/>
      <c r="E7" s="279"/>
      <c r="F7" s="279"/>
      <c r="G7" s="334"/>
      <c r="H7" s="133"/>
    </row>
    <row r="8">
      <c r="A8" s="184" t="s">
        <v>100</v>
      </c>
      <c r="B8" s="131" t="s">
        <v>101</v>
      </c>
      <c r="C8" s="131" t="s">
        <v>102</v>
      </c>
      <c r="D8" s="131" t="s">
        <v>103</v>
      </c>
      <c r="E8" s="131" t="s">
        <v>115</v>
      </c>
      <c r="F8" s="131" t="s">
        <v>105</v>
      </c>
      <c r="G8" s="331" t="s">
        <v>106</v>
      </c>
      <c r="H8" s="132" t="s">
        <v>107</v>
      </c>
    </row>
    <row r="9">
      <c r="A9" s="187" t="s">
        <v>347</v>
      </c>
      <c r="B9" s="151">
        <v>143900.0</v>
      </c>
      <c r="C9" s="151">
        <v>11510.0</v>
      </c>
      <c r="D9" s="151">
        <f t="shared" ref="D9:D12" si="1">B9+C9</f>
        <v>155410</v>
      </c>
      <c r="E9" s="151">
        <f>621540-D9</f>
        <v>466130</v>
      </c>
      <c r="F9" s="188"/>
      <c r="G9" s="155">
        <v>11510.0</v>
      </c>
      <c r="H9" s="155">
        <v>143875.0</v>
      </c>
    </row>
    <row r="10">
      <c r="A10" s="187" t="s">
        <v>348</v>
      </c>
      <c r="B10" s="151">
        <v>143900.0</v>
      </c>
      <c r="C10" s="151">
        <v>11510.0</v>
      </c>
      <c r="D10" s="151">
        <f t="shared" si="1"/>
        <v>155410</v>
      </c>
      <c r="E10" s="155">
        <f t="shared" ref="E10:E12" si="2">E9-D10</f>
        <v>310720</v>
      </c>
      <c r="F10" s="190"/>
      <c r="G10" s="155">
        <v>11510.0</v>
      </c>
      <c r="H10" s="155">
        <v>143875.0</v>
      </c>
      <c r="I10" s="54"/>
      <c r="J10" s="68"/>
      <c r="K10" s="342"/>
      <c r="L10" s="68"/>
    </row>
    <row r="11">
      <c r="A11" s="187" t="s">
        <v>349</v>
      </c>
      <c r="B11" s="151">
        <v>143900.0</v>
      </c>
      <c r="C11" s="151">
        <v>11510.0</v>
      </c>
      <c r="D11" s="151">
        <f t="shared" si="1"/>
        <v>155410</v>
      </c>
      <c r="E11" s="155">
        <f t="shared" si="2"/>
        <v>155310</v>
      </c>
      <c r="F11" s="190"/>
      <c r="G11" s="155">
        <v>11510.0</v>
      </c>
      <c r="H11" s="155">
        <f>39230+104645</f>
        <v>143875</v>
      </c>
      <c r="I11" s="28"/>
      <c r="J11" s="28"/>
      <c r="K11" s="28"/>
    </row>
    <row r="12">
      <c r="A12" s="187" t="s">
        <v>351</v>
      </c>
      <c r="B12" s="151">
        <v>143800.0</v>
      </c>
      <c r="C12" s="151"/>
      <c r="D12" s="151">
        <f t="shared" si="1"/>
        <v>143800</v>
      </c>
      <c r="E12" s="155">
        <f t="shared" si="2"/>
        <v>11510</v>
      </c>
      <c r="F12" s="190"/>
      <c r="G12" s="155">
        <v>0.0</v>
      </c>
      <c r="H12" s="155">
        <v>143875.0</v>
      </c>
      <c r="I12" s="28"/>
      <c r="J12" s="28"/>
      <c r="K12" s="28"/>
    </row>
    <row r="13">
      <c r="B13" s="340">
        <f t="shared" ref="B13:D13" si="3">SUM(B9:B12)</f>
        <v>575500</v>
      </c>
      <c r="C13" s="340">
        <f t="shared" si="3"/>
        <v>34530</v>
      </c>
      <c r="D13" s="340">
        <f t="shared" si="3"/>
        <v>610030</v>
      </c>
      <c r="G13" s="271">
        <f t="shared" ref="G13:H13" si="4">SUM(G9:G12)</f>
        <v>34530</v>
      </c>
      <c r="H13" s="271">
        <f t="shared" si="4"/>
        <v>575500</v>
      </c>
      <c r="I13" s="271">
        <f>G13+H13</f>
        <v>610030</v>
      </c>
      <c r="J13" s="343">
        <f>D13-I13</f>
        <v>0</v>
      </c>
      <c r="K13" s="59" t="s">
        <v>350</v>
      </c>
    </row>
    <row r="15">
      <c r="E15" s="275" t="s">
        <v>362</v>
      </c>
      <c r="F15" s="276"/>
      <c r="G15" s="276"/>
      <c r="H15" s="276"/>
      <c r="I15" s="276"/>
      <c r="J15" s="276"/>
    </row>
    <row r="17">
      <c r="H17" s="352" t="s">
        <v>363</v>
      </c>
    </row>
  </sheetData>
  <mergeCells count="5">
    <mergeCell ref="A2:C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57"/>
    <col customWidth="1" min="3" max="3" width="12.71"/>
    <col customWidth="1" min="4" max="4" width="17.14"/>
    <col customWidth="1" min="5" max="5" width="13.29"/>
    <col customWidth="1" min="6" max="6" width="14.14"/>
    <col customWidth="1" min="7" max="7" width="15.57"/>
    <col customWidth="1" min="8" max="8" width="15.29"/>
    <col customWidth="1" min="9" max="26" width="8.0"/>
  </cols>
  <sheetData>
    <row r="1" ht="14.25" customHeight="1"/>
    <row r="2" ht="14.25" customHeight="1">
      <c r="A2" s="310" t="s">
        <v>364</v>
      </c>
      <c r="D2" s="311"/>
      <c r="E2" s="311"/>
      <c r="F2" s="126"/>
      <c r="G2" s="126"/>
      <c r="H2" s="126"/>
      <c r="I2" s="126"/>
      <c r="J2" s="126"/>
      <c r="K2" s="126"/>
    </row>
    <row r="3" ht="14.25" customHeight="1">
      <c r="A3" s="310" t="s">
        <v>96</v>
      </c>
      <c r="E3" s="311"/>
      <c r="F3" s="126"/>
      <c r="G3" s="126"/>
      <c r="H3" s="126"/>
      <c r="I3" s="126"/>
      <c r="J3" s="126"/>
      <c r="K3" s="126"/>
    </row>
    <row r="4" ht="14.25" customHeight="1">
      <c r="A4" s="310" t="s">
        <v>97</v>
      </c>
      <c r="E4" s="311"/>
      <c r="F4" s="126"/>
      <c r="G4" s="126"/>
      <c r="H4" s="126"/>
      <c r="I4" s="126"/>
      <c r="J4" s="126"/>
      <c r="K4" s="126"/>
    </row>
    <row r="5" ht="14.25" customHeight="1">
      <c r="A5" s="310" t="s">
        <v>365</v>
      </c>
      <c r="C5" s="311"/>
      <c r="D5" s="311"/>
      <c r="E5" s="311"/>
      <c r="F5" s="126"/>
      <c r="G5" s="126"/>
      <c r="H5" s="126"/>
      <c r="I5" s="126"/>
      <c r="J5" s="126"/>
      <c r="K5" s="126"/>
    </row>
    <row r="6" ht="14.25" customHeight="1">
      <c r="A6" s="310" t="s">
        <v>366</v>
      </c>
      <c r="D6" s="311"/>
      <c r="E6" s="311"/>
      <c r="F6" s="126"/>
      <c r="G6" s="126"/>
      <c r="H6" s="126"/>
      <c r="I6" s="126"/>
      <c r="J6" s="126"/>
      <c r="K6" s="126"/>
    </row>
    <row r="7" ht="14.25" customHeight="1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</row>
    <row r="8" ht="14.25" customHeight="1">
      <c r="A8" s="353" t="s">
        <v>100</v>
      </c>
      <c r="B8" s="354" t="s">
        <v>101</v>
      </c>
      <c r="C8" s="354" t="s">
        <v>102</v>
      </c>
      <c r="D8" s="355" t="s">
        <v>103</v>
      </c>
      <c r="E8" s="355" t="s">
        <v>115</v>
      </c>
      <c r="F8" s="355" t="s">
        <v>105</v>
      </c>
      <c r="G8" s="132" t="s">
        <v>106</v>
      </c>
      <c r="H8" s="132" t="s">
        <v>107</v>
      </c>
      <c r="I8" s="126"/>
      <c r="J8" s="126"/>
      <c r="K8" s="126"/>
    </row>
    <row r="9" ht="14.25" customHeight="1">
      <c r="A9" s="356" t="s">
        <v>367</v>
      </c>
      <c r="B9" s="156">
        <v>100000.0</v>
      </c>
      <c r="C9" s="156">
        <v>12000.0</v>
      </c>
      <c r="D9" s="156">
        <v>112000.0</v>
      </c>
      <c r="E9" s="156">
        <v>560000.0</v>
      </c>
      <c r="F9" s="161" t="s">
        <v>368</v>
      </c>
      <c r="G9" s="141">
        <v>12000.0</v>
      </c>
      <c r="H9" s="141">
        <v>100000.0</v>
      </c>
      <c r="I9" s="126"/>
      <c r="J9" s="126"/>
      <c r="K9" s="126"/>
    </row>
    <row r="10" ht="14.25" customHeight="1">
      <c r="A10" s="356" t="s">
        <v>369</v>
      </c>
      <c r="B10" s="156">
        <v>100000.0</v>
      </c>
      <c r="C10" s="156">
        <v>12000.0</v>
      </c>
      <c r="D10" s="156">
        <v>112000.0</v>
      </c>
      <c r="E10" s="156">
        <v>448000.0</v>
      </c>
      <c r="F10" s="357" t="s">
        <v>368</v>
      </c>
      <c r="G10" s="141">
        <v>12000.0</v>
      </c>
      <c r="H10" s="141">
        <v>100000.0</v>
      </c>
      <c r="I10" s="126"/>
      <c r="J10" s="126"/>
      <c r="K10" s="126"/>
    </row>
    <row r="11" ht="14.25" customHeight="1">
      <c r="A11" s="356" t="s">
        <v>200</v>
      </c>
      <c r="B11" s="156">
        <v>100000.0</v>
      </c>
      <c r="C11" s="156">
        <v>12000.0</v>
      </c>
      <c r="D11" s="156">
        <v>112000.0</v>
      </c>
      <c r="E11" s="156">
        <v>336000.0</v>
      </c>
      <c r="F11" s="357" t="s">
        <v>368</v>
      </c>
      <c r="G11" s="141">
        <v>12000.0</v>
      </c>
      <c r="H11" s="141">
        <v>100000.0</v>
      </c>
      <c r="I11" s="126"/>
      <c r="J11" s="126"/>
      <c r="K11" s="126"/>
    </row>
    <row r="12" ht="14.25" customHeight="1">
      <c r="A12" s="356" t="s">
        <v>370</v>
      </c>
      <c r="B12" s="156">
        <v>100000.0</v>
      </c>
      <c r="C12" s="156">
        <v>12000.0</v>
      </c>
      <c r="D12" s="156">
        <v>112000.0</v>
      </c>
      <c r="E12" s="156">
        <v>224000.0</v>
      </c>
      <c r="F12" s="357" t="s">
        <v>368</v>
      </c>
      <c r="G12" s="141">
        <v>12000.0</v>
      </c>
      <c r="H12" s="141">
        <v>100000.0</v>
      </c>
      <c r="I12" s="126"/>
      <c r="J12" s="126"/>
      <c r="K12" s="126"/>
    </row>
    <row r="13" ht="14.25" customHeight="1">
      <c r="A13" s="356" t="s">
        <v>371</v>
      </c>
      <c r="B13" s="156">
        <v>100000.0</v>
      </c>
      <c r="C13" s="156">
        <v>12000.0</v>
      </c>
      <c r="D13" s="156">
        <v>112000.0</v>
      </c>
      <c r="E13" s="156">
        <v>112000.0</v>
      </c>
      <c r="F13" s="358"/>
      <c r="G13" s="359">
        <v>12000.0</v>
      </c>
      <c r="H13" s="359">
        <v>100000.0</v>
      </c>
      <c r="I13" s="139" t="s">
        <v>372</v>
      </c>
      <c r="J13" s="126"/>
      <c r="K13" s="126"/>
    </row>
    <row r="14" ht="14.25" customHeight="1">
      <c r="A14" s="356" t="s">
        <v>213</v>
      </c>
      <c r="B14" s="156">
        <v>100000.0</v>
      </c>
      <c r="C14" s="156">
        <v>12000.0</v>
      </c>
      <c r="D14" s="156">
        <v>112000.0</v>
      </c>
      <c r="E14" s="161" t="s">
        <v>121</v>
      </c>
      <c r="F14" s="358"/>
      <c r="G14" s="359">
        <v>12000.0</v>
      </c>
      <c r="H14" s="359">
        <v>100000.0</v>
      </c>
      <c r="I14" s="139" t="s">
        <v>372</v>
      </c>
      <c r="J14" s="126"/>
      <c r="K14" s="126"/>
    </row>
    <row r="15" ht="14.25" customHeight="1">
      <c r="A15" s="360"/>
      <c r="B15" s="361">
        <v>600000.0</v>
      </c>
      <c r="C15" s="361">
        <v>72000.0</v>
      </c>
      <c r="D15" s="361">
        <v>672000.0</v>
      </c>
      <c r="E15" s="362"/>
      <c r="F15" s="358"/>
      <c r="G15" s="363">
        <f t="shared" ref="G15:H15" si="1">SUM(G9:G14)</f>
        <v>72000</v>
      </c>
      <c r="H15" s="363">
        <f t="shared" si="1"/>
        <v>600000</v>
      </c>
      <c r="I15" s="364">
        <f>G15+H15</f>
        <v>672000</v>
      </c>
      <c r="J15" s="126"/>
      <c r="K15" s="365">
        <f>D15-I15</f>
        <v>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</sheetData>
  <mergeCells count="5">
    <mergeCell ref="A2:C2"/>
    <mergeCell ref="A3:D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29"/>
    <col customWidth="1" min="3" max="3" width="11.57"/>
    <col customWidth="1" min="4" max="4" width="8.86"/>
    <col customWidth="1" min="5" max="5" width="9.71"/>
    <col customWidth="1" min="6" max="6" width="14.57"/>
    <col customWidth="1" min="7" max="7" width="13.43"/>
    <col customWidth="1" min="8" max="8" width="15.29"/>
    <col customWidth="1" min="9" max="9" width="10.71"/>
    <col customWidth="1" min="10" max="10" width="12.71"/>
    <col customWidth="1" min="11" max="11" width="8.0"/>
    <col customWidth="1" min="12" max="12" width="9.57"/>
    <col customWidth="1" min="13" max="13" width="11.14"/>
    <col customWidth="1" min="14" max="15" width="8.0"/>
    <col customWidth="1" min="16" max="16" width="12.57"/>
    <col customWidth="1" min="17" max="26" width="8.0"/>
  </cols>
  <sheetData>
    <row r="1" ht="14.25" customHeight="1">
      <c r="A1" s="123" t="s">
        <v>122</v>
      </c>
      <c r="D1" s="124"/>
      <c r="E1" s="124"/>
      <c r="F1" s="124"/>
      <c r="G1" s="125"/>
      <c r="H1" s="125"/>
      <c r="I1" s="126"/>
      <c r="J1" s="126"/>
    </row>
    <row r="2" ht="14.25" customHeight="1">
      <c r="A2" s="123" t="s">
        <v>111</v>
      </c>
      <c r="F2" s="124"/>
      <c r="G2" s="125"/>
      <c r="H2" s="125"/>
      <c r="I2" s="126"/>
      <c r="J2" s="126"/>
    </row>
    <row r="3" ht="14.25" customHeight="1">
      <c r="A3" s="123" t="s">
        <v>112</v>
      </c>
      <c r="E3" s="124"/>
      <c r="F3" s="124"/>
      <c r="G3" s="125"/>
      <c r="H3" s="125"/>
      <c r="I3" s="126"/>
      <c r="J3" s="126"/>
    </row>
    <row r="4" ht="14.25" customHeight="1">
      <c r="A4" s="123" t="s">
        <v>113</v>
      </c>
      <c r="C4" s="124"/>
      <c r="D4" s="124"/>
      <c r="E4" s="124"/>
      <c r="F4" s="124"/>
      <c r="G4" s="125"/>
      <c r="H4" s="125"/>
      <c r="I4" s="126"/>
      <c r="J4" s="126"/>
    </row>
    <row r="5" ht="14.25" customHeight="1">
      <c r="A5" s="127" t="s">
        <v>114</v>
      </c>
      <c r="B5" s="128"/>
      <c r="C5" s="128"/>
      <c r="D5" s="124"/>
      <c r="E5" s="124"/>
      <c r="F5" s="124"/>
      <c r="G5" s="125"/>
      <c r="H5" s="125"/>
      <c r="I5" s="126"/>
      <c r="J5" s="126"/>
    </row>
    <row r="6" ht="14.25" customHeight="1">
      <c r="A6" s="129" t="s">
        <v>100</v>
      </c>
      <c r="B6" s="130" t="s">
        <v>101</v>
      </c>
      <c r="C6" s="130" t="s">
        <v>102</v>
      </c>
      <c r="D6" s="131" t="s">
        <v>103</v>
      </c>
      <c r="E6" s="131" t="s">
        <v>115</v>
      </c>
      <c r="F6" s="131" t="s">
        <v>105</v>
      </c>
      <c r="G6" s="132" t="s">
        <v>106</v>
      </c>
      <c r="H6" s="132" t="s">
        <v>107</v>
      </c>
      <c r="I6" s="126"/>
      <c r="J6" s="126"/>
    </row>
    <row r="7" ht="14.25" customHeight="1">
      <c r="A7" s="134" t="s">
        <v>123</v>
      </c>
      <c r="B7" s="135">
        <v>176700.0</v>
      </c>
      <c r="C7" s="135">
        <v>10600.0</v>
      </c>
      <c r="D7" s="135">
        <f t="shared" ref="D7:D9" si="1">B7+C7</f>
        <v>187300</v>
      </c>
      <c r="E7" s="135">
        <f>561800-D7</f>
        <v>374500</v>
      </c>
      <c r="F7" s="136"/>
      <c r="G7" s="144">
        <v>10600.0</v>
      </c>
      <c r="H7" s="144">
        <v>176900.0</v>
      </c>
      <c r="I7" s="139"/>
      <c r="J7" s="126"/>
    </row>
    <row r="8" ht="14.25" customHeight="1">
      <c r="A8" s="140" t="s">
        <v>124</v>
      </c>
      <c r="B8" s="141">
        <v>176700.0</v>
      </c>
      <c r="C8" s="141">
        <v>10600.0</v>
      </c>
      <c r="D8" s="135">
        <f t="shared" si="1"/>
        <v>187300</v>
      </c>
      <c r="E8" s="141">
        <f>E7-D8</f>
        <v>187200</v>
      </c>
      <c r="F8" s="142"/>
      <c r="G8" s="144">
        <v>10600.0</v>
      </c>
      <c r="H8" s="144">
        <f>176900-300</f>
        <v>176600</v>
      </c>
      <c r="I8" s="126"/>
      <c r="J8" s="126"/>
    </row>
    <row r="9" ht="14.25" customHeight="1">
      <c r="A9" s="140" t="s">
        <v>125</v>
      </c>
      <c r="B9" s="141">
        <v>176600.0</v>
      </c>
      <c r="C9" s="141"/>
      <c r="D9" s="135">
        <f t="shared" si="1"/>
        <v>176600</v>
      </c>
      <c r="E9" s="144" t="s">
        <v>121</v>
      </c>
      <c r="F9" s="142"/>
      <c r="G9" s="144"/>
      <c r="H9" s="144">
        <v>176600.0</v>
      </c>
      <c r="I9" s="139" t="s">
        <v>126</v>
      </c>
      <c r="J9" s="126"/>
    </row>
    <row r="10" ht="14.25" customHeight="1">
      <c r="A10" s="125"/>
      <c r="B10" s="145">
        <f t="shared" ref="B10:D10" si="2">SUM(B7:B9)</f>
        <v>530000</v>
      </c>
      <c r="C10" s="145">
        <f t="shared" si="2"/>
        <v>21200</v>
      </c>
      <c r="D10" s="145">
        <f t="shared" si="2"/>
        <v>551200</v>
      </c>
      <c r="E10" s="146"/>
      <c r="F10" s="125"/>
      <c r="G10" s="123">
        <f t="shared" ref="G10:H10" si="3">SUM(G7:G9)</f>
        <v>21200</v>
      </c>
      <c r="H10" s="123">
        <f t="shared" si="3"/>
        <v>530100</v>
      </c>
      <c r="I10" s="123">
        <f>G10+H10</f>
        <v>551300</v>
      </c>
      <c r="J10" s="148">
        <f>D10-I10</f>
        <v>-100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57"/>
    <col customWidth="1" min="3" max="3" width="12.71"/>
    <col customWidth="1" min="4" max="4" width="17.14"/>
    <col customWidth="1" min="5" max="5" width="13.29"/>
    <col customWidth="1" min="6" max="6" width="14.14"/>
    <col customWidth="1" min="7" max="7" width="15.57"/>
    <col customWidth="1" min="8" max="8" width="15.29"/>
    <col customWidth="1" min="9" max="26" width="8.0"/>
  </cols>
  <sheetData>
    <row r="1" ht="14.25" customHeight="1">
      <c r="A1" s="310" t="s">
        <v>364</v>
      </c>
      <c r="D1" s="311"/>
      <c r="E1" s="311"/>
      <c r="F1" s="126"/>
      <c r="G1" s="126"/>
      <c r="H1" s="126"/>
      <c r="I1" s="126"/>
      <c r="J1" s="126"/>
      <c r="K1" s="126"/>
    </row>
    <row r="2" ht="14.25" customHeight="1">
      <c r="A2" s="310" t="s">
        <v>96</v>
      </c>
      <c r="F2" s="126"/>
      <c r="G2" s="126"/>
      <c r="H2" s="126"/>
      <c r="I2" s="126"/>
      <c r="J2" s="126"/>
      <c r="K2" s="126"/>
    </row>
    <row r="3" ht="14.25" customHeight="1">
      <c r="A3" s="310" t="s">
        <v>97</v>
      </c>
      <c r="E3" s="311"/>
      <c r="F3" s="126"/>
      <c r="G3" s="126"/>
      <c r="H3" s="126"/>
      <c r="I3" s="126"/>
      <c r="J3" s="126"/>
      <c r="K3" s="126"/>
    </row>
    <row r="4" ht="14.25" customHeight="1">
      <c r="A4" s="310" t="s">
        <v>365</v>
      </c>
      <c r="C4" s="311"/>
      <c r="D4" s="311"/>
      <c r="E4" s="311"/>
      <c r="F4" s="126"/>
      <c r="G4" s="126"/>
      <c r="H4" s="126"/>
      <c r="I4" s="126"/>
      <c r="J4" s="126"/>
      <c r="K4" s="126"/>
    </row>
    <row r="5" ht="14.25" customHeight="1">
      <c r="A5" s="310" t="s">
        <v>366</v>
      </c>
      <c r="D5" s="311"/>
      <c r="E5" s="311"/>
      <c r="F5" s="126"/>
      <c r="G5" s="126"/>
      <c r="H5" s="126"/>
      <c r="I5" s="126"/>
      <c r="J5" s="126"/>
      <c r="K5" s="126"/>
    </row>
    <row r="6" ht="14.25" customHeight="1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</row>
    <row r="7" ht="14.25" customHeight="1">
      <c r="A7" s="353" t="s">
        <v>100</v>
      </c>
      <c r="B7" s="354" t="s">
        <v>101</v>
      </c>
      <c r="C7" s="354" t="s">
        <v>102</v>
      </c>
      <c r="D7" s="355" t="s">
        <v>103</v>
      </c>
      <c r="E7" s="355" t="s">
        <v>115</v>
      </c>
      <c r="F7" s="355" t="s">
        <v>105</v>
      </c>
      <c r="G7" s="132" t="s">
        <v>106</v>
      </c>
      <c r="H7" s="132" t="s">
        <v>107</v>
      </c>
      <c r="I7" s="126"/>
      <c r="J7" s="126"/>
      <c r="K7" s="126"/>
    </row>
    <row r="8" ht="14.25" customHeight="1">
      <c r="A8" s="356" t="s">
        <v>367</v>
      </c>
      <c r="B8" s="156">
        <v>100000.0</v>
      </c>
      <c r="C8" s="156">
        <v>12000.0</v>
      </c>
      <c r="D8" s="156">
        <v>112000.0</v>
      </c>
      <c r="E8" s="156">
        <v>560000.0</v>
      </c>
      <c r="F8" s="161" t="s">
        <v>368</v>
      </c>
      <c r="G8" s="366">
        <v>12000.0</v>
      </c>
      <c r="H8" s="366">
        <v>100000.0</v>
      </c>
      <c r="I8" s="126"/>
      <c r="J8" s="126"/>
      <c r="K8" s="126"/>
    </row>
    <row r="9" ht="14.25" customHeight="1">
      <c r="A9" s="356" t="s">
        <v>369</v>
      </c>
      <c r="B9" s="156">
        <v>100000.0</v>
      </c>
      <c r="C9" s="156">
        <v>12000.0</v>
      </c>
      <c r="D9" s="156">
        <v>112000.0</v>
      </c>
      <c r="E9" s="156">
        <v>448000.0</v>
      </c>
      <c r="F9" s="357" t="s">
        <v>368</v>
      </c>
      <c r="G9" s="366">
        <v>12000.0</v>
      </c>
      <c r="H9" s="366">
        <v>100000.0</v>
      </c>
      <c r="I9" s="126"/>
      <c r="J9" s="126"/>
      <c r="K9" s="126"/>
    </row>
    <row r="10" ht="14.25" customHeight="1">
      <c r="A10" s="356" t="s">
        <v>200</v>
      </c>
      <c r="B10" s="156">
        <v>100000.0</v>
      </c>
      <c r="C10" s="156">
        <v>12000.0</v>
      </c>
      <c r="D10" s="156">
        <v>112000.0</v>
      </c>
      <c r="E10" s="156">
        <v>336000.0</v>
      </c>
      <c r="F10" s="357" t="s">
        <v>368</v>
      </c>
      <c r="G10" s="366">
        <v>12000.0</v>
      </c>
      <c r="H10" s="366">
        <v>100000.0</v>
      </c>
      <c r="I10" s="126"/>
      <c r="J10" s="126"/>
      <c r="K10" s="126"/>
    </row>
    <row r="11" ht="14.25" customHeight="1">
      <c r="A11" s="356" t="s">
        <v>370</v>
      </c>
      <c r="B11" s="156">
        <v>100000.0</v>
      </c>
      <c r="C11" s="156">
        <v>12000.0</v>
      </c>
      <c r="D11" s="156">
        <v>112000.0</v>
      </c>
      <c r="E11" s="156">
        <v>224000.0</v>
      </c>
      <c r="F11" s="357" t="s">
        <v>368</v>
      </c>
      <c r="G11" s="366">
        <v>12000.0</v>
      </c>
      <c r="H11" s="366">
        <v>100000.0</v>
      </c>
      <c r="I11" s="126"/>
      <c r="J11" s="126"/>
      <c r="K11" s="126"/>
    </row>
    <row r="12" ht="14.25" customHeight="1">
      <c r="A12" s="356" t="s">
        <v>371</v>
      </c>
      <c r="B12" s="156">
        <v>100000.0</v>
      </c>
      <c r="C12" s="156">
        <v>12000.0</v>
      </c>
      <c r="D12" s="156">
        <v>112000.0</v>
      </c>
      <c r="E12" s="156">
        <v>112000.0</v>
      </c>
      <c r="F12" s="358"/>
      <c r="G12" s="366">
        <v>12000.0</v>
      </c>
      <c r="H12" s="366">
        <v>100000.0</v>
      </c>
      <c r="I12" s="139" t="s">
        <v>372</v>
      </c>
      <c r="J12" s="126"/>
      <c r="K12" s="126"/>
    </row>
    <row r="13" ht="14.25" customHeight="1">
      <c r="A13" s="356" t="s">
        <v>213</v>
      </c>
      <c r="B13" s="156">
        <v>100000.0</v>
      </c>
      <c r="C13" s="156">
        <v>12000.0</v>
      </c>
      <c r="D13" s="156">
        <v>112000.0</v>
      </c>
      <c r="E13" s="161" t="s">
        <v>121</v>
      </c>
      <c r="F13" s="358"/>
      <c r="G13" s="366">
        <v>12000.0</v>
      </c>
      <c r="H13" s="366">
        <v>100000.0</v>
      </c>
      <c r="I13" s="139" t="s">
        <v>372</v>
      </c>
      <c r="J13" s="126"/>
      <c r="K13" s="126"/>
    </row>
    <row r="14" ht="14.25" customHeight="1">
      <c r="A14" s="360"/>
      <c r="B14" s="361">
        <v>600000.0</v>
      </c>
      <c r="C14" s="361">
        <v>72000.0</v>
      </c>
      <c r="D14" s="361">
        <v>672000.0</v>
      </c>
      <c r="E14" s="362"/>
      <c r="F14" s="358"/>
      <c r="G14" s="367">
        <f t="shared" ref="G14:H14" si="1">SUM(G8:G13)</f>
        <v>72000</v>
      </c>
      <c r="H14" s="367">
        <f t="shared" si="1"/>
        <v>600000</v>
      </c>
      <c r="I14" s="126"/>
      <c r="J14" s="364">
        <f>G14+H14</f>
        <v>672000</v>
      </c>
      <c r="K14" s="365">
        <f>D14-J14</f>
        <v>0</v>
      </c>
    </row>
    <row r="15" ht="14.25" customHeight="1"/>
    <row r="16" ht="14.25" customHeight="1"/>
    <row r="17" ht="14.25" customHeight="1">
      <c r="I17" s="107">
        <f>1300000-780000</f>
        <v>520000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57"/>
    <col customWidth="1" min="3" max="3" width="12.71"/>
    <col customWidth="1" min="4" max="4" width="17.14"/>
    <col customWidth="1" min="5" max="5" width="13.29"/>
    <col customWidth="1" min="6" max="6" width="14.14"/>
    <col customWidth="1" min="7" max="7" width="15.57"/>
    <col customWidth="1" min="8" max="8" width="15.29"/>
    <col customWidth="1" min="9" max="26" width="8.0"/>
  </cols>
  <sheetData>
    <row r="1" ht="14.25" customHeight="1">
      <c r="A1" s="310" t="s">
        <v>373</v>
      </c>
      <c r="D1" s="311"/>
      <c r="E1" s="311"/>
      <c r="F1" s="126"/>
      <c r="G1" s="126"/>
      <c r="H1" s="126"/>
      <c r="I1" s="126"/>
      <c r="J1" s="126"/>
      <c r="K1" s="126"/>
    </row>
    <row r="2" ht="14.25" customHeight="1">
      <c r="A2" s="310" t="s">
        <v>374</v>
      </c>
      <c r="F2" s="126"/>
      <c r="G2" s="126"/>
      <c r="H2" s="126"/>
      <c r="I2" s="126"/>
      <c r="J2" s="126"/>
      <c r="K2" s="126"/>
    </row>
    <row r="3" ht="14.25" customHeight="1">
      <c r="A3" s="310" t="s">
        <v>375</v>
      </c>
      <c r="E3" s="311"/>
      <c r="F3" s="126"/>
      <c r="G3" s="126"/>
      <c r="H3" s="126"/>
      <c r="I3" s="126"/>
      <c r="J3" s="126"/>
      <c r="K3" s="126"/>
    </row>
    <row r="4" ht="14.25" customHeight="1">
      <c r="A4" s="310" t="s">
        <v>376</v>
      </c>
      <c r="C4" s="311"/>
      <c r="D4" s="311"/>
      <c r="E4" s="311"/>
      <c r="F4" s="126"/>
      <c r="G4" s="126"/>
      <c r="H4" s="126"/>
      <c r="I4" s="126"/>
      <c r="J4" s="126"/>
      <c r="K4" s="126"/>
    </row>
    <row r="5" ht="14.25" customHeight="1">
      <c r="A5" s="310" t="s">
        <v>366</v>
      </c>
      <c r="D5" s="311"/>
      <c r="E5" s="311"/>
      <c r="F5" s="126"/>
      <c r="G5" s="126"/>
      <c r="H5" s="126"/>
      <c r="I5" s="126"/>
      <c r="J5" s="126"/>
      <c r="K5" s="126"/>
    </row>
    <row r="6" ht="14.25" customHeight="1">
      <c r="A6" s="126"/>
      <c r="B6" s="126"/>
      <c r="C6" s="126"/>
      <c r="D6" s="126"/>
      <c r="E6" s="126"/>
      <c r="F6" s="126"/>
      <c r="G6" s="126"/>
      <c r="H6" s="126"/>
      <c r="I6" s="126"/>
      <c r="J6" s="126"/>
      <c r="K6" s="126"/>
    </row>
    <row r="7" ht="14.25" customHeight="1">
      <c r="A7" s="353" t="s">
        <v>100</v>
      </c>
      <c r="B7" s="354" t="s">
        <v>101</v>
      </c>
      <c r="C7" s="354" t="s">
        <v>102</v>
      </c>
      <c r="D7" s="355" t="s">
        <v>103</v>
      </c>
      <c r="E7" s="355" t="s">
        <v>115</v>
      </c>
      <c r="F7" s="355" t="s">
        <v>105</v>
      </c>
      <c r="G7" s="132" t="s">
        <v>106</v>
      </c>
      <c r="H7" s="132" t="s">
        <v>107</v>
      </c>
      <c r="I7" s="126"/>
      <c r="J7" s="126"/>
      <c r="K7" s="126"/>
    </row>
    <row r="8" ht="14.25" customHeight="1">
      <c r="A8" s="368">
        <v>45450.0</v>
      </c>
      <c r="B8" s="156">
        <v>109000.0</v>
      </c>
      <c r="C8" s="156">
        <v>13000.0</v>
      </c>
      <c r="D8" s="156">
        <f t="shared" ref="D8:D13" si="1">B8+C8</f>
        <v>122000</v>
      </c>
      <c r="E8" s="156">
        <f>728000-D8</f>
        <v>606000</v>
      </c>
      <c r="F8" s="161"/>
      <c r="G8" s="366">
        <v>13000.0</v>
      </c>
      <c r="H8" s="366">
        <v>109000.0</v>
      </c>
      <c r="I8" s="126"/>
      <c r="J8" s="126"/>
      <c r="K8" s="126"/>
      <c r="L8" s="107">
        <f>282000/2</f>
        <v>141000</v>
      </c>
    </row>
    <row r="9" ht="14.25" customHeight="1">
      <c r="A9" s="368">
        <v>45451.0</v>
      </c>
      <c r="B9" s="156">
        <v>109000.0</v>
      </c>
      <c r="C9" s="156">
        <v>13000.0</v>
      </c>
      <c r="D9" s="156">
        <f t="shared" si="1"/>
        <v>122000</v>
      </c>
      <c r="E9" s="156">
        <f t="shared" ref="E9:E12" si="2">E8-D9</f>
        <v>484000</v>
      </c>
      <c r="F9" s="357"/>
      <c r="G9" s="366">
        <v>13000.0</v>
      </c>
      <c r="H9" s="366">
        <v>128000.0</v>
      </c>
      <c r="I9" s="126"/>
      <c r="J9" s="126"/>
      <c r="K9" s="126"/>
      <c r="L9" s="170">
        <f>L8-G8</f>
        <v>128000</v>
      </c>
    </row>
    <row r="10" ht="14.25" customHeight="1">
      <c r="A10" s="368">
        <v>45452.0</v>
      </c>
      <c r="B10" s="156">
        <v>109000.0</v>
      </c>
      <c r="C10" s="156"/>
      <c r="D10" s="156">
        <f t="shared" si="1"/>
        <v>109000</v>
      </c>
      <c r="E10" s="156">
        <f t="shared" si="2"/>
        <v>375000</v>
      </c>
      <c r="F10" s="357"/>
      <c r="G10" s="366"/>
      <c r="H10" s="156">
        <v>109000.0</v>
      </c>
      <c r="I10" s="126"/>
      <c r="J10" s="126"/>
      <c r="K10" s="126"/>
    </row>
    <row r="11" ht="14.25" customHeight="1">
      <c r="A11" s="368">
        <v>45453.0</v>
      </c>
      <c r="B11" s="156">
        <v>109000.0</v>
      </c>
      <c r="C11" s="156"/>
      <c r="D11" s="156">
        <f t="shared" si="1"/>
        <v>109000</v>
      </c>
      <c r="E11" s="156">
        <f t="shared" si="2"/>
        <v>266000</v>
      </c>
      <c r="F11" s="357"/>
      <c r="G11" s="366"/>
      <c r="H11" s="156">
        <v>109000.0</v>
      </c>
      <c r="I11" s="126"/>
      <c r="J11" s="126"/>
      <c r="K11" s="126"/>
    </row>
    <row r="12" ht="14.25" customHeight="1">
      <c r="A12" s="368">
        <v>45454.0</v>
      </c>
      <c r="B12" s="156">
        <v>109000.0</v>
      </c>
      <c r="C12" s="156"/>
      <c r="D12" s="156">
        <f t="shared" si="1"/>
        <v>109000</v>
      </c>
      <c r="E12" s="156">
        <f t="shared" si="2"/>
        <v>157000</v>
      </c>
      <c r="F12" s="358"/>
      <c r="G12" s="366"/>
      <c r="H12" s="156">
        <v>109000.0</v>
      </c>
      <c r="I12" s="139"/>
      <c r="J12" s="126"/>
      <c r="K12" s="126"/>
    </row>
    <row r="13" ht="14.25" customHeight="1">
      <c r="A13" s="368">
        <v>45455.0</v>
      </c>
      <c r="B13" s="156">
        <v>105000.0</v>
      </c>
      <c r="C13" s="156"/>
      <c r="D13" s="156">
        <f t="shared" si="1"/>
        <v>105000</v>
      </c>
      <c r="E13" s="161" t="s">
        <v>121</v>
      </c>
      <c r="F13" s="358"/>
      <c r="G13" s="366"/>
      <c r="H13" s="156">
        <v>105000.0</v>
      </c>
      <c r="I13" s="139"/>
      <c r="J13" s="126"/>
      <c r="K13" s="126"/>
    </row>
    <row r="14" ht="14.25" customHeight="1">
      <c r="A14" s="360"/>
      <c r="B14" s="361">
        <f t="shared" ref="B14:D14" si="3">SUM(B8:B13)</f>
        <v>650000</v>
      </c>
      <c r="C14" s="361">
        <f t="shared" si="3"/>
        <v>26000</v>
      </c>
      <c r="D14" s="361">
        <f t="shared" si="3"/>
        <v>676000</v>
      </c>
      <c r="E14" s="361"/>
      <c r="F14" s="358"/>
      <c r="G14" s="367">
        <f t="shared" ref="G14:H14" si="4">SUM(G8:G13)</f>
        <v>26000</v>
      </c>
      <c r="H14" s="367">
        <f t="shared" si="4"/>
        <v>669000</v>
      </c>
      <c r="I14" s="126"/>
      <c r="J14" s="364">
        <f>G14+H14</f>
        <v>695000</v>
      </c>
      <c r="K14" s="365">
        <f>D14-J14</f>
        <v>-19000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2.57"/>
    <col customWidth="1" min="3" max="3" width="12.71"/>
    <col customWidth="1" min="4" max="4" width="17.14"/>
    <col customWidth="1" min="5" max="5" width="13.29"/>
    <col customWidth="1" min="6" max="6" width="12.29"/>
    <col customWidth="1" min="7" max="7" width="14.0"/>
    <col customWidth="1" min="8" max="8" width="13.29"/>
    <col customWidth="1" min="9" max="9" width="10.43"/>
    <col customWidth="1" min="10" max="10" width="8.43"/>
    <col customWidth="1" min="11" max="11" width="9.0"/>
    <col customWidth="1" min="12" max="26" width="8.0"/>
  </cols>
  <sheetData>
    <row r="1" ht="14.25" customHeight="1">
      <c r="A1" s="310" t="s">
        <v>377</v>
      </c>
      <c r="B1" s="310"/>
      <c r="C1" s="310"/>
      <c r="D1" s="311"/>
      <c r="E1" s="311"/>
      <c r="F1" s="126"/>
      <c r="G1" s="126"/>
      <c r="H1" s="126"/>
      <c r="I1" s="126"/>
      <c r="J1" s="126"/>
      <c r="K1" s="126"/>
    </row>
    <row r="2" ht="14.25" customHeight="1">
      <c r="A2" s="310" t="s">
        <v>378</v>
      </c>
      <c r="D2" s="311"/>
      <c r="E2" s="311"/>
      <c r="F2" s="126"/>
      <c r="G2" s="126"/>
      <c r="H2" s="126"/>
      <c r="I2" s="126"/>
      <c r="J2" s="126"/>
      <c r="K2" s="126"/>
    </row>
    <row r="3" ht="14.25" customHeight="1">
      <c r="A3" s="310" t="s">
        <v>176</v>
      </c>
      <c r="F3" s="126"/>
      <c r="G3" s="126"/>
      <c r="H3" s="126"/>
      <c r="I3" s="126"/>
      <c r="J3" s="126"/>
      <c r="K3" s="126"/>
    </row>
    <row r="4" ht="14.25" customHeight="1">
      <c r="A4" s="310" t="s">
        <v>379</v>
      </c>
      <c r="E4" s="311"/>
      <c r="F4" s="126"/>
      <c r="G4" s="126"/>
      <c r="H4" s="126"/>
      <c r="I4" s="126"/>
      <c r="J4" s="126"/>
      <c r="K4" s="126"/>
    </row>
    <row r="5" ht="14.25" customHeight="1">
      <c r="A5" s="310" t="s">
        <v>380</v>
      </c>
      <c r="C5" s="311"/>
      <c r="D5" s="311"/>
      <c r="E5" s="311"/>
      <c r="F5" s="126"/>
      <c r="G5" s="126"/>
      <c r="H5" s="126"/>
      <c r="I5" s="126"/>
      <c r="J5" s="126"/>
      <c r="K5" s="126"/>
    </row>
    <row r="6" ht="14.25" customHeight="1">
      <c r="A6" s="310" t="s">
        <v>366</v>
      </c>
      <c r="D6" s="311"/>
      <c r="E6" s="311"/>
      <c r="F6" s="126"/>
      <c r="G6" s="126"/>
      <c r="H6" s="126"/>
      <c r="I6" s="126"/>
      <c r="J6" s="126"/>
      <c r="K6" s="126"/>
    </row>
    <row r="7" ht="14.25" customHeight="1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</row>
    <row r="8" ht="14.25" customHeight="1">
      <c r="A8" s="353" t="s">
        <v>100</v>
      </c>
      <c r="B8" s="354" t="s">
        <v>101</v>
      </c>
      <c r="C8" s="354" t="s">
        <v>102</v>
      </c>
      <c r="D8" s="355" t="s">
        <v>103</v>
      </c>
      <c r="E8" s="355" t="s">
        <v>115</v>
      </c>
      <c r="F8" s="355" t="s">
        <v>105</v>
      </c>
      <c r="G8" s="132" t="s">
        <v>106</v>
      </c>
      <c r="H8" s="132" t="s">
        <v>107</v>
      </c>
      <c r="I8" s="126"/>
      <c r="J8" s="126"/>
      <c r="K8" s="126"/>
    </row>
    <row r="9" ht="14.25" customHeight="1">
      <c r="A9" s="356" t="s">
        <v>220</v>
      </c>
      <c r="B9" s="156">
        <v>178750.0</v>
      </c>
      <c r="C9" s="156">
        <v>14300.0</v>
      </c>
      <c r="D9" s="156">
        <f t="shared" ref="D9:D12" si="1">B9+C9</f>
        <v>193050</v>
      </c>
      <c r="E9" s="156">
        <f>772200-D9</f>
        <v>579150</v>
      </c>
      <c r="F9" s="161"/>
      <c r="G9" s="366">
        <v>14300.0</v>
      </c>
      <c r="H9" s="366">
        <f>126700+52000</f>
        <v>178700</v>
      </c>
      <c r="I9" s="369">
        <f>193050-141000-52000</f>
        <v>50</v>
      </c>
      <c r="J9" s="126"/>
      <c r="K9" s="126"/>
    </row>
    <row r="10" ht="14.25" customHeight="1">
      <c r="A10" s="356" t="s">
        <v>178</v>
      </c>
      <c r="B10" s="156">
        <v>178750.0</v>
      </c>
      <c r="C10" s="156">
        <v>14300.0</v>
      </c>
      <c r="D10" s="156">
        <f t="shared" si="1"/>
        <v>193050</v>
      </c>
      <c r="E10" s="156">
        <f t="shared" ref="E10:E12" si="2">E9-D10</f>
        <v>386100</v>
      </c>
      <c r="F10" s="357"/>
      <c r="G10" s="366">
        <v>14300.0</v>
      </c>
      <c r="H10" s="366">
        <f>126700+52050</f>
        <v>178750</v>
      </c>
      <c r="I10" s="126"/>
      <c r="J10" s="370">
        <f>G10+H10</f>
        <v>193050</v>
      </c>
      <c r="K10" s="126"/>
    </row>
    <row r="11" ht="14.25" customHeight="1">
      <c r="A11" s="356" t="s">
        <v>60</v>
      </c>
      <c r="B11" s="156">
        <v>178750.0</v>
      </c>
      <c r="C11" s="156">
        <v>14300.0</v>
      </c>
      <c r="D11" s="156">
        <f t="shared" si="1"/>
        <v>193050</v>
      </c>
      <c r="E11" s="156">
        <f t="shared" si="2"/>
        <v>193050</v>
      </c>
      <c r="F11" s="357"/>
      <c r="G11" s="366"/>
      <c r="H11" s="156"/>
      <c r="I11" s="126"/>
      <c r="J11" s="126"/>
      <c r="K11" s="126"/>
    </row>
    <row r="12" ht="14.25" customHeight="1">
      <c r="A12" s="356" t="s">
        <v>180</v>
      </c>
      <c r="B12" s="156">
        <v>178750.0</v>
      </c>
      <c r="C12" s="156">
        <v>14300.0</v>
      </c>
      <c r="D12" s="156">
        <f t="shared" si="1"/>
        <v>193050</v>
      </c>
      <c r="E12" s="156">
        <f t="shared" si="2"/>
        <v>0</v>
      </c>
      <c r="F12" s="357"/>
      <c r="G12" s="366"/>
      <c r="H12" s="156"/>
      <c r="I12" s="126"/>
      <c r="J12" s="126"/>
      <c r="K12" s="126"/>
    </row>
    <row r="13" ht="14.25" customHeight="1">
      <c r="A13" s="360"/>
      <c r="B13" s="361">
        <f t="shared" ref="B13:D13" si="3">SUM(B9:B12)</f>
        <v>715000</v>
      </c>
      <c r="C13" s="361">
        <f t="shared" si="3"/>
        <v>57200</v>
      </c>
      <c r="D13" s="361">
        <f t="shared" si="3"/>
        <v>772200</v>
      </c>
      <c r="E13" s="361"/>
      <c r="F13" s="358"/>
      <c r="G13" s="367">
        <f t="shared" ref="G13:H13" si="4">SUM(G9:G12)</f>
        <v>28600</v>
      </c>
      <c r="H13" s="367">
        <f t="shared" si="4"/>
        <v>357450</v>
      </c>
      <c r="I13" s="371">
        <f>G13+H13</f>
        <v>386050</v>
      </c>
      <c r="J13" s="372">
        <f>D13-I13</f>
        <v>386150</v>
      </c>
      <c r="K13" s="373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5">
    <mergeCell ref="A2:C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57"/>
    <col customWidth="1" min="3" max="3" width="12.71"/>
    <col customWidth="1" min="4" max="4" width="17.14"/>
    <col customWidth="1" min="5" max="5" width="13.29"/>
    <col customWidth="1" min="6" max="6" width="11.29"/>
    <col customWidth="1" min="7" max="7" width="13.14"/>
    <col customWidth="1" min="8" max="8" width="13.57"/>
    <col customWidth="1" min="9" max="9" width="11.0"/>
    <col customWidth="1" min="10" max="10" width="10.29"/>
    <col customWidth="1" min="11" max="26" width="8.0"/>
  </cols>
  <sheetData>
    <row r="1" ht="14.25" customHeight="1">
      <c r="A1" s="310" t="s">
        <v>381</v>
      </c>
      <c r="B1" s="310"/>
      <c r="C1" s="310"/>
      <c r="D1" s="311"/>
      <c r="E1" s="311"/>
      <c r="F1" s="126"/>
      <c r="G1" s="126"/>
      <c r="H1" s="126"/>
      <c r="I1" s="126"/>
      <c r="J1" s="126"/>
      <c r="K1" s="126"/>
    </row>
    <row r="2" ht="14.25" customHeight="1">
      <c r="A2" s="310" t="s">
        <v>378</v>
      </c>
      <c r="D2" s="311"/>
      <c r="E2" s="311"/>
      <c r="F2" s="126"/>
      <c r="G2" s="126"/>
      <c r="H2" s="126"/>
      <c r="I2" s="126"/>
      <c r="J2" s="126"/>
      <c r="K2" s="126"/>
    </row>
    <row r="3" ht="14.25" customHeight="1">
      <c r="A3" s="310" t="s">
        <v>176</v>
      </c>
      <c r="F3" s="126"/>
      <c r="G3" s="126"/>
      <c r="H3" s="126"/>
      <c r="I3" s="126"/>
      <c r="J3" s="126"/>
      <c r="K3" s="126"/>
    </row>
    <row r="4" ht="14.25" customHeight="1">
      <c r="A4" s="310" t="s">
        <v>379</v>
      </c>
      <c r="E4" s="311"/>
      <c r="F4" s="126"/>
      <c r="G4" s="126"/>
      <c r="H4" s="126"/>
      <c r="I4" s="126"/>
      <c r="J4" s="126"/>
      <c r="K4" s="126"/>
    </row>
    <row r="5" ht="14.25" customHeight="1">
      <c r="A5" s="310" t="s">
        <v>382</v>
      </c>
      <c r="C5" s="311"/>
      <c r="D5" s="311"/>
      <c r="E5" s="311"/>
      <c r="F5" s="126"/>
      <c r="G5" s="126"/>
      <c r="H5" s="126"/>
      <c r="I5" s="126"/>
      <c r="J5" s="126"/>
      <c r="K5" s="126"/>
    </row>
    <row r="6" ht="14.25" customHeight="1">
      <c r="A6" s="310" t="s">
        <v>361</v>
      </c>
      <c r="D6" s="311"/>
      <c r="E6" s="311"/>
      <c r="F6" s="126"/>
      <c r="G6" s="126"/>
      <c r="H6" s="126"/>
      <c r="I6" s="126"/>
      <c r="J6" s="126"/>
      <c r="K6" s="126"/>
    </row>
    <row r="7" ht="14.25" customHeight="1">
      <c r="A7" s="126"/>
      <c r="B7" s="126"/>
      <c r="C7" s="126"/>
      <c r="D7" s="126"/>
      <c r="E7" s="126"/>
      <c r="F7" s="126"/>
      <c r="G7" s="126"/>
      <c r="H7" s="126"/>
      <c r="I7" s="126"/>
      <c r="J7" s="126"/>
      <c r="K7" s="126"/>
    </row>
    <row r="8" ht="14.25" customHeight="1">
      <c r="A8" s="353" t="s">
        <v>100</v>
      </c>
      <c r="B8" s="354" t="s">
        <v>101</v>
      </c>
      <c r="C8" s="354" t="s">
        <v>102</v>
      </c>
      <c r="D8" s="355" t="s">
        <v>103</v>
      </c>
      <c r="E8" s="355" t="s">
        <v>115</v>
      </c>
      <c r="F8" s="355" t="s">
        <v>105</v>
      </c>
      <c r="G8" s="132" t="s">
        <v>106</v>
      </c>
      <c r="H8" s="132" t="s">
        <v>107</v>
      </c>
      <c r="I8" s="126"/>
      <c r="J8" s="126"/>
      <c r="K8" s="126"/>
    </row>
    <row r="9" ht="14.25" customHeight="1">
      <c r="A9" s="356" t="s">
        <v>220</v>
      </c>
      <c r="B9" s="156">
        <v>178750.0</v>
      </c>
      <c r="C9" s="156">
        <v>14300.0</v>
      </c>
      <c r="D9" s="156">
        <f t="shared" ref="D9:D12" si="1">B9+C9</f>
        <v>193050</v>
      </c>
      <c r="E9" s="156">
        <f>772200-D9</f>
        <v>579150</v>
      </c>
      <c r="F9" s="161"/>
      <c r="G9" s="366">
        <v>14300.0</v>
      </c>
      <c r="H9" s="366">
        <f>126700+52000</f>
        <v>178700</v>
      </c>
      <c r="I9" s="126"/>
      <c r="J9" s="126"/>
      <c r="K9" s="126"/>
    </row>
    <row r="10" ht="14.25" customHeight="1">
      <c r="A10" s="356" t="s">
        <v>178</v>
      </c>
      <c r="B10" s="156">
        <v>178750.0</v>
      </c>
      <c r="C10" s="156">
        <v>14300.0</v>
      </c>
      <c r="D10" s="156">
        <f t="shared" si="1"/>
        <v>193050</v>
      </c>
      <c r="E10" s="156">
        <f t="shared" ref="E10:E12" si="2">E9-D10</f>
        <v>386100</v>
      </c>
      <c r="F10" s="357"/>
      <c r="G10" s="366">
        <v>14300.0</v>
      </c>
      <c r="H10" s="366">
        <f>126700+52050</f>
        <v>178750</v>
      </c>
      <c r="I10" s="126"/>
      <c r="J10" s="126"/>
      <c r="K10" s="126"/>
    </row>
    <row r="11" ht="14.25" customHeight="1">
      <c r="A11" s="356" t="s">
        <v>60</v>
      </c>
      <c r="B11" s="156">
        <v>178750.0</v>
      </c>
      <c r="C11" s="156">
        <v>14300.0</v>
      </c>
      <c r="D11" s="156">
        <f t="shared" si="1"/>
        <v>193050</v>
      </c>
      <c r="E11" s="156">
        <f t="shared" si="2"/>
        <v>193050</v>
      </c>
      <c r="F11" s="357"/>
      <c r="G11" s="366"/>
      <c r="H11" s="156"/>
      <c r="I11" s="126"/>
      <c r="J11" s="126"/>
      <c r="K11" s="126"/>
    </row>
    <row r="12" ht="14.25" customHeight="1">
      <c r="A12" s="356" t="s">
        <v>180</v>
      </c>
      <c r="B12" s="156">
        <v>178750.0</v>
      </c>
      <c r="C12" s="156">
        <v>14300.0</v>
      </c>
      <c r="D12" s="156">
        <f t="shared" si="1"/>
        <v>193050</v>
      </c>
      <c r="E12" s="156">
        <f t="shared" si="2"/>
        <v>0</v>
      </c>
      <c r="F12" s="357"/>
      <c r="G12" s="366"/>
      <c r="H12" s="156"/>
      <c r="I12" s="126"/>
      <c r="J12" s="126"/>
      <c r="K12" s="126"/>
    </row>
    <row r="13" ht="14.25" customHeight="1">
      <c r="A13" s="360"/>
      <c r="B13" s="361">
        <f t="shared" ref="B13:D13" si="3">SUM(B9:B12)</f>
        <v>715000</v>
      </c>
      <c r="C13" s="361">
        <f t="shared" si="3"/>
        <v>57200</v>
      </c>
      <c r="D13" s="361">
        <f t="shared" si="3"/>
        <v>772200</v>
      </c>
      <c r="E13" s="361"/>
      <c r="F13" s="358"/>
      <c r="G13" s="367">
        <f t="shared" ref="G13:H13" si="4">SUM(G9:G12)</f>
        <v>28600</v>
      </c>
      <c r="H13" s="367">
        <f t="shared" si="4"/>
        <v>357450</v>
      </c>
      <c r="I13" s="281">
        <f>G13+H13</f>
        <v>386050</v>
      </c>
      <c r="J13" s="374">
        <f>D13-I13</f>
        <v>386150</v>
      </c>
      <c r="K13" s="373"/>
    </row>
    <row r="14" ht="14.25" customHeight="1"/>
    <row r="15" ht="14.25" customHeight="1">
      <c r="I15" s="375">
        <f>D9-I13</f>
        <v>-193000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5">
    <mergeCell ref="A2:C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12.57"/>
    <col customWidth="1" min="3" max="3" width="12.71"/>
    <col customWidth="1" min="4" max="4" width="17.14"/>
    <col customWidth="1" min="5" max="5" width="13.29"/>
    <col customWidth="1" min="6" max="6" width="14.14"/>
    <col customWidth="1" min="7" max="7" width="15.57"/>
    <col customWidth="1" min="8" max="8" width="15.29"/>
    <col customWidth="1" min="9" max="9" width="11.86"/>
    <col customWidth="1" min="10" max="10" width="11.29"/>
    <col customWidth="1" min="11" max="26" width="8.0"/>
  </cols>
  <sheetData>
    <row r="1" ht="14.25" customHeight="1">
      <c r="A1" s="310" t="s">
        <v>373</v>
      </c>
      <c r="D1" s="311"/>
      <c r="E1" s="311"/>
      <c r="F1" s="126"/>
      <c r="G1" s="126"/>
      <c r="H1" s="126"/>
    </row>
    <row r="2" ht="14.25" customHeight="1">
      <c r="A2" s="310" t="s">
        <v>374</v>
      </c>
      <c r="F2" s="126"/>
      <c r="G2" s="126"/>
      <c r="H2" s="126"/>
    </row>
    <row r="3" ht="14.25" customHeight="1">
      <c r="A3" s="310" t="s">
        <v>375</v>
      </c>
      <c r="E3" s="311"/>
      <c r="F3" s="126"/>
      <c r="G3" s="126"/>
      <c r="H3" s="126"/>
    </row>
    <row r="4" ht="14.25" customHeight="1">
      <c r="A4" s="310" t="s">
        <v>376</v>
      </c>
      <c r="C4" s="311"/>
      <c r="D4" s="311"/>
      <c r="E4" s="311"/>
      <c r="F4" s="126"/>
      <c r="G4" s="126"/>
      <c r="H4" s="126"/>
    </row>
    <row r="5" ht="14.25" customHeight="1">
      <c r="A5" s="310" t="s">
        <v>366</v>
      </c>
      <c r="D5" s="311"/>
      <c r="E5" s="311"/>
      <c r="F5" s="126"/>
      <c r="G5" s="126"/>
      <c r="H5" s="126"/>
    </row>
    <row r="6" ht="14.25" customHeight="1">
      <c r="A6" s="126"/>
      <c r="B6" s="126"/>
      <c r="C6" s="126"/>
      <c r="D6" s="126"/>
      <c r="E6" s="126"/>
      <c r="F6" s="126"/>
      <c r="G6" s="126"/>
      <c r="H6" s="126"/>
    </row>
    <row r="7" ht="14.25" customHeight="1">
      <c r="A7" s="353" t="s">
        <v>100</v>
      </c>
      <c r="B7" s="354" t="s">
        <v>101</v>
      </c>
      <c r="C7" s="354" t="s">
        <v>102</v>
      </c>
      <c r="D7" s="355" t="s">
        <v>103</v>
      </c>
      <c r="E7" s="355" t="s">
        <v>115</v>
      </c>
      <c r="F7" s="355" t="s">
        <v>105</v>
      </c>
      <c r="G7" s="132" t="s">
        <v>106</v>
      </c>
      <c r="H7" s="132" t="s">
        <v>107</v>
      </c>
    </row>
    <row r="8" ht="14.25" customHeight="1">
      <c r="A8" s="368">
        <v>45450.0</v>
      </c>
      <c r="B8" s="156">
        <v>109000.0</v>
      </c>
      <c r="C8" s="156">
        <v>13000.0</v>
      </c>
      <c r="D8" s="156">
        <f t="shared" ref="D8:D13" si="1">B8+C8</f>
        <v>122000</v>
      </c>
      <c r="E8" s="156">
        <f>728000-D8</f>
        <v>606000</v>
      </c>
      <c r="F8" s="161"/>
      <c r="G8" s="366">
        <v>13000.0</v>
      </c>
      <c r="H8" s="366">
        <v>109000.0</v>
      </c>
    </row>
    <row r="9" ht="14.25" customHeight="1">
      <c r="A9" s="368">
        <v>45451.0</v>
      </c>
      <c r="B9" s="156">
        <v>109000.0</v>
      </c>
      <c r="C9" s="156">
        <v>13000.0</v>
      </c>
      <c r="D9" s="156">
        <f t="shared" si="1"/>
        <v>122000</v>
      </c>
      <c r="E9" s="156">
        <f t="shared" ref="E9:E12" si="2">E8-D9</f>
        <v>484000</v>
      </c>
      <c r="F9" s="357"/>
      <c r="G9" s="366">
        <v>13000.0</v>
      </c>
      <c r="H9" s="366">
        <v>128000.0</v>
      </c>
    </row>
    <row r="10" ht="14.25" customHeight="1">
      <c r="A10" s="368">
        <v>45452.0</v>
      </c>
      <c r="B10" s="156">
        <v>109000.0</v>
      </c>
      <c r="C10" s="156"/>
      <c r="D10" s="156">
        <f t="shared" si="1"/>
        <v>109000</v>
      </c>
      <c r="E10" s="156">
        <f t="shared" si="2"/>
        <v>375000</v>
      </c>
      <c r="F10" s="357"/>
      <c r="G10" s="366"/>
      <c r="H10" s="156">
        <v>109000.0</v>
      </c>
    </row>
    <row r="11" ht="14.25" customHeight="1">
      <c r="A11" s="368">
        <v>45453.0</v>
      </c>
      <c r="B11" s="156">
        <v>109000.0</v>
      </c>
      <c r="C11" s="156"/>
      <c r="D11" s="156">
        <f t="shared" si="1"/>
        <v>109000</v>
      </c>
      <c r="E11" s="156">
        <f t="shared" si="2"/>
        <v>266000</v>
      </c>
      <c r="F11" s="357"/>
      <c r="G11" s="366"/>
      <c r="H11" s="156">
        <v>109000.0</v>
      </c>
    </row>
    <row r="12" ht="14.25" customHeight="1">
      <c r="A12" s="368">
        <v>45454.0</v>
      </c>
      <c r="B12" s="156">
        <v>109000.0</v>
      </c>
      <c r="C12" s="156"/>
      <c r="D12" s="156">
        <f t="shared" si="1"/>
        <v>109000</v>
      </c>
      <c r="E12" s="156">
        <f t="shared" si="2"/>
        <v>157000</v>
      </c>
      <c r="F12" s="358"/>
      <c r="G12" s="366"/>
      <c r="H12" s="156">
        <v>109000.0</v>
      </c>
    </row>
    <row r="13" ht="14.25" customHeight="1">
      <c r="A13" s="368">
        <v>45455.0</v>
      </c>
      <c r="B13" s="156">
        <v>105000.0</v>
      </c>
      <c r="C13" s="156"/>
      <c r="D13" s="156">
        <f t="shared" si="1"/>
        <v>105000</v>
      </c>
      <c r="E13" s="161" t="s">
        <v>121</v>
      </c>
      <c r="F13" s="358"/>
      <c r="G13" s="366"/>
      <c r="H13" s="156">
        <v>105000.0</v>
      </c>
    </row>
    <row r="14" ht="14.25" customHeight="1">
      <c r="A14" s="360"/>
      <c r="B14" s="361">
        <f t="shared" ref="B14:D14" si="3">SUM(B8:B13)</f>
        <v>650000</v>
      </c>
      <c r="C14" s="361">
        <f t="shared" si="3"/>
        <v>26000</v>
      </c>
      <c r="D14" s="361">
        <f t="shared" si="3"/>
        <v>676000</v>
      </c>
      <c r="E14" s="361"/>
      <c r="F14" s="358"/>
      <c r="G14" s="367">
        <f t="shared" ref="G14:H14" si="4">SUM(G8:G13)</f>
        <v>26000</v>
      </c>
      <c r="H14" s="376">
        <f t="shared" si="4"/>
        <v>669000</v>
      </c>
      <c r="I14" s="170">
        <f>G14+H14</f>
        <v>695000</v>
      </c>
      <c r="J14" s="377">
        <f>728000-I14</f>
        <v>33000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2.57"/>
    <col customWidth="1" min="3" max="3" width="12.71"/>
    <col customWidth="1" min="4" max="4" width="17.14"/>
    <col customWidth="1" min="5" max="5" width="11.57"/>
    <col customWidth="1" min="6" max="6" width="8.86"/>
    <col customWidth="1" min="7" max="7" width="12.86"/>
    <col customWidth="1" min="8" max="8" width="15.86"/>
    <col customWidth="1" min="9" max="9" width="10.43"/>
    <col customWidth="1" min="10" max="10" width="10.0"/>
    <col customWidth="1" min="11" max="24" width="8.0"/>
  </cols>
  <sheetData>
    <row r="1" ht="14.25" customHeight="1">
      <c r="A1" s="378" t="s">
        <v>383</v>
      </c>
    </row>
    <row r="2" ht="14.25" customHeight="1">
      <c r="A2" s="182" t="s">
        <v>384</v>
      </c>
      <c r="D2" s="183"/>
      <c r="E2" s="183"/>
      <c r="F2" s="183"/>
      <c r="G2" s="126"/>
      <c r="H2" s="126"/>
    </row>
    <row r="3" ht="14.25" customHeight="1">
      <c r="A3" s="182" t="s">
        <v>385</v>
      </c>
      <c r="F3" s="183"/>
      <c r="G3" s="126"/>
      <c r="H3" s="126"/>
    </row>
    <row r="4" ht="14.25" customHeight="1">
      <c r="A4" s="182" t="s">
        <v>386</v>
      </c>
      <c r="E4" s="183"/>
      <c r="F4" s="183"/>
      <c r="G4" s="126"/>
      <c r="H4" s="126"/>
    </row>
    <row r="5" ht="14.25" customHeight="1">
      <c r="A5" s="182" t="s">
        <v>387</v>
      </c>
      <c r="C5" s="183"/>
      <c r="D5" s="183"/>
      <c r="E5" s="183"/>
      <c r="F5" s="183"/>
      <c r="G5" s="126"/>
      <c r="H5" s="126"/>
    </row>
    <row r="6" ht="14.25" customHeight="1">
      <c r="A6" s="182" t="s">
        <v>99</v>
      </c>
      <c r="D6" s="183"/>
      <c r="E6" s="183"/>
      <c r="F6" s="183"/>
      <c r="G6" s="126"/>
      <c r="H6" s="126"/>
    </row>
    <row r="7" ht="14.25" customHeight="1">
      <c r="A7" s="184" t="s">
        <v>100</v>
      </c>
      <c r="B7" s="131" t="s">
        <v>101</v>
      </c>
      <c r="C7" s="131" t="s">
        <v>102</v>
      </c>
      <c r="D7" s="131" t="s">
        <v>103</v>
      </c>
      <c r="E7" s="131" t="s">
        <v>115</v>
      </c>
      <c r="F7" s="131" t="s">
        <v>105</v>
      </c>
      <c r="G7" s="185" t="s">
        <v>106</v>
      </c>
      <c r="H7" s="379" t="s">
        <v>107</v>
      </c>
    </row>
    <row r="8" ht="14.25" customHeight="1">
      <c r="A8" s="277">
        <v>45545.0</v>
      </c>
      <c r="B8" s="151">
        <v>80000.0</v>
      </c>
      <c r="C8" s="151">
        <v>8000.0</v>
      </c>
      <c r="D8" s="151">
        <f t="shared" ref="D8:D12" si="1">B8+C8</f>
        <v>88000</v>
      </c>
      <c r="E8" s="151">
        <f>440000-D8</f>
        <v>352000</v>
      </c>
      <c r="F8" s="225"/>
      <c r="G8" s="190">
        <v>8000.0</v>
      </c>
      <c r="H8" s="155">
        <v>82000.0</v>
      </c>
    </row>
    <row r="9" ht="14.25" customHeight="1">
      <c r="A9" s="191">
        <v>45546.0</v>
      </c>
      <c r="B9" s="155">
        <v>80000.0</v>
      </c>
      <c r="C9" s="155">
        <v>8000.0</v>
      </c>
      <c r="D9" s="151">
        <f t="shared" si="1"/>
        <v>88000</v>
      </c>
      <c r="E9" s="155">
        <f t="shared" ref="E9:E12" si="2">E8-D9</f>
        <v>264000</v>
      </c>
      <c r="F9" s="226"/>
      <c r="G9" s="190">
        <v>8000.0</v>
      </c>
      <c r="H9" s="155">
        <v>82000.0</v>
      </c>
    </row>
    <row r="10" ht="14.25" customHeight="1">
      <c r="A10" s="277">
        <v>45547.0</v>
      </c>
      <c r="B10" s="155">
        <v>80000.0</v>
      </c>
      <c r="C10" s="155">
        <v>8000.0</v>
      </c>
      <c r="D10" s="151">
        <f t="shared" si="1"/>
        <v>88000</v>
      </c>
      <c r="E10" s="155">
        <f t="shared" si="2"/>
        <v>176000</v>
      </c>
      <c r="F10" s="226"/>
      <c r="G10" s="190"/>
      <c r="H10" s="155"/>
    </row>
    <row r="11" ht="14.25" customHeight="1">
      <c r="A11" s="191">
        <v>45548.0</v>
      </c>
      <c r="B11" s="155">
        <v>80000.0</v>
      </c>
      <c r="C11" s="155">
        <v>8000.0</v>
      </c>
      <c r="D11" s="151">
        <f t="shared" si="1"/>
        <v>88000</v>
      </c>
      <c r="E11" s="155">
        <f t="shared" si="2"/>
        <v>88000</v>
      </c>
      <c r="F11" s="226"/>
      <c r="G11" s="190"/>
      <c r="H11" s="155"/>
    </row>
    <row r="12" ht="14.25" customHeight="1">
      <c r="A12" s="277">
        <v>45549.0</v>
      </c>
      <c r="B12" s="155">
        <v>80000.0</v>
      </c>
      <c r="C12" s="155">
        <v>8000.0</v>
      </c>
      <c r="D12" s="151">
        <f t="shared" si="1"/>
        <v>88000</v>
      </c>
      <c r="E12" s="155">
        <f t="shared" si="2"/>
        <v>0</v>
      </c>
      <c r="F12" s="226"/>
      <c r="G12" s="190"/>
      <c r="H12" s="155"/>
    </row>
    <row r="13" ht="14.25" customHeight="1">
      <c r="A13" s="380"/>
      <c r="B13" s="179"/>
      <c r="C13" s="179"/>
      <c r="D13" s="179"/>
      <c r="E13" s="139"/>
      <c r="F13" s="126"/>
      <c r="G13" s="126"/>
      <c r="H13" s="155"/>
    </row>
    <row r="14" ht="14.25" customHeight="1">
      <c r="A14" s="126"/>
      <c r="B14" s="194">
        <f t="shared" ref="B14:D14" si="3">SUM(B8:B13)</f>
        <v>400000</v>
      </c>
      <c r="C14" s="194">
        <f t="shared" si="3"/>
        <v>40000</v>
      </c>
      <c r="D14" s="194">
        <f t="shared" si="3"/>
        <v>440000</v>
      </c>
      <c r="E14" s="195"/>
      <c r="F14" s="126"/>
      <c r="G14" s="182">
        <f t="shared" ref="G14:H14" si="4">SUM(G8:G13)</f>
        <v>16000</v>
      </c>
      <c r="H14" s="198">
        <f t="shared" si="4"/>
        <v>164000</v>
      </c>
      <c r="I14" s="271">
        <f>G14+H14</f>
        <v>180000</v>
      </c>
      <c r="J14" s="381">
        <f>B14+C14-I14</f>
        <v>260000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</sheetData>
  <mergeCells count="5">
    <mergeCell ref="A2:C2"/>
    <mergeCell ref="A3:E3"/>
    <mergeCell ref="A4:D4"/>
    <mergeCell ref="A5:B5"/>
    <mergeCell ref="A6:C6"/>
  </mergeCells>
  <printOptions/>
  <pageMargins bottom="0.75" footer="0.0" header="0.0" left="0.7" right="0.7" top="0.75"/>
  <pageSetup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71"/>
    <col customWidth="1" min="3" max="3" width="12.71"/>
    <col customWidth="1" min="4" max="4" width="17.14"/>
    <col customWidth="1" min="5" max="5" width="13.29"/>
    <col customWidth="1" min="6" max="6" width="15.14"/>
    <col customWidth="1" min="7" max="7" width="13.71"/>
    <col customWidth="1" min="8" max="8" width="15.29"/>
    <col customWidth="1" min="9" max="9" width="10.86"/>
    <col customWidth="1" min="10" max="10" width="10.57"/>
    <col customWidth="1" min="11" max="26" width="8.0"/>
  </cols>
  <sheetData>
    <row r="1" ht="15.0" customHeight="1">
      <c r="A1" s="317" t="s">
        <v>388</v>
      </c>
      <c r="B1" s="316"/>
      <c r="C1" s="316"/>
      <c r="D1" s="316"/>
      <c r="E1" s="316"/>
    </row>
    <row r="2" ht="15.0" customHeight="1">
      <c r="A2" s="317" t="s">
        <v>389</v>
      </c>
      <c r="B2" s="316"/>
      <c r="C2" s="316"/>
      <c r="D2" s="316"/>
      <c r="E2" s="316"/>
    </row>
    <row r="3" ht="15.0" customHeight="1">
      <c r="A3" s="317" t="s">
        <v>97</v>
      </c>
      <c r="B3" s="316"/>
      <c r="C3" s="316"/>
      <c r="D3" s="316"/>
      <c r="E3" s="316"/>
    </row>
    <row r="4" ht="15.0" customHeight="1">
      <c r="A4" s="316" t="s">
        <v>318</v>
      </c>
      <c r="B4" s="316"/>
      <c r="C4" s="316"/>
      <c r="D4" s="316"/>
      <c r="E4" s="316"/>
    </row>
    <row r="5" ht="15.75" customHeight="1">
      <c r="A5" s="317" t="s">
        <v>390</v>
      </c>
      <c r="B5" s="316"/>
      <c r="C5" s="316"/>
      <c r="D5" s="316"/>
      <c r="E5" s="316"/>
    </row>
    <row r="6" ht="45.0" customHeight="1">
      <c r="A6" s="112" t="s">
        <v>100</v>
      </c>
      <c r="B6" s="112" t="s">
        <v>101</v>
      </c>
      <c r="C6" s="113" t="s">
        <v>102</v>
      </c>
      <c r="D6" s="113" t="s">
        <v>103</v>
      </c>
      <c r="E6" s="113" t="s">
        <v>104</v>
      </c>
      <c r="F6" s="112" t="s">
        <v>105</v>
      </c>
      <c r="G6" s="382" t="s">
        <v>106</v>
      </c>
      <c r="H6" s="114" t="s">
        <v>107</v>
      </c>
    </row>
    <row r="7" ht="14.25" customHeight="1">
      <c r="A7" s="11" t="s">
        <v>203</v>
      </c>
      <c r="B7" s="6">
        <v>72000.0</v>
      </c>
      <c r="C7" s="6">
        <v>10000.0</v>
      </c>
      <c r="D7" s="7">
        <f t="shared" ref="D7:D13" si="1">B7+C7</f>
        <v>82000</v>
      </c>
      <c r="E7" s="7">
        <f>570000-D7</f>
        <v>488000</v>
      </c>
      <c r="F7" s="5"/>
      <c r="G7" s="11">
        <v>10000.0</v>
      </c>
      <c r="H7" s="11">
        <f>72000+18000</f>
        <v>90000</v>
      </c>
    </row>
    <row r="8" ht="14.25" customHeight="1">
      <c r="A8" s="11" t="s">
        <v>307</v>
      </c>
      <c r="B8" s="6">
        <v>72000.0</v>
      </c>
      <c r="C8" s="6">
        <v>10000.0</v>
      </c>
      <c r="D8" s="7">
        <f t="shared" si="1"/>
        <v>82000</v>
      </c>
      <c r="E8" s="7">
        <f t="shared" ref="E8:E13" si="2">E7-D8</f>
        <v>406000</v>
      </c>
      <c r="F8" s="5"/>
      <c r="G8" s="11">
        <v>10000.0</v>
      </c>
      <c r="H8" s="11">
        <v>90000.0</v>
      </c>
    </row>
    <row r="9" ht="14.25" customHeight="1">
      <c r="A9" s="11" t="s">
        <v>308</v>
      </c>
      <c r="B9" s="6">
        <v>72000.0</v>
      </c>
      <c r="C9" s="6">
        <v>10000.0</v>
      </c>
      <c r="D9" s="7">
        <f t="shared" si="1"/>
        <v>82000</v>
      </c>
      <c r="E9" s="7">
        <f t="shared" si="2"/>
        <v>324000</v>
      </c>
      <c r="F9" s="5"/>
      <c r="G9" s="11">
        <v>10000.0</v>
      </c>
      <c r="H9" s="11">
        <v>90000.0</v>
      </c>
    </row>
    <row r="10" ht="14.25" customHeight="1">
      <c r="A10" s="11" t="s">
        <v>391</v>
      </c>
      <c r="B10" s="6">
        <v>72000.0</v>
      </c>
      <c r="C10" s="6">
        <v>10000.0</v>
      </c>
      <c r="D10" s="7">
        <f t="shared" si="1"/>
        <v>82000</v>
      </c>
      <c r="E10" s="7">
        <f t="shared" si="2"/>
        <v>242000</v>
      </c>
      <c r="F10" s="5"/>
      <c r="G10" s="11">
        <v>10000.0</v>
      </c>
      <c r="H10" s="11">
        <v>90000.0</v>
      </c>
    </row>
    <row r="11" ht="14.25" customHeight="1">
      <c r="A11" s="11" t="s">
        <v>310</v>
      </c>
      <c r="B11" s="6">
        <v>72000.0</v>
      </c>
      <c r="C11" s="6">
        <v>10000.0</v>
      </c>
      <c r="D11" s="7">
        <f t="shared" si="1"/>
        <v>82000</v>
      </c>
      <c r="E11" s="7">
        <f t="shared" si="2"/>
        <v>160000</v>
      </c>
      <c r="F11" s="5"/>
      <c r="G11" s="11">
        <v>10000.0</v>
      </c>
      <c r="H11" s="11">
        <v>90000.0</v>
      </c>
      <c r="I11" s="59" t="s">
        <v>392</v>
      </c>
      <c r="L11" s="107">
        <f>450-360</f>
        <v>90</v>
      </c>
    </row>
    <row r="12" ht="14.25" customHeight="1">
      <c r="A12" s="11" t="s">
        <v>311</v>
      </c>
      <c r="B12" s="6">
        <v>72000.0</v>
      </c>
      <c r="C12" s="6"/>
      <c r="D12" s="7">
        <f t="shared" si="1"/>
        <v>72000</v>
      </c>
      <c r="E12" s="7">
        <f t="shared" si="2"/>
        <v>88000</v>
      </c>
      <c r="F12" s="5"/>
      <c r="G12" s="5"/>
      <c r="H12" s="6">
        <f>72000-45000</f>
        <v>27000</v>
      </c>
    </row>
    <row r="13" ht="14.25" customHeight="1">
      <c r="A13" s="11" t="s">
        <v>44</v>
      </c>
      <c r="B13" s="6">
        <v>68000.0</v>
      </c>
      <c r="C13" s="6"/>
      <c r="D13" s="7">
        <f t="shared" si="1"/>
        <v>68000</v>
      </c>
      <c r="E13" s="7">
        <f t="shared" si="2"/>
        <v>20000</v>
      </c>
      <c r="F13" s="5"/>
      <c r="G13" s="5"/>
      <c r="H13" s="6">
        <f>68000-45000</f>
        <v>23000</v>
      </c>
    </row>
    <row r="14" ht="14.25" customHeight="1">
      <c r="A14" s="11"/>
      <c r="B14" s="7"/>
      <c r="C14" s="6"/>
      <c r="D14" s="7"/>
      <c r="E14" s="7"/>
      <c r="F14" s="5"/>
      <c r="G14" s="5"/>
      <c r="H14" s="5"/>
    </row>
    <row r="15" ht="14.25" customHeight="1">
      <c r="A15" s="11"/>
      <c r="B15" s="7"/>
      <c r="C15" s="7"/>
      <c r="D15" s="7"/>
      <c r="E15" s="7"/>
      <c r="F15" s="5"/>
      <c r="G15" s="5"/>
      <c r="H15" s="5"/>
    </row>
    <row r="16" ht="14.25" customHeight="1">
      <c r="A16" s="117"/>
      <c r="B16" s="258">
        <f t="shared" ref="B16:D16" si="3">SUM(B7:B15)</f>
        <v>500000</v>
      </c>
      <c r="C16" s="258">
        <f t="shared" si="3"/>
        <v>50000</v>
      </c>
      <c r="D16" s="258">
        <f t="shared" si="3"/>
        <v>550000</v>
      </c>
      <c r="E16" s="258"/>
      <c r="G16" s="10">
        <f t="shared" ref="G16:H16" si="4">SUM(G7:G15)</f>
        <v>50000</v>
      </c>
      <c r="H16" s="10">
        <f t="shared" si="4"/>
        <v>500000</v>
      </c>
      <c r="I16" s="107">
        <f>G16+H16</f>
        <v>550000</v>
      </c>
      <c r="J16" s="261">
        <f>D16-I16</f>
        <v>0</v>
      </c>
    </row>
    <row r="17" ht="14.25" customHeight="1">
      <c r="J17" s="59" t="s">
        <v>393</v>
      </c>
    </row>
    <row r="18" ht="14.25" customHeight="1"/>
    <row r="19" ht="14.25" customHeight="1"/>
    <row r="20" ht="14.25" customHeight="1">
      <c r="C20" s="59">
        <f>500000/7</f>
        <v>71428.57143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2.57"/>
    <col customWidth="1" min="3" max="3" width="12.71"/>
    <col customWidth="1" min="4" max="4" width="17.14"/>
    <col customWidth="1" min="5" max="5" width="11.57"/>
    <col customWidth="1" min="6" max="6" width="15.29"/>
    <col customWidth="1" min="7" max="7" width="14.57"/>
    <col customWidth="1" min="8" max="8" width="15.0"/>
    <col customWidth="1" min="9" max="9" width="11.29"/>
    <col customWidth="1" min="10" max="10" width="10.86"/>
    <col customWidth="1" min="11" max="24" width="8.0"/>
  </cols>
  <sheetData>
    <row r="1" ht="14.25" customHeight="1">
      <c r="A1" s="383" t="s">
        <v>394</v>
      </c>
    </row>
    <row r="2" ht="14.25" customHeight="1">
      <c r="A2" s="182" t="s">
        <v>395</v>
      </c>
      <c r="D2" s="183"/>
      <c r="E2" s="183"/>
      <c r="F2" s="183"/>
      <c r="G2" s="126"/>
      <c r="H2" s="126"/>
    </row>
    <row r="3" ht="14.25" customHeight="1">
      <c r="A3" s="182" t="s">
        <v>396</v>
      </c>
      <c r="F3" s="183"/>
      <c r="G3" s="126"/>
      <c r="H3" s="126"/>
    </row>
    <row r="4" ht="14.25" customHeight="1">
      <c r="A4" s="182" t="s">
        <v>397</v>
      </c>
      <c r="E4" s="183"/>
      <c r="F4" s="183"/>
      <c r="G4" s="126"/>
      <c r="H4" s="126"/>
    </row>
    <row r="5" ht="14.25" customHeight="1">
      <c r="A5" s="182" t="s">
        <v>398</v>
      </c>
      <c r="C5" s="183"/>
      <c r="D5" s="183"/>
      <c r="E5" s="183"/>
      <c r="F5" s="183"/>
      <c r="G5" s="126"/>
      <c r="H5" s="126"/>
    </row>
    <row r="6" ht="14.25" customHeight="1">
      <c r="A6" s="182" t="s">
        <v>139</v>
      </c>
      <c r="D6" s="183"/>
      <c r="E6" s="183"/>
      <c r="F6" s="183"/>
      <c r="G6" s="126"/>
      <c r="H6" s="126"/>
    </row>
    <row r="7" ht="14.25" customHeight="1">
      <c r="A7" s="184" t="s">
        <v>100</v>
      </c>
      <c r="B7" s="384" t="s">
        <v>101</v>
      </c>
      <c r="C7" s="384" t="s">
        <v>399</v>
      </c>
      <c r="D7" s="131" t="s">
        <v>400</v>
      </c>
      <c r="E7" s="131" t="s">
        <v>3</v>
      </c>
      <c r="F7" s="131" t="s">
        <v>105</v>
      </c>
      <c r="G7" s="185" t="s">
        <v>106</v>
      </c>
      <c r="H7" s="379" t="s">
        <v>107</v>
      </c>
    </row>
    <row r="8" ht="14.25" customHeight="1">
      <c r="A8" s="385"/>
      <c r="B8" s="386"/>
      <c r="C8" s="387">
        <v>-2.0</v>
      </c>
      <c r="D8" s="130" t="s">
        <v>401</v>
      </c>
      <c r="E8" s="388" t="s">
        <v>402</v>
      </c>
      <c r="F8" s="386"/>
      <c r="G8" s="4"/>
      <c r="H8" s="4"/>
    </row>
    <row r="9" ht="14.25" customHeight="1">
      <c r="A9" s="264" t="s">
        <v>403</v>
      </c>
      <c r="B9" s="389">
        <v>8471.0</v>
      </c>
      <c r="C9" s="389">
        <v>4066.0</v>
      </c>
      <c r="D9" s="389">
        <v>12537.0</v>
      </c>
      <c r="E9" s="389">
        <v>288347.0</v>
      </c>
      <c r="F9" s="390"/>
      <c r="G9" s="389">
        <v>8471.0</v>
      </c>
      <c r="H9" s="389">
        <v>4066.0</v>
      </c>
      <c r="I9" s="59" t="s">
        <v>404</v>
      </c>
    </row>
    <row r="10" ht="14.25" customHeight="1">
      <c r="A10" s="391" t="s">
        <v>405</v>
      </c>
      <c r="B10" s="392">
        <v>8471.0</v>
      </c>
      <c r="C10" s="392">
        <v>4066.0</v>
      </c>
      <c r="D10" s="392">
        <v>12537.0</v>
      </c>
      <c r="E10" s="392">
        <v>275810.0</v>
      </c>
      <c r="F10" s="393"/>
      <c r="G10" s="389">
        <v>8471.0</v>
      </c>
      <c r="H10" s="389">
        <v>4066.0</v>
      </c>
      <c r="I10" s="170">
        <f>13300-H10-G10</f>
        <v>763</v>
      </c>
      <c r="J10" s="231" t="s">
        <v>406</v>
      </c>
      <c r="K10" s="256"/>
      <c r="L10" s="256"/>
      <c r="M10" s="256"/>
    </row>
    <row r="11" ht="14.25" customHeight="1">
      <c r="A11" s="391" t="s">
        <v>223</v>
      </c>
      <c r="B11" s="392">
        <v>8471.0</v>
      </c>
      <c r="C11" s="392">
        <v>4066.0</v>
      </c>
      <c r="D11" s="392">
        <v>12537.0</v>
      </c>
      <c r="E11" s="392">
        <v>263273.0</v>
      </c>
      <c r="F11" s="393"/>
      <c r="G11" s="10"/>
      <c r="H11" s="10"/>
    </row>
    <row r="12" ht="14.25" customHeight="1">
      <c r="A12" s="391" t="s">
        <v>74</v>
      </c>
      <c r="B12" s="392">
        <v>8471.0</v>
      </c>
      <c r="C12" s="392">
        <v>4066.0</v>
      </c>
      <c r="D12" s="392">
        <v>12537.0</v>
      </c>
      <c r="E12" s="392">
        <v>250736.0</v>
      </c>
      <c r="F12" s="393"/>
      <c r="G12" s="10"/>
      <c r="H12" s="10"/>
    </row>
    <row r="13" ht="14.25" customHeight="1">
      <c r="A13" s="391" t="s">
        <v>407</v>
      </c>
      <c r="B13" s="392">
        <v>8471.0</v>
      </c>
      <c r="C13" s="392">
        <v>4066.0</v>
      </c>
      <c r="D13" s="392">
        <v>12537.0</v>
      </c>
      <c r="E13" s="392">
        <v>238199.0</v>
      </c>
      <c r="F13" s="393"/>
      <c r="G13" s="10"/>
      <c r="H13" s="10"/>
    </row>
    <row r="14" ht="14.25" customHeight="1">
      <c r="A14" s="391" t="s">
        <v>408</v>
      </c>
      <c r="B14" s="392">
        <v>8471.0</v>
      </c>
      <c r="C14" s="392">
        <v>4066.0</v>
      </c>
      <c r="D14" s="392">
        <v>12537.0</v>
      </c>
      <c r="E14" s="392">
        <v>225662.0</v>
      </c>
      <c r="F14" s="393"/>
      <c r="G14" s="10"/>
      <c r="H14" s="10"/>
    </row>
    <row r="15" ht="14.25" customHeight="1">
      <c r="A15" s="391" t="s">
        <v>409</v>
      </c>
      <c r="B15" s="392">
        <v>8471.0</v>
      </c>
      <c r="C15" s="392">
        <v>4066.0</v>
      </c>
      <c r="D15" s="392">
        <v>12537.0</v>
      </c>
      <c r="E15" s="392">
        <v>213125.0</v>
      </c>
      <c r="F15" s="393"/>
      <c r="G15" s="10"/>
      <c r="H15" s="10"/>
    </row>
    <row r="16" ht="14.25" customHeight="1">
      <c r="A16" s="391" t="s">
        <v>410</v>
      </c>
      <c r="B16" s="392">
        <v>8471.0</v>
      </c>
      <c r="C16" s="392">
        <v>4066.0</v>
      </c>
      <c r="D16" s="392">
        <v>12537.0</v>
      </c>
      <c r="E16" s="392">
        <v>200588.0</v>
      </c>
      <c r="F16" s="393"/>
      <c r="G16" s="10"/>
      <c r="H16" s="10"/>
    </row>
    <row r="17" ht="14.25" customHeight="1">
      <c r="A17" s="391" t="s">
        <v>411</v>
      </c>
      <c r="B17" s="392">
        <v>8471.0</v>
      </c>
      <c r="C17" s="392">
        <v>4066.0</v>
      </c>
      <c r="D17" s="392">
        <v>12537.0</v>
      </c>
      <c r="E17" s="392">
        <v>188051.0</v>
      </c>
      <c r="F17" s="393"/>
      <c r="G17" s="10"/>
      <c r="H17" s="10"/>
    </row>
    <row r="18" ht="14.25" customHeight="1">
      <c r="A18" s="391" t="s">
        <v>412</v>
      </c>
      <c r="B18" s="392">
        <v>8471.0</v>
      </c>
      <c r="C18" s="392">
        <v>4066.0</v>
      </c>
      <c r="D18" s="392">
        <v>12537.0</v>
      </c>
      <c r="E18" s="392">
        <v>175514.0</v>
      </c>
      <c r="F18" s="393"/>
      <c r="G18" s="10"/>
      <c r="H18" s="10"/>
    </row>
    <row r="19" ht="14.25" customHeight="1">
      <c r="A19" s="391" t="s">
        <v>413</v>
      </c>
      <c r="B19" s="392">
        <v>8471.0</v>
      </c>
      <c r="C19" s="392">
        <v>4066.0</v>
      </c>
      <c r="D19" s="392">
        <v>12537.0</v>
      </c>
      <c r="E19" s="392">
        <v>162977.0</v>
      </c>
      <c r="F19" s="393"/>
      <c r="G19" s="10"/>
      <c r="H19" s="10"/>
    </row>
    <row r="20" ht="14.25" customHeight="1">
      <c r="A20" s="391" t="s">
        <v>414</v>
      </c>
      <c r="B20" s="392">
        <v>8471.0</v>
      </c>
      <c r="C20" s="392">
        <v>4066.0</v>
      </c>
      <c r="D20" s="392">
        <v>12537.0</v>
      </c>
      <c r="E20" s="392">
        <v>150440.0</v>
      </c>
      <c r="F20" s="393"/>
      <c r="G20" s="10"/>
      <c r="H20" s="10"/>
    </row>
    <row r="21" ht="14.25" customHeight="1">
      <c r="A21" s="391" t="s">
        <v>415</v>
      </c>
      <c r="B21" s="392">
        <v>8471.0</v>
      </c>
      <c r="C21" s="392">
        <v>4066.0</v>
      </c>
      <c r="D21" s="392">
        <v>12537.0</v>
      </c>
      <c r="E21" s="392">
        <v>137903.0</v>
      </c>
      <c r="F21" s="393"/>
      <c r="G21" s="10"/>
      <c r="H21" s="10"/>
    </row>
    <row r="22" ht="14.25" customHeight="1">
      <c r="A22" s="391" t="s">
        <v>416</v>
      </c>
      <c r="B22" s="392">
        <v>8471.0</v>
      </c>
      <c r="C22" s="392">
        <v>4066.0</v>
      </c>
      <c r="D22" s="392">
        <v>12537.0</v>
      </c>
      <c r="E22" s="392">
        <v>125366.0</v>
      </c>
      <c r="F22" s="393"/>
      <c r="G22" s="10"/>
      <c r="H22" s="10"/>
    </row>
    <row r="23" ht="14.25" customHeight="1">
      <c r="A23" s="391" t="s">
        <v>417</v>
      </c>
      <c r="B23" s="392">
        <v>8471.0</v>
      </c>
      <c r="C23" s="392">
        <v>4066.0</v>
      </c>
      <c r="D23" s="392">
        <v>12537.0</v>
      </c>
      <c r="E23" s="392">
        <v>112829.0</v>
      </c>
      <c r="F23" s="393"/>
      <c r="G23" s="10"/>
      <c r="H23" s="10"/>
    </row>
    <row r="24" ht="14.25" customHeight="1">
      <c r="A24" s="391" t="s">
        <v>418</v>
      </c>
      <c r="B24" s="392">
        <v>8471.0</v>
      </c>
      <c r="C24" s="392">
        <v>4066.0</v>
      </c>
      <c r="D24" s="392">
        <v>12537.0</v>
      </c>
      <c r="E24" s="392">
        <v>100292.0</v>
      </c>
      <c r="F24" s="393"/>
      <c r="G24" s="10"/>
      <c r="H24" s="10"/>
    </row>
    <row r="25" ht="14.25" customHeight="1">
      <c r="A25" s="391" t="s">
        <v>419</v>
      </c>
      <c r="B25" s="392">
        <v>8471.0</v>
      </c>
      <c r="C25" s="392">
        <v>4066.0</v>
      </c>
      <c r="D25" s="392">
        <v>12537.0</v>
      </c>
      <c r="E25" s="392">
        <v>87755.0</v>
      </c>
      <c r="F25" s="393"/>
      <c r="G25" s="10"/>
      <c r="H25" s="10"/>
    </row>
    <row r="26" ht="14.25" customHeight="1">
      <c r="A26" s="391" t="s">
        <v>420</v>
      </c>
      <c r="B26" s="392">
        <v>8471.0</v>
      </c>
      <c r="C26" s="392">
        <v>4066.0</v>
      </c>
      <c r="D26" s="392">
        <v>12537.0</v>
      </c>
      <c r="E26" s="392">
        <v>75218.0</v>
      </c>
      <c r="F26" s="393"/>
      <c r="G26" s="10"/>
      <c r="H26" s="10"/>
    </row>
    <row r="27" ht="14.25" customHeight="1">
      <c r="A27" s="391" t="s">
        <v>421</v>
      </c>
      <c r="B27" s="392">
        <v>8471.0</v>
      </c>
      <c r="C27" s="392">
        <v>4066.0</v>
      </c>
      <c r="D27" s="392">
        <v>12537.0</v>
      </c>
      <c r="E27" s="392">
        <v>62681.0</v>
      </c>
      <c r="F27" s="393"/>
      <c r="G27" s="10"/>
      <c r="H27" s="10"/>
    </row>
    <row r="28" ht="14.25" customHeight="1">
      <c r="A28" s="391" t="s">
        <v>422</v>
      </c>
      <c r="B28" s="392">
        <v>8471.0</v>
      </c>
      <c r="C28" s="392">
        <v>4066.0</v>
      </c>
      <c r="D28" s="392">
        <v>12537.0</v>
      </c>
      <c r="E28" s="392">
        <v>50144.0</v>
      </c>
      <c r="F28" s="393"/>
      <c r="G28" s="10"/>
      <c r="H28" s="10"/>
    </row>
    <row r="29" ht="14.25" customHeight="1">
      <c r="A29" s="391" t="s">
        <v>423</v>
      </c>
      <c r="B29" s="392">
        <v>8471.0</v>
      </c>
      <c r="C29" s="392">
        <v>4066.0</v>
      </c>
      <c r="D29" s="392">
        <v>12537.0</v>
      </c>
      <c r="E29" s="392">
        <v>37607.0</v>
      </c>
      <c r="F29" s="393"/>
      <c r="G29" s="10"/>
      <c r="H29" s="10"/>
    </row>
    <row r="30" ht="14.25" customHeight="1">
      <c r="A30" s="391" t="s">
        <v>424</v>
      </c>
      <c r="B30" s="392">
        <v>8471.0</v>
      </c>
      <c r="C30" s="392">
        <v>4066.0</v>
      </c>
      <c r="D30" s="392">
        <v>12537.0</v>
      </c>
      <c r="E30" s="392">
        <v>25070.0</v>
      </c>
      <c r="F30" s="393"/>
      <c r="G30" s="10"/>
      <c r="H30" s="10"/>
    </row>
    <row r="31" ht="14.25" customHeight="1">
      <c r="A31" s="391" t="s">
        <v>425</v>
      </c>
      <c r="B31" s="392">
        <v>8471.0</v>
      </c>
      <c r="C31" s="392">
        <v>4066.0</v>
      </c>
      <c r="D31" s="392">
        <v>12537.0</v>
      </c>
      <c r="E31" s="392">
        <v>12533.0</v>
      </c>
      <c r="F31" s="393"/>
      <c r="G31" s="10"/>
      <c r="H31" s="10"/>
    </row>
    <row r="32" ht="14.25" customHeight="1">
      <c r="A32" s="391" t="s">
        <v>426</v>
      </c>
      <c r="B32" s="392">
        <v>8467.0</v>
      </c>
      <c r="C32" s="392">
        <v>4066.0</v>
      </c>
      <c r="D32" s="392">
        <v>12533.0</v>
      </c>
      <c r="E32" s="394">
        <v>0.0</v>
      </c>
      <c r="F32" s="393"/>
      <c r="G32" s="10"/>
      <c r="H32" s="10"/>
    </row>
    <row r="33" ht="14.25" customHeight="1">
      <c r="A33" s="395" t="s">
        <v>165</v>
      </c>
      <c r="B33" s="396">
        <v>203300.0</v>
      </c>
      <c r="C33" s="396">
        <v>97584.0</v>
      </c>
      <c r="D33" s="396">
        <v>300884.0</v>
      </c>
      <c r="E33" s="397"/>
      <c r="F33" s="397"/>
      <c r="G33" s="10">
        <f t="shared" ref="G33:H33" si="1">SUM(G8:G32)</f>
        <v>16942</v>
      </c>
      <c r="H33" s="10">
        <f t="shared" si="1"/>
        <v>8132</v>
      </c>
      <c r="I33" s="107">
        <f>G33+H33</f>
        <v>25074</v>
      </c>
      <c r="J33" s="292">
        <f>D33-I33</f>
        <v>275810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</sheetData>
  <mergeCells count="8">
    <mergeCell ref="A2:C2"/>
    <mergeCell ref="A3:E3"/>
    <mergeCell ref="A4:D4"/>
    <mergeCell ref="A5:B5"/>
    <mergeCell ref="A6:C6"/>
    <mergeCell ref="A7:A8"/>
    <mergeCell ref="B7:B8"/>
    <mergeCell ref="F7:F8"/>
  </mergeCells>
  <printOptions/>
  <pageMargins bottom="0.75" footer="0.0" header="0.0" left="0.7" right="0.7" top="0.75"/>
  <pageSetup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2.57"/>
    <col customWidth="1" min="3" max="3" width="12.71"/>
    <col customWidth="1" min="4" max="4" width="17.14"/>
    <col customWidth="1" min="5" max="5" width="11.57"/>
    <col customWidth="1" min="6" max="6" width="15.29"/>
    <col customWidth="1" min="7" max="7" width="14.57"/>
    <col customWidth="1" min="8" max="8" width="15.0"/>
    <col customWidth="1" min="9" max="9" width="11.29"/>
    <col customWidth="1" min="10" max="10" width="10.86"/>
    <col customWidth="1" min="11" max="24" width="8.0"/>
  </cols>
  <sheetData>
    <row r="1" ht="14.25" customHeight="1">
      <c r="A1" s="383" t="s">
        <v>427</v>
      </c>
    </row>
    <row r="2" ht="14.25" customHeight="1">
      <c r="A2" s="182" t="s">
        <v>428</v>
      </c>
      <c r="D2" s="183"/>
      <c r="E2" s="183"/>
      <c r="F2" s="183"/>
      <c r="G2" s="126"/>
      <c r="H2" s="126"/>
    </row>
    <row r="3" ht="14.25" customHeight="1">
      <c r="A3" s="182" t="s">
        <v>429</v>
      </c>
      <c r="F3" s="183"/>
      <c r="G3" s="126"/>
      <c r="H3" s="126"/>
    </row>
    <row r="4" ht="14.25" customHeight="1">
      <c r="A4" s="182" t="s">
        <v>430</v>
      </c>
      <c r="E4" s="183"/>
      <c r="F4" s="183"/>
      <c r="G4" s="126"/>
      <c r="H4" s="126"/>
    </row>
    <row r="5" ht="14.25" customHeight="1">
      <c r="A5" s="182" t="s">
        <v>431</v>
      </c>
      <c r="C5" s="183"/>
      <c r="D5" s="183"/>
      <c r="E5" s="183"/>
      <c r="F5" s="183"/>
      <c r="G5" s="126"/>
      <c r="H5" s="126"/>
    </row>
    <row r="6" ht="14.25" customHeight="1">
      <c r="A6" s="182" t="s">
        <v>169</v>
      </c>
      <c r="D6" s="183"/>
      <c r="E6" s="183"/>
      <c r="F6" s="183"/>
      <c r="G6" s="126"/>
      <c r="H6" s="126"/>
    </row>
    <row r="7" ht="14.25" customHeight="1">
      <c r="A7" s="184" t="s">
        <v>100</v>
      </c>
      <c r="B7" s="384" t="s">
        <v>101</v>
      </c>
      <c r="C7" s="384" t="s">
        <v>399</v>
      </c>
      <c r="D7" s="131" t="s">
        <v>400</v>
      </c>
      <c r="E7" s="131" t="s">
        <v>3</v>
      </c>
      <c r="F7" s="131" t="s">
        <v>105</v>
      </c>
      <c r="G7" s="185" t="s">
        <v>106</v>
      </c>
      <c r="H7" s="379" t="s">
        <v>107</v>
      </c>
    </row>
    <row r="8" ht="14.25" customHeight="1">
      <c r="A8" s="385"/>
      <c r="B8" s="386"/>
      <c r="C8" s="387">
        <v>-2.0</v>
      </c>
      <c r="D8" s="130" t="s">
        <v>401</v>
      </c>
      <c r="E8" s="388" t="s">
        <v>402</v>
      </c>
      <c r="F8" s="386"/>
      <c r="G8" s="4"/>
      <c r="H8" s="4"/>
    </row>
    <row r="9" ht="14.25" customHeight="1">
      <c r="A9" s="272">
        <v>45546.0</v>
      </c>
      <c r="B9" s="389">
        <v>150000.0</v>
      </c>
      <c r="C9" s="389">
        <v>15000.0</v>
      </c>
      <c r="D9" s="389">
        <f t="shared" ref="D9:D10" si="1">B9+C9</f>
        <v>165000</v>
      </c>
      <c r="E9" s="389">
        <f>330000-D9</f>
        <v>165000</v>
      </c>
      <c r="F9" s="390"/>
      <c r="G9" s="389">
        <v>15000.0</v>
      </c>
      <c r="H9" s="389">
        <v>150000.0</v>
      </c>
      <c r="I9" s="28"/>
      <c r="J9" s="28"/>
      <c r="K9" s="28"/>
      <c r="L9" s="28"/>
      <c r="M9" s="28"/>
      <c r="N9" s="28"/>
      <c r="O9" s="28"/>
    </row>
    <row r="10" ht="14.25" customHeight="1">
      <c r="A10" s="398">
        <v>45547.0</v>
      </c>
      <c r="B10" s="392">
        <v>150000.0</v>
      </c>
      <c r="C10" s="392">
        <v>15000.0</v>
      </c>
      <c r="D10" s="389">
        <f t="shared" si="1"/>
        <v>165000</v>
      </c>
      <c r="E10" s="389">
        <f>E9-D10</f>
        <v>0</v>
      </c>
      <c r="F10" s="393"/>
      <c r="G10" s="389"/>
      <c r="H10" s="389"/>
      <c r="I10" s="28"/>
      <c r="J10" s="54"/>
      <c r="K10" s="28"/>
      <c r="L10" s="28"/>
      <c r="M10" s="28"/>
      <c r="N10" s="28"/>
      <c r="O10" s="28"/>
    </row>
    <row r="11" ht="14.25" customHeight="1">
      <c r="A11" s="395" t="s">
        <v>165</v>
      </c>
      <c r="B11" s="396">
        <f t="shared" ref="B11:E11" si="2">B9+B10</f>
        <v>300000</v>
      </c>
      <c r="C11" s="396">
        <f t="shared" si="2"/>
        <v>30000</v>
      </c>
      <c r="D11" s="396">
        <f t="shared" si="2"/>
        <v>330000</v>
      </c>
      <c r="E11" s="396">
        <f t="shared" si="2"/>
        <v>165000</v>
      </c>
      <c r="F11" s="397"/>
      <c r="G11" s="41">
        <f t="shared" ref="G11:H11" si="3">SUM(G9:G10)</f>
        <v>15000</v>
      </c>
      <c r="H11" s="41">
        <f t="shared" si="3"/>
        <v>150000</v>
      </c>
      <c r="I11" s="170">
        <f>G11+H11</f>
        <v>165000</v>
      </c>
      <c r="J11" s="292">
        <f>D11-I11</f>
        <v>165000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</sheetData>
  <mergeCells count="8">
    <mergeCell ref="A2:C2"/>
    <mergeCell ref="A3:E3"/>
    <mergeCell ref="A4:D4"/>
    <mergeCell ref="A5:B5"/>
    <mergeCell ref="A6:C6"/>
    <mergeCell ref="A7:A8"/>
    <mergeCell ref="B7:B8"/>
    <mergeCell ref="F7:F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16.14"/>
  </cols>
  <sheetData>
    <row r="1">
      <c r="A1" s="123" t="s">
        <v>127</v>
      </c>
      <c r="D1" s="124"/>
      <c r="E1" s="124"/>
      <c r="F1" s="124"/>
      <c r="G1" s="125"/>
      <c r="H1" s="125"/>
      <c r="I1" s="126"/>
      <c r="J1" s="126"/>
    </row>
    <row r="2">
      <c r="A2" s="123" t="s">
        <v>128</v>
      </c>
      <c r="F2" s="124"/>
      <c r="G2" s="125"/>
      <c r="H2" s="125"/>
      <c r="I2" s="126"/>
      <c r="J2" s="126"/>
    </row>
    <row r="3">
      <c r="A3" s="123" t="s">
        <v>129</v>
      </c>
      <c r="E3" s="124"/>
      <c r="F3" s="124"/>
      <c r="G3" s="125"/>
      <c r="H3" s="125"/>
      <c r="I3" s="126"/>
      <c r="J3" s="126"/>
    </row>
    <row r="4">
      <c r="A4" s="123" t="s">
        <v>130</v>
      </c>
      <c r="C4" s="124"/>
      <c r="D4" s="124"/>
      <c r="E4" s="124"/>
      <c r="F4" s="124"/>
      <c r="G4" s="125"/>
      <c r="H4" s="125"/>
      <c r="I4" s="126"/>
      <c r="J4" s="126"/>
    </row>
    <row r="5">
      <c r="A5" s="127" t="s">
        <v>114</v>
      </c>
      <c r="B5" s="128"/>
      <c r="C5" s="128"/>
      <c r="D5" s="124"/>
      <c r="E5" s="124"/>
      <c r="F5" s="124"/>
      <c r="G5" s="125"/>
      <c r="H5" s="125"/>
      <c r="I5" s="126"/>
      <c r="J5" s="126"/>
    </row>
    <row r="6">
      <c r="A6" s="129" t="s">
        <v>100</v>
      </c>
      <c r="B6" s="130" t="s">
        <v>101</v>
      </c>
      <c r="C6" s="130" t="s">
        <v>102</v>
      </c>
      <c r="D6" s="131" t="s">
        <v>103</v>
      </c>
      <c r="E6" s="131" t="s">
        <v>115</v>
      </c>
      <c r="F6" s="131" t="s">
        <v>105</v>
      </c>
      <c r="G6" s="132" t="s">
        <v>106</v>
      </c>
      <c r="H6" s="132" t="s">
        <v>107</v>
      </c>
      <c r="I6" s="126"/>
      <c r="J6" s="126"/>
    </row>
    <row r="7">
      <c r="A7" s="140" t="s">
        <v>131</v>
      </c>
      <c r="B7" s="141">
        <v>185000.0</v>
      </c>
      <c r="C7" s="135">
        <v>11100.0</v>
      </c>
      <c r="D7" s="135">
        <f t="shared" ref="D7:D9" si="1">B7+C7</f>
        <v>196100</v>
      </c>
      <c r="E7" s="141"/>
      <c r="F7" s="142"/>
      <c r="G7" s="144">
        <v>11100.0</v>
      </c>
      <c r="H7" s="144">
        <v>185000.0</v>
      </c>
      <c r="I7" s="126"/>
      <c r="J7" s="126"/>
    </row>
    <row r="8">
      <c r="A8" s="140" t="s">
        <v>132</v>
      </c>
      <c r="B8" s="141">
        <v>185000.0</v>
      </c>
      <c r="C8" s="135">
        <v>11100.0</v>
      </c>
      <c r="D8" s="135">
        <f t="shared" si="1"/>
        <v>196100</v>
      </c>
      <c r="E8" s="144"/>
      <c r="F8" s="142"/>
      <c r="G8" s="144">
        <v>11100.0</v>
      </c>
      <c r="H8" s="144">
        <v>185000.0</v>
      </c>
      <c r="I8" s="139"/>
      <c r="J8" s="126"/>
    </row>
    <row r="9">
      <c r="A9" s="134" t="s">
        <v>133</v>
      </c>
      <c r="B9" s="135">
        <v>185000.0</v>
      </c>
      <c r="C9" s="135"/>
      <c r="D9" s="135">
        <f t="shared" si="1"/>
        <v>185000</v>
      </c>
      <c r="E9" s="135"/>
      <c r="F9" s="136"/>
      <c r="G9" s="144"/>
      <c r="H9" s="144">
        <v>185000.0</v>
      </c>
      <c r="I9" s="139"/>
      <c r="J9" s="126"/>
    </row>
    <row r="10">
      <c r="A10" s="125"/>
      <c r="B10" s="145">
        <f t="shared" ref="B10:D10" si="2">SUM(B7:B9)</f>
        <v>555000</v>
      </c>
      <c r="C10" s="145">
        <f t="shared" si="2"/>
        <v>22200</v>
      </c>
      <c r="D10" s="145">
        <f t="shared" si="2"/>
        <v>577200</v>
      </c>
      <c r="E10" s="146"/>
      <c r="F10" s="125"/>
      <c r="G10" s="123">
        <f t="shared" ref="G10:H10" si="3">SUM(G7:G9)</f>
        <v>22200</v>
      </c>
      <c r="H10" s="123">
        <f t="shared" si="3"/>
        <v>555000</v>
      </c>
      <c r="I10" s="123">
        <f>G10+H10</f>
        <v>577200</v>
      </c>
      <c r="J10" s="148">
        <f>D10-I10</f>
        <v>0</v>
      </c>
    </row>
    <row r="11">
      <c r="J11" s="59" t="s">
        <v>134</v>
      </c>
    </row>
    <row r="12">
      <c r="K12" s="149">
        <f>D7*5%</f>
        <v>9805</v>
      </c>
    </row>
  </sheetData>
  <mergeCells count="5">
    <mergeCell ref="A1:C1"/>
    <mergeCell ref="A2:E2"/>
    <mergeCell ref="A3:D3"/>
    <mergeCell ref="A4:B4"/>
    <mergeCell ref="A5:C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5" max="5" width="27.71"/>
    <col customWidth="1" min="6" max="6" width="16.0"/>
    <col customWidth="1" min="7" max="7" width="16.14"/>
  </cols>
  <sheetData>
    <row r="1">
      <c r="A1" s="123" t="s">
        <v>135</v>
      </c>
      <c r="D1" s="124"/>
      <c r="E1" s="124"/>
      <c r="F1" s="125"/>
      <c r="G1" s="125"/>
      <c r="H1" s="126"/>
      <c r="I1" s="126"/>
    </row>
    <row r="2">
      <c r="A2" s="123" t="s">
        <v>136</v>
      </c>
      <c r="F2" s="125"/>
      <c r="G2" s="125"/>
      <c r="H2" s="126"/>
      <c r="I2" s="126"/>
    </row>
    <row r="3">
      <c r="A3" s="123" t="s">
        <v>137</v>
      </c>
      <c r="E3" s="124"/>
      <c r="F3" s="125"/>
      <c r="G3" s="125"/>
      <c r="H3" s="126"/>
      <c r="I3" s="126"/>
    </row>
    <row r="4">
      <c r="A4" s="123" t="s">
        <v>138</v>
      </c>
      <c r="C4" s="124"/>
      <c r="D4" s="124"/>
      <c r="E4" s="124"/>
      <c r="F4" s="125"/>
      <c r="G4" s="125"/>
      <c r="H4" s="126"/>
      <c r="I4" s="126"/>
    </row>
    <row r="5">
      <c r="A5" s="127" t="s">
        <v>139</v>
      </c>
      <c r="B5" s="128"/>
      <c r="C5" s="128"/>
      <c r="D5" s="124"/>
      <c r="E5" s="124"/>
      <c r="F5" s="125"/>
      <c r="G5" s="125"/>
      <c r="H5" s="126"/>
      <c r="I5" s="126"/>
    </row>
    <row r="6">
      <c r="B6" s="130" t="s">
        <v>101</v>
      </c>
      <c r="C6" s="130" t="s">
        <v>102</v>
      </c>
      <c r="D6" s="131" t="s">
        <v>103</v>
      </c>
      <c r="E6" s="131" t="s">
        <v>115</v>
      </c>
      <c r="F6" s="131" t="s">
        <v>140</v>
      </c>
      <c r="G6" s="132" t="s">
        <v>107</v>
      </c>
      <c r="H6" s="139" t="s">
        <v>141</v>
      </c>
      <c r="I6" s="126"/>
    </row>
    <row r="7">
      <c r="A7" s="150" t="s">
        <v>142</v>
      </c>
      <c r="B7" s="151">
        <v>27334.0</v>
      </c>
      <c r="C7" s="152">
        <v>13120.0</v>
      </c>
      <c r="D7" s="152">
        <v>40454.0</v>
      </c>
      <c r="E7" s="152">
        <v>930426.0</v>
      </c>
      <c r="F7" s="152">
        <v>13120.0</v>
      </c>
      <c r="G7" s="151">
        <v>27334.0</v>
      </c>
      <c r="H7" s="153">
        <f>D7*5/100</f>
        <v>2022.7</v>
      </c>
      <c r="I7" s="59" t="s">
        <v>143</v>
      </c>
    </row>
    <row r="8">
      <c r="A8" s="154" t="s">
        <v>133</v>
      </c>
      <c r="B8" s="155">
        <v>27334.0</v>
      </c>
      <c r="C8" s="156">
        <v>13120.0</v>
      </c>
      <c r="D8" s="156">
        <v>40454.0</v>
      </c>
      <c r="E8" s="156">
        <v>889972.0</v>
      </c>
      <c r="F8" s="152">
        <v>13120.0</v>
      </c>
      <c r="G8" s="151">
        <v>27334.0</v>
      </c>
      <c r="J8" s="149"/>
    </row>
    <row r="9">
      <c r="A9" s="154" t="s">
        <v>144</v>
      </c>
      <c r="B9" s="155">
        <v>27334.0</v>
      </c>
      <c r="C9" s="156">
        <v>13120.0</v>
      </c>
      <c r="D9" s="156">
        <v>40454.0</v>
      </c>
      <c r="E9" s="156">
        <v>849518.0</v>
      </c>
      <c r="F9" s="157"/>
      <c r="G9" s="158"/>
    </row>
    <row r="10">
      <c r="A10" s="154" t="s">
        <v>71</v>
      </c>
      <c r="B10" s="155">
        <v>27334.0</v>
      </c>
      <c r="C10" s="156">
        <v>13120.0</v>
      </c>
      <c r="D10" s="156">
        <v>40454.0</v>
      </c>
      <c r="E10" s="156">
        <v>809064.0</v>
      </c>
      <c r="F10" s="159"/>
      <c r="G10" s="10"/>
    </row>
    <row r="11">
      <c r="A11" s="154" t="s">
        <v>145</v>
      </c>
      <c r="B11" s="155">
        <v>27334.0</v>
      </c>
      <c r="C11" s="156">
        <v>13120.0</v>
      </c>
      <c r="D11" s="156">
        <v>40454.0</v>
      </c>
      <c r="E11" s="156">
        <v>768610.0</v>
      </c>
      <c r="F11" s="159"/>
      <c r="G11" s="10"/>
    </row>
    <row r="12">
      <c r="A12" s="154" t="s">
        <v>146</v>
      </c>
      <c r="B12" s="155">
        <v>27334.0</v>
      </c>
      <c r="C12" s="156">
        <v>13120.0</v>
      </c>
      <c r="D12" s="156">
        <v>40454.0</v>
      </c>
      <c r="E12" s="156">
        <v>728156.0</v>
      </c>
      <c r="F12" s="159"/>
      <c r="G12" s="10"/>
    </row>
    <row r="13">
      <c r="A13" s="154" t="s">
        <v>147</v>
      </c>
      <c r="B13" s="155">
        <v>27334.0</v>
      </c>
      <c r="C13" s="156">
        <v>13120.0</v>
      </c>
      <c r="D13" s="156">
        <v>40454.0</v>
      </c>
      <c r="E13" s="156">
        <v>687702.0</v>
      </c>
      <c r="F13" s="159"/>
      <c r="G13" s="10"/>
    </row>
    <row r="14">
      <c r="A14" s="154" t="s">
        <v>148</v>
      </c>
      <c r="B14" s="155">
        <v>27334.0</v>
      </c>
      <c r="C14" s="156">
        <v>13120.0</v>
      </c>
      <c r="D14" s="156">
        <v>40454.0</v>
      </c>
      <c r="E14" s="156">
        <v>647248.0</v>
      </c>
      <c r="F14" s="159"/>
      <c r="G14" s="10"/>
    </row>
    <row r="15">
      <c r="A15" s="154" t="s">
        <v>149</v>
      </c>
      <c r="B15" s="155">
        <v>27334.0</v>
      </c>
      <c r="C15" s="156">
        <v>13120.0</v>
      </c>
      <c r="D15" s="156">
        <v>40454.0</v>
      </c>
      <c r="E15" s="156">
        <v>606794.0</v>
      </c>
      <c r="F15" s="159"/>
      <c r="G15" s="10"/>
    </row>
    <row r="16">
      <c r="A16" s="154" t="s">
        <v>150</v>
      </c>
      <c r="B16" s="155">
        <v>27334.0</v>
      </c>
      <c r="C16" s="156">
        <v>13120.0</v>
      </c>
      <c r="D16" s="156">
        <v>40454.0</v>
      </c>
      <c r="E16" s="156">
        <v>566340.0</v>
      </c>
      <c r="F16" s="159"/>
      <c r="G16" s="10"/>
    </row>
    <row r="17">
      <c r="A17" s="154" t="s">
        <v>151</v>
      </c>
      <c r="B17" s="155">
        <v>27334.0</v>
      </c>
      <c r="C17" s="156">
        <v>13120.0</v>
      </c>
      <c r="D17" s="156">
        <v>40454.0</v>
      </c>
      <c r="E17" s="156">
        <v>525886.0</v>
      </c>
      <c r="F17" s="159"/>
      <c r="G17" s="10"/>
    </row>
    <row r="18">
      <c r="A18" s="154" t="s">
        <v>152</v>
      </c>
      <c r="B18" s="155">
        <v>27334.0</v>
      </c>
      <c r="C18" s="156">
        <v>13120.0</v>
      </c>
      <c r="D18" s="156">
        <v>40454.0</v>
      </c>
      <c r="E18" s="156">
        <v>485432.0</v>
      </c>
      <c r="F18" s="159"/>
      <c r="G18" s="10"/>
    </row>
    <row r="19">
      <c r="A19" s="154" t="s">
        <v>153</v>
      </c>
      <c r="B19" s="155">
        <v>27334.0</v>
      </c>
      <c r="C19" s="156">
        <v>13120.0</v>
      </c>
      <c r="D19" s="156">
        <v>40454.0</v>
      </c>
      <c r="E19" s="156">
        <v>444978.0</v>
      </c>
      <c r="F19" s="159"/>
      <c r="G19" s="10"/>
    </row>
    <row r="20">
      <c r="A20" s="154" t="s">
        <v>154</v>
      </c>
      <c r="B20" s="155">
        <v>27334.0</v>
      </c>
      <c r="C20" s="156">
        <v>13120.0</v>
      </c>
      <c r="D20" s="156">
        <v>40454.0</v>
      </c>
      <c r="E20" s="156">
        <v>404524.0</v>
      </c>
      <c r="F20" s="159"/>
      <c r="G20" s="10"/>
    </row>
    <row r="21">
      <c r="A21" s="154" t="s">
        <v>155</v>
      </c>
      <c r="B21" s="155">
        <v>27334.0</v>
      </c>
      <c r="C21" s="156">
        <v>13120.0</v>
      </c>
      <c r="D21" s="156">
        <v>40454.0</v>
      </c>
      <c r="E21" s="156">
        <v>364070.0</v>
      </c>
      <c r="F21" s="159"/>
      <c r="G21" s="10"/>
    </row>
    <row r="22">
      <c r="A22" s="154" t="s">
        <v>156</v>
      </c>
      <c r="B22" s="155">
        <v>27334.0</v>
      </c>
      <c r="C22" s="156">
        <v>13120.0</v>
      </c>
      <c r="D22" s="156">
        <v>40454.0</v>
      </c>
      <c r="E22" s="156">
        <v>323616.0</v>
      </c>
      <c r="F22" s="159"/>
      <c r="G22" s="10"/>
    </row>
    <row r="23">
      <c r="A23" s="154" t="s">
        <v>157</v>
      </c>
      <c r="B23" s="155">
        <v>27334.0</v>
      </c>
      <c r="C23" s="156">
        <v>13120.0</v>
      </c>
      <c r="D23" s="156">
        <v>40454.0</v>
      </c>
      <c r="E23" s="156">
        <v>283162.0</v>
      </c>
      <c r="F23" s="159"/>
      <c r="G23" s="10"/>
    </row>
    <row r="24">
      <c r="A24" s="154" t="s">
        <v>158</v>
      </c>
      <c r="B24" s="155">
        <v>27334.0</v>
      </c>
      <c r="C24" s="156">
        <v>13120.0</v>
      </c>
      <c r="D24" s="156">
        <v>40454.0</v>
      </c>
      <c r="E24" s="156">
        <v>242708.0</v>
      </c>
      <c r="F24" s="159"/>
      <c r="G24" s="10"/>
    </row>
    <row r="25">
      <c r="A25" s="154" t="s">
        <v>159</v>
      </c>
      <c r="B25" s="155">
        <v>27334.0</v>
      </c>
      <c r="C25" s="156">
        <v>13120.0</v>
      </c>
      <c r="D25" s="156">
        <v>40454.0</v>
      </c>
      <c r="E25" s="156">
        <v>202254.0</v>
      </c>
      <c r="F25" s="159"/>
      <c r="G25" s="10"/>
    </row>
    <row r="26">
      <c r="A26" s="154" t="s">
        <v>160</v>
      </c>
      <c r="B26" s="155">
        <v>27334.0</v>
      </c>
      <c r="C26" s="156">
        <v>13120.0</v>
      </c>
      <c r="D26" s="156">
        <v>40454.0</v>
      </c>
      <c r="E26" s="156">
        <v>161800.0</v>
      </c>
      <c r="F26" s="159"/>
      <c r="G26" s="10"/>
    </row>
    <row r="27">
      <c r="A27" s="154" t="s">
        <v>161</v>
      </c>
      <c r="B27" s="155">
        <v>27334.0</v>
      </c>
      <c r="C27" s="156">
        <v>13120.0</v>
      </c>
      <c r="D27" s="156">
        <v>40454.0</v>
      </c>
      <c r="E27" s="156">
        <v>121346.0</v>
      </c>
      <c r="F27" s="159"/>
      <c r="G27" s="10"/>
    </row>
    <row r="28">
      <c r="A28" s="154" t="s">
        <v>162</v>
      </c>
      <c r="B28" s="155">
        <v>27334.0</v>
      </c>
      <c r="C28" s="156">
        <v>13120.0</v>
      </c>
      <c r="D28" s="156">
        <v>40454.0</v>
      </c>
      <c r="E28" s="156">
        <v>80892.0</v>
      </c>
      <c r="F28" s="159"/>
      <c r="G28" s="10"/>
    </row>
    <row r="29">
      <c r="A29" s="154" t="s">
        <v>163</v>
      </c>
      <c r="B29" s="155">
        <v>27334.0</v>
      </c>
      <c r="C29" s="156">
        <v>13120.0</v>
      </c>
      <c r="D29" s="156">
        <v>40454.0</v>
      </c>
      <c r="E29" s="156">
        <v>40438.0</v>
      </c>
      <c r="F29" s="160"/>
      <c r="G29" s="10"/>
    </row>
    <row r="30">
      <c r="A30" s="154" t="s">
        <v>164</v>
      </c>
      <c r="B30" s="155">
        <v>27318.0</v>
      </c>
      <c r="C30" s="156">
        <v>13120.0</v>
      </c>
      <c r="D30" s="156">
        <v>40438.0</v>
      </c>
      <c r="E30" s="161">
        <v>0.0</v>
      </c>
      <c r="F30" s="160"/>
      <c r="G30" s="10"/>
    </row>
    <row r="31">
      <c r="A31" s="162" t="s">
        <v>165</v>
      </c>
      <c r="B31" s="163">
        <v>656000.0</v>
      </c>
      <c r="C31" s="164">
        <v>314880.0</v>
      </c>
      <c r="D31" s="164">
        <v>970880.0</v>
      </c>
      <c r="E31" s="165"/>
      <c r="F31" s="166">
        <f t="shared" ref="F31:G31" si="1">SUM(F7:F30)</f>
        <v>26240</v>
      </c>
      <c r="G31" s="167">
        <f t="shared" si="1"/>
        <v>54668</v>
      </c>
      <c r="H31" s="168">
        <f>F31+G31</f>
        <v>80908</v>
      </c>
      <c r="I31" s="169">
        <f>D31-H31</f>
        <v>889972</v>
      </c>
    </row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29"/>
    <col customWidth="1" min="3" max="3" width="10.57"/>
    <col customWidth="1" min="4" max="4" width="8.0"/>
    <col customWidth="1" min="5" max="5" width="9.71"/>
    <col customWidth="1" min="6" max="6" width="14.57"/>
    <col customWidth="1" min="7" max="7" width="13.43"/>
    <col customWidth="1" min="8" max="8" width="15.29"/>
    <col customWidth="1" min="9" max="9" width="10.71"/>
    <col customWidth="1" min="10" max="10" width="12.71"/>
    <col customWidth="1" min="11" max="11" width="8.0"/>
    <col customWidth="1" min="12" max="12" width="9.57"/>
    <col customWidth="1" min="13" max="13" width="11.14"/>
    <col customWidth="1" min="14" max="15" width="8.0"/>
    <col customWidth="1" min="16" max="16" width="12.57"/>
    <col customWidth="1" min="17" max="26" width="8.0"/>
  </cols>
  <sheetData>
    <row r="1" ht="14.25" customHeight="1">
      <c r="A1" s="123" t="s">
        <v>166</v>
      </c>
      <c r="D1" s="124"/>
      <c r="E1" s="124"/>
      <c r="F1" s="124"/>
      <c r="G1" s="125"/>
      <c r="H1" s="125"/>
      <c r="I1" s="126"/>
      <c r="J1" s="126"/>
    </row>
    <row r="2" ht="14.25" customHeight="1">
      <c r="A2" s="123" t="s">
        <v>167</v>
      </c>
      <c r="F2" s="124"/>
      <c r="G2" s="125"/>
      <c r="H2" s="125"/>
      <c r="I2" s="126"/>
      <c r="J2" s="126"/>
    </row>
    <row r="3" ht="14.25" customHeight="1">
      <c r="A3" s="123" t="s">
        <v>112</v>
      </c>
      <c r="E3" s="124"/>
      <c r="F3" s="124"/>
      <c r="G3" s="125"/>
      <c r="H3" s="125"/>
      <c r="I3" s="126"/>
      <c r="J3" s="126"/>
    </row>
    <row r="4" ht="14.25" customHeight="1">
      <c r="A4" s="123" t="s">
        <v>168</v>
      </c>
      <c r="C4" s="124"/>
      <c r="D4" s="124"/>
      <c r="E4" s="124"/>
      <c r="F4" s="124"/>
      <c r="G4" s="125"/>
      <c r="H4" s="125"/>
      <c r="I4" s="126"/>
      <c r="J4" s="126"/>
    </row>
    <row r="5" ht="14.25" customHeight="1">
      <c r="A5" s="127" t="s">
        <v>169</v>
      </c>
      <c r="B5" s="128"/>
      <c r="C5" s="128"/>
      <c r="D5" s="124"/>
      <c r="E5" s="124"/>
      <c r="F5" s="124"/>
      <c r="G5" s="125"/>
      <c r="H5" s="125"/>
      <c r="I5" s="126"/>
      <c r="J5" s="126"/>
    </row>
    <row r="6" ht="14.25" customHeight="1">
      <c r="A6" s="129" t="s">
        <v>100</v>
      </c>
      <c r="B6" s="130" t="s">
        <v>101</v>
      </c>
      <c r="C6" s="130" t="s">
        <v>102</v>
      </c>
      <c r="D6" s="131" t="s">
        <v>103</v>
      </c>
      <c r="E6" s="131" t="s">
        <v>115</v>
      </c>
      <c r="F6" s="131" t="s">
        <v>105</v>
      </c>
      <c r="G6" s="132" t="s">
        <v>106</v>
      </c>
      <c r="H6" s="132" t="s">
        <v>107</v>
      </c>
      <c r="I6" s="126"/>
      <c r="J6" s="126"/>
    </row>
    <row r="7" ht="14.25" customHeight="1">
      <c r="A7" s="134" t="s">
        <v>123</v>
      </c>
      <c r="B7" s="135">
        <v>250000.0</v>
      </c>
      <c r="C7" s="135">
        <v>10000.0</v>
      </c>
      <c r="D7" s="135">
        <f t="shared" ref="D7:D8" si="1">B7+C7</f>
        <v>260000</v>
      </c>
      <c r="E7" s="135">
        <f>D10-D7</f>
        <v>260000</v>
      </c>
      <c r="F7" s="136"/>
      <c r="G7" s="144">
        <v>10000.0</v>
      </c>
      <c r="H7" s="144">
        <v>250000.0</v>
      </c>
      <c r="I7" s="126"/>
      <c r="J7" s="126"/>
    </row>
    <row r="8" ht="14.25" customHeight="1">
      <c r="A8" s="140" t="s">
        <v>124</v>
      </c>
      <c r="B8" s="141">
        <v>250000.0</v>
      </c>
      <c r="C8" s="141">
        <v>10000.0</v>
      </c>
      <c r="D8" s="135">
        <f t="shared" si="1"/>
        <v>260000</v>
      </c>
      <c r="E8" s="141">
        <f>E7-D8</f>
        <v>0</v>
      </c>
      <c r="F8" s="142"/>
      <c r="G8" s="144">
        <v>10000.0</v>
      </c>
      <c r="H8" s="144">
        <v>250000.0</v>
      </c>
      <c r="I8" s="126"/>
      <c r="J8" s="126"/>
    </row>
    <row r="9" ht="14.25" customHeight="1">
      <c r="A9" s="140"/>
      <c r="B9" s="141"/>
      <c r="C9" s="141"/>
      <c r="D9" s="141"/>
      <c r="E9" s="144" t="s">
        <v>121</v>
      </c>
      <c r="F9" s="142"/>
      <c r="G9" s="142"/>
      <c r="H9" s="142"/>
      <c r="I9" s="126"/>
      <c r="J9" s="126"/>
    </row>
    <row r="10" ht="14.25" customHeight="1">
      <c r="A10" s="125"/>
      <c r="B10" s="145">
        <f t="shared" ref="B10:E10" si="2">SUM(B7:B9)</f>
        <v>500000</v>
      </c>
      <c r="C10" s="145">
        <f t="shared" si="2"/>
        <v>20000</v>
      </c>
      <c r="D10" s="145">
        <f t="shared" si="2"/>
        <v>520000</v>
      </c>
      <c r="E10" s="145">
        <f t="shared" si="2"/>
        <v>260000</v>
      </c>
      <c r="F10" s="125"/>
      <c r="G10" s="123">
        <f t="shared" ref="G10:H10" si="3">SUM(G7:G9)</f>
        <v>20000</v>
      </c>
      <c r="H10" s="123">
        <f t="shared" si="3"/>
        <v>500000</v>
      </c>
      <c r="I10" s="139">
        <f>H10+G10</f>
        <v>520000</v>
      </c>
      <c r="J10" s="148">
        <f>I10-D10</f>
        <v>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2.29"/>
    <col customWidth="1" min="3" max="3" width="11.86"/>
    <col customWidth="1" min="4" max="4" width="12.57"/>
    <col customWidth="1" min="5" max="5" width="12.29"/>
    <col customWidth="1" min="6" max="6" width="14.57"/>
    <col customWidth="1" min="7" max="7" width="13.43"/>
    <col customWidth="1" min="8" max="8" width="15.29"/>
    <col customWidth="1" min="9" max="9" width="10.71"/>
    <col customWidth="1" min="10" max="10" width="12.71"/>
    <col customWidth="1" min="11" max="11" width="8.0"/>
    <col customWidth="1" min="12" max="12" width="9.57"/>
    <col customWidth="1" min="13" max="13" width="11.14"/>
    <col customWidth="1" min="14" max="15" width="8.0"/>
    <col customWidth="1" min="16" max="16" width="12.57"/>
    <col customWidth="1" min="17" max="26" width="8.0"/>
  </cols>
  <sheetData>
    <row r="1" ht="14.25" customHeight="1">
      <c r="A1" s="123" t="s">
        <v>122</v>
      </c>
      <c r="D1" s="124"/>
      <c r="E1" s="124"/>
      <c r="F1" s="124"/>
      <c r="G1" s="125"/>
      <c r="H1" s="125"/>
      <c r="I1" s="126"/>
      <c r="J1" s="126"/>
    </row>
    <row r="2" ht="14.25" customHeight="1">
      <c r="A2" s="123" t="s">
        <v>170</v>
      </c>
      <c r="F2" s="124"/>
      <c r="G2" s="125"/>
      <c r="H2" s="125"/>
      <c r="I2" s="126"/>
      <c r="J2" s="126"/>
    </row>
    <row r="3" ht="14.25" customHeight="1">
      <c r="A3" s="123" t="s">
        <v>112</v>
      </c>
      <c r="E3" s="124"/>
      <c r="F3" s="124"/>
      <c r="G3" s="125"/>
      <c r="H3" s="125"/>
      <c r="I3" s="126"/>
      <c r="J3" s="126"/>
    </row>
    <row r="4" ht="14.25" customHeight="1">
      <c r="A4" s="123" t="s">
        <v>113</v>
      </c>
      <c r="C4" s="124"/>
      <c r="D4" s="124"/>
      <c r="E4" s="124"/>
      <c r="F4" s="124"/>
      <c r="G4" s="125"/>
      <c r="H4" s="125"/>
      <c r="I4" s="126"/>
      <c r="J4" s="126"/>
    </row>
    <row r="5" ht="14.25" customHeight="1">
      <c r="A5" s="127" t="s">
        <v>114</v>
      </c>
      <c r="B5" s="128"/>
      <c r="C5" s="128"/>
      <c r="D5" s="124"/>
      <c r="E5" s="124"/>
      <c r="F5" s="124"/>
      <c r="G5" s="125"/>
      <c r="H5" s="125"/>
      <c r="I5" s="126"/>
      <c r="J5" s="126"/>
    </row>
    <row r="6" ht="14.25" customHeight="1">
      <c r="A6" s="129" t="s">
        <v>100</v>
      </c>
      <c r="B6" s="130" t="s">
        <v>101</v>
      </c>
      <c r="C6" s="130" t="s">
        <v>102</v>
      </c>
      <c r="D6" s="131" t="s">
        <v>103</v>
      </c>
      <c r="E6" s="131" t="s">
        <v>115</v>
      </c>
      <c r="F6" s="131" t="s">
        <v>105</v>
      </c>
      <c r="G6" s="132" t="s">
        <v>106</v>
      </c>
      <c r="H6" s="132" t="s">
        <v>107</v>
      </c>
      <c r="I6" s="126"/>
      <c r="J6" s="126"/>
    </row>
    <row r="7" ht="14.25" customHeight="1">
      <c r="A7" s="134" t="s">
        <v>123</v>
      </c>
      <c r="B7" s="135">
        <v>250000.0</v>
      </c>
      <c r="C7" s="135">
        <v>10000.0</v>
      </c>
      <c r="D7" s="135">
        <f t="shared" ref="D7:D8" si="1">B7+C7</f>
        <v>260000</v>
      </c>
      <c r="E7" s="135">
        <f>D10-D7</f>
        <v>260000</v>
      </c>
      <c r="F7" s="136"/>
      <c r="G7" s="144">
        <v>10000.0</v>
      </c>
      <c r="H7" s="144">
        <v>250000.0</v>
      </c>
      <c r="I7" s="139">
        <v>12500.0</v>
      </c>
      <c r="J7" s="139" t="s">
        <v>171</v>
      </c>
    </row>
    <row r="8" ht="14.25" customHeight="1">
      <c r="A8" s="140" t="s">
        <v>124</v>
      </c>
      <c r="B8" s="141">
        <v>250000.0</v>
      </c>
      <c r="C8" s="141">
        <v>10000.0</v>
      </c>
      <c r="D8" s="135">
        <f t="shared" si="1"/>
        <v>260000</v>
      </c>
      <c r="E8" s="135">
        <v>0.0</v>
      </c>
      <c r="F8" s="142"/>
      <c r="G8" s="144">
        <v>10000.0</v>
      </c>
      <c r="H8" s="144">
        <v>250000.0</v>
      </c>
      <c r="I8" s="126"/>
      <c r="J8" s="126"/>
    </row>
    <row r="9" ht="14.25" customHeight="1">
      <c r="A9" s="140"/>
      <c r="B9" s="141"/>
      <c r="C9" s="141"/>
      <c r="D9" s="141"/>
      <c r="E9" s="144"/>
      <c r="F9" s="142"/>
      <c r="G9" s="142"/>
      <c r="H9" s="142"/>
      <c r="I9" s="126"/>
      <c r="J9" s="126"/>
    </row>
    <row r="10" ht="14.25" customHeight="1">
      <c r="A10" s="125"/>
      <c r="B10" s="145">
        <f t="shared" ref="B10:E10" si="2">B7+B8</f>
        <v>500000</v>
      </c>
      <c r="C10" s="145">
        <f t="shared" si="2"/>
        <v>20000</v>
      </c>
      <c r="D10" s="145">
        <f t="shared" si="2"/>
        <v>520000</v>
      </c>
      <c r="E10" s="145">
        <f t="shared" si="2"/>
        <v>260000</v>
      </c>
      <c r="F10" s="125"/>
      <c r="G10" s="123">
        <f t="shared" ref="G10:H10" si="3">SUM(G7:G9)</f>
        <v>20000</v>
      </c>
      <c r="H10" s="123">
        <f t="shared" si="3"/>
        <v>500000</v>
      </c>
      <c r="I10" s="139">
        <f>G10+H10</f>
        <v>520000</v>
      </c>
      <c r="J10" s="148">
        <f>D10-I10</f>
        <v>0</v>
      </c>
    </row>
    <row r="11" ht="14.25" customHeight="1"/>
    <row r="12" ht="14.25" customHeight="1"/>
    <row r="13" ht="14.25" customHeight="1">
      <c r="F13" s="170">
        <f>532500-D10</f>
        <v>12500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5" max="5" width="13.14"/>
    <col customWidth="1" min="6" max="6" width="9.43"/>
    <col customWidth="1" min="9" max="9" width="8.86"/>
    <col customWidth="1" min="10" max="10" width="13.14"/>
  </cols>
  <sheetData>
    <row r="1">
      <c r="A1" s="123" t="s">
        <v>172</v>
      </c>
      <c r="D1" s="124"/>
      <c r="E1" s="124"/>
      <c r="F1" s="124"/>
      <c r="G1" s="125"/>
      <c r="H1" s="125"/>
      <c r="I1" s="126"/>
      <c r="J1" s="126"/>
    </row>
    <row r="2">
      <c r="A2" s="123" t="s">
        <v>173</v>
      </c>
      <c r="F2" s="124"/>
      <c r="G2" s="125"/>
      <c r="H2" s="125"/>
      <c r="I2" s="126"/>
      <c r="J2" s="126"/>
    </row>
    <row r="3">
      <c r="A3" s="123" t="s">
        <v>112</v>
      </c>
      <c r="E3" s="124"/>
      <c r="F3" s="124"/>
      <c r="G3" s="125"/>
      <c r="H3" s="125"/>
      <c r="I3" s="126"/>
      <c r="J3" s="126"/>
    </row>
    <row r="4">
      <c r="A4" s="123" t="s">
        <v>113</v>
      </c>
      <c r="C4" s="124"/>
      <c r="D4" s="124"/>
      <c r="E4" s="124"/>
      <c r="F4" s="124"/>
      <c r="G4" s="125"/>
      <c r="H4" s="125"/>
      <c r="I4" s="126"/>
      <c r="J4" s="126"/>
    </row>
    <row r="5">
      <c r="A5" s="127" t="s">
        <v>169</v>
      </c>
      <c r="B5" s="128"/>
      <c r="C5" s="128"/>
      <c r="D5" s="124"/>
      <c r="E5" s="124"/>
      <c r="F5" s="124"/>
      <c r="G5" s="125"/>
      <c r="H5" s="125"/>
      <c r="I5" s="126"/>
      <c r="J5" s="126"/>
    </row>
    <row r="6">
      <c r="A6" s="129" t="s">
        <v>100</v>
      </c>
      <c r="B6" s="130" t="s">
        <v>101</v>
      </c>
      <c r="C6" s="130" t="s">
        <v>102</v>
      </c>
      <c r="D6" s="131" t="s">
        <v>103</v>
      </c>
      <c r="E6" s="131" t="s">
        <v>115</v>
      </c>
      <c r="F6" s="131" t="s">
        <v>105</v>
      </c>
      <c r="G6" s="132" t="s">
        <v>106</v>
      </c>
      <c r="H6" s="132" t="s">
        <v>107</v>
      </c>
      <c r="I6" s="126"/>
      <c r="J6" s="126"/>
    </row>
    <row r="7">
      <c r="A7" s="171">
        <v>45358.0</v>
      </c>
      <c r="B7" s="135">
        <v>100000.0</v>
      </c>
      <c r="C7" s="135">
        <v>10000.0</v>
      </c>
      <c r="D7" s="135">
        <f t="shared" ref="D7:D11" si="1">B7+C7</f>
        <v>110000</v>
      </c>
      <c r="E7" s="135">
        <f>550000-D7</f>
        <v>440000</v>
      </c>
      <c r="F7" s="136"/>
      <c r="G7" s="135">
        <v>10000.0</v>
      </c>
      <c r="H7" s="135">
        <v>100000.0</v>
      </c>
      <c r="I7" s="139"/>
      <c r="J7" s="139"/>
    </row>
    <row r="8">
      <c r="A8" s="172">
        <v>45359.0</v>
      </c>
      <c r="B8" s="141">
        <v>100000.0</v>
      </c>
      <c r="C8" s="141">
        <v>10000.0</v>
      </c>
      <c r="D8" s="135">
        <f t="shared" si="1"/>
        <v>110000</v>
      </c>
      <c r="E8" s="135">
        <f t="shared" ref="E8:E11" si="2">E7-D8</f>
        <v>330000</v>
      </c>
      <c r="F8" s="142"/>
      <c r="G8" s="135">
        <v>10000.0</v>
      </c>
      <c r="H8" s="135">
        <v>100000.0</v>
      </c>
      <c r="I8" s="126">
        <f>D8*5/100</f>
        <v>5500</v>
      </c>
      <c r="J8" s="139" t="s">
        <v>174</v>
      </c>
    </row>
    <row r="9">
      <c r="A9" s="172">
        <v>45360.0</v>
      </c>
      <c r="B9" s="141">
        <v>100000.0</v>
      </c>
      <c r="C9" s="141">
        <v>10000.0</v>
      </c>
      <c r="D9" s="135">
        <f t="shared" si="1"/>
        <v>110000</v>
      </c>
      <c r="E9" s="135">
        <f t="shared" si="2"/>
        <v>220000</v>
      </c>
      <c r="F9" s="142"/>
      <c r="G9" s="173">
        <v>10000.0</v>
      </c>
      <c r="H9" s="173">
        <v>100000.0</v>
      </c>
      <c r="I9" s="126"/>
      <c r="J9" s="126"/>
    </row>
    <row r="10">
      <c r="A10" s="172">
        <v>45361.0</v>
      </c>
      <c r="B10" s="141">
        <v>100000.0</v>
      </c>
      <c r="C10" s="141"/>
      <c r="D10" s="135">
        <f t="shared" si="1"/>
        <v>100000</v>
      </c>
      <c r="E10" s="135">
        <f t="shared" si="2"/>
        <v>120000</v>
      </c>
      <c r="F10" s="174"/>
      <c r="G10" s="174"/>
      <c r="H10" s="134">
        <v>100000.0</v>
      </c>
      <c r="I10" s="126"/>
      <c r="J10" s="126"/>
    </row>
    <row r="11">
      <c r="A11" s="172">
        <v>45362.0</v>
      </c>
      <c r="B11" s="141">
        <v>100000.0</v>
      </c>
      <c r="C11" s="141"/>
      <c r="D11" s="135">
        <f t="shared" si="1"/>
        <v>100000</v>
      </c>
      <c r="E11" s="135">
        <f t="shared" si="2"/>
        <v>20000</v>
      </c>
      <c r="F11" s="175"/>
      <c r="G11" s="176"/>
      <c r="H11" s="134">
        <v>100000.0</v>
      </c>
      <c r="I11" s="177"/>
      <c r="J11" s="17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</row>
    <row r="12">
      <c r="A12" s="125"/>
      <c r="B12" s="145">
        <f t="shared" ref="B12:D12" si="3">SUM(B7:B11)</f>
        <v>500000</v>
      </c>
      <c r="C12" s="145">
        <f t="shared" si="3"/>
        <v>30000</v>
      </c>
      <c r="D12" s="145">
        <f t="shared" si="3"/>
        <v>530000</v>
      </c>
      <c r="E12" s="145"/>
      <c r="F12" s="125"/>
      <c r="G12" s="147">
        <f>SUM(G7:G10)</f>
        <v>30000</v>
      </c>
      <c r="H12" s="147">
        <f>SUM(H7:H11)</f>
        <v>500000</v>
      </c>
      <c r="I12" s="179">
        <f>G12+H12</f>
        <v>530000</v>
      </c>
      <c r="J12" s="148">
        <f>D12-I12</f>
        <v>0</v>
      </c>
    </row>
  </sheetData>
  <mergeCells count="5">
    <mergeCell ref="A1:C1"/>
    <mergeCell ref="A2:E2"/>
    <mergeCell ref="A3:D3"/>
    <mergeCell ref="A4:B4"/>
    <mergeCell ref="A5:C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2023-12-19T10:42:58Z</dcterms:created>
  <dc:creator>Jeanne Nshimirimana</dc:creator>
</cp:coreProperties>
</file>