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C7D" lockStructure="1" lockWindows="1"/>
  <bookViews>
    <workbookView windowWidth="20295" windowHeight="7950" firstSheet="2" activeTab="4"/>
  </bookViews>
  <sheets>
    <sheet name="投资决策分析模型" sheetId="1" r:id="rId1"/>
    <sheet name="经济寿命模型" sheetId="2" r:id="rId2"/>
    <sheet name="新旧设备资料模型" sheetId="3" r:id="rId3"/>
    <sheet name="Sheet2" sheetId="4" r:id="rId4"/>
    <sheet name="固定资产更新决策模型" sheetId="5" r:id="rId5"/>
  </sheets>
  <calcPr calcId="144525"/>
</workbook>
</file>

<file path=xl/sharedStrings.xml><?xml version="1.0" encoding="utf-8"?>
<sst xmlns="http://schemas.openxmlformats.org/spreadsheetml/2006/main" count="71">
  <si>
    <t>投资决策分析表</t>
  </si>
  <si>
    <t>资金成本：</t>
  </si>
  <si>
    <t>单位：元</t>
  </si>
  <si>
    <t>期间</t>
  </si>
  <si>
    <t>方案1</t>
  </si>
  <si>
    <t>方案2</t>
  </si>
  <si>
    <t>方案3</t>
  </si>
  <si>
    <t>期初投资</t>
  </si>
  <si>
    <t>第一年收益</t>
  </si>
  <si>
    <t>第二年收益</t>
  </si>
  <si>
    <t>第三年收益</t>
  </si>
  <si>
    <t>净现值</t>
  </si>
  <si>
    <t>内含报酬率</t>
  </si>
  <si>
    <t>现值指数</t>
  </si>
  <si>
    <t>分析结论：</t>
  </si>
  <si>
    <t>利用净现值进行分析，方案1和方案2的净现值均大于0，方案可行，最优方案为1。</t>
  </si>
  <si>
    <t>利用内含报酬率进行分析，方案1和方案2的内含报酬率均大于资本成本率12％，方案可行，最优方案为1。</t>
  </si>
  <si>
    <t>利用现值指数进行分析，方案1和方案2的现值指数均大于1，方案可行，最优方案为1。</t>
  </si>
  <si>
    <t>固定资产的更新决策（经济寿命）</t>
  </si>
  <si>
    <t>固定资产原值：</t>
  </si>
  <si>
    <t>年利率：</t>
  </si>
  <si>
    <t>更新年限</t>
  </si>
  <si>
    <t>固定资产原值</t>
  </si>
  <si>
    <t>预计残值</t>
  </si>
  <si>
    <t>残值现值</t>
  </si>
  <si>
    <t>运行成本</t>
  </si>
  <si>
    <t>运行成本现值</t>
  </si>
  <si>
    <t>更新时运行成本现值</t>
  </si>
  <si>
    <t>现值总成本</t>
  </si>
  <si>
    <t>平均年成本</t>
  </si>
  <si>
    <t>固定资产更新（继续使用旧设备还是购买新设备）决策的分析</t>
  </si>
  <si>
    <t>项目</t>
  </si>
  <si>
    <t>旧设备</t>
  </si>
  <si>
    <t>新设备</t>
  </si>
  <si>
    <t>备注</t>
  </si>
  <si>
    <t>1.所得税</t>
  </si>
  <si>
    <t>税法规定残值</t>
  </si>
  <si>
    <t>税法规定使用年限</t>
  </si>
  <si>
    <t>2.贴现率</t>
  </si>
  <si>
    <t>已经使用年限</t>
  </si>
  <si>
    <t>尚可使用年限</t>
  </si>
  <si>
    <t>3.折旧方法</t>
  </si>
  <si>
    <t>每年运行成本</t>
  </si>
  <si>
    <t xml:space="preserve">  1-直线法</t>
  </si>
  <si>
    <t>最终报废残值</t>
  </si>
  <si>
    <t xml:space="preserve">  2-年数总和法</t>
  </si>
  <si>
    <t>目前变现价值</t>
  </si>
  <si>
    <t xml:space="preserve">  3-双倍余额递减法</t>
  </si>
  <si>
    <t>折旧方法</t>
  </si>
  <si>
    <t>年限</t>
  </si>
  <si>
    <t>折旧额</t>
  </si>
  <si>
    <t>修理成本</t>
  </si>
  <si>
    <t>固定资产更新（继续使用旧设备还是购买新设备）决策表</t>
  </si>
  <si>
    <t>方案</t>
  </si>
  <si>
    <t>现金流量</t>
  </si>
  <si>
    <t>现值</t>
  </si>
  <si>
    <t>继续使用旧设备</t>
  </si>
  <si>
    <t>变现价值</t>
  </si>
  <si>
    <t>变现损失减税</t>
  </si>
  <si>
    <t>每年付现运行成本</t>
  </si>
  <si>
    <t>每年折旧抵税</t>
  </si>
  <si>
    <t>第一年</t>
  </si>
  <si>
    <t>第二年</t>
  </si>
  <si>
    <t>第三年</t>
  </si>
  <si>
    <t>第四年</t>
  </si>
  <si>
    <t>大修成本合计</t>
  </si>
  <si>
    <t>残值变现收入</t>
  </si>
  <si>
    <t>残值收入纳税</t>
  </si>
  <si>
    <t>合计</t>
  </si>
  <si>
    <t>购买新设备</t>
  </si>
  <si>
    <t>结论：因为新、旧设备的生产能力相同，尚可使用年限相同，因此可以通过比较两种方案的现金流出的总现值来判断方案的优劣。购买新设备方案中计算出的现值为39103.07元，而继续使用旧设备方案计算出的现值为22780.25元，因此可见继续使用旧设备比较好。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</si>
</sst>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8" formatCode="&quot;￥&quot;#,##0.00;[Red]&quot;￥&quot;\-#,##0.00"/>
    <numFmt numFmtId="176" formatCode="0.00_);[Red]\(0.00\)"/>
    <numFmt numFmtId="177" formatCode="0.00_ "/>
  </numFmts>
  <fonts count="30">
    <font>
      <sz val="12"/>
      <name val="宋体"/>
      <charset val="134"/>
    </font>
    <font>
      <b/>
      <sz val="12"/>
      <name val="宋体"/>
      <charset val="134"/>
    </font>
    <font>
      <b/>
      <sz val="14"/>
      <name val="华文行楷"/>
      <charset val="134"/>
    </font>
    <font>
      <sz val="11"/>
      <name val="宋体"/>
      <charset val="134"/>
    </font>
    <font>
      <b/>
      <sz val="16"/>
      <name val="华文行楷"/>
      <charset val="134"/>
    </font>
    <font>
      <b/>
      <sz val="18"/>
      <name val="华文行楷"/>
      <charset val="134"/>
    </font>
    <font>
      <sz val="12"/>
      <name val="华文隶书"/>
      <charset val="134"/>
    </font>
    <font>
      <sz val="16"/>
      <name val="华文行楷"/>
      <charset val="134"/>
    </font>
    <font>
      <sz val="7"/>
      <name val="宋体"/>
      <charset val="134"/>
    </font>
    <font>
      <sz val="8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2"/>
      <color indexed="36"/>
      <name val="宋体"/>
      <charset val="134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2"/>
      <color indexed="12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/>
    <xf numFmtId="0" fontId="10" fillId="15" borderId="0" applyNumberFormat="0" applyBorder="0" applyAlignment="0" applyProtection="0">
      <alignment vertical="center"/>
    </xf>
    <xf numFmtId="0" fontId="27" fillId="27" borderId="33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0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4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3" fillId="20" borderId="35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0" borderId="34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8" fillId="18" borderId="37" applyNumberFormat="0" applyAlignment="0" applyProtection="0">
      <alignment vertical="center"/>
    </xf>
    <xf numFmtId="0" fontId="21" fillId="18" borderId="33" applyNumberFormat="0" applyAlignment="0" applyProtection="0">
      <alignment vertical="center"/>
    </xf>
    <xf numFmtId="0" fontId="18" fillId="14" borderId="32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4" fillId="0" borderId="36" applyNumberFormat="0" applyFill="0" applyAlignment="0" applyProtection="0">
      <alignment vertical="center"/>
    </xf>
    <xf numFmtId="0" fontId="29" fillId="0" borderId="3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</cellStyleXfs>
  <cellXfs count="80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textRotation="255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textRotation="255"/>
    </xf>
    <xf numFmtId="8" fontId="3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8" fontId="3" fillId="0" borderId="8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textRotation="255"/>
    </xf>
    <xf numFmtId="177" fontId="3" fillId="0" borderId="2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4" fillId="0" borderId="17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vertical="center"/>
    </xf>
    <xf numFmtId="9" fontId="3" fillId="0" borderId="18" xfId="0" applyNumberFormat="1" applyFont="1" applyFill="1" applyBorder="1" applyAlignment="1">
      <alignment horizontal="right" vertical="center"/>
    </xf>
    <xf numFmtId="0" fontId="3" fillId="0" borderId="18" xfId="0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2" borderId="26" xfId="0" applyFont="1" applyFill="1" applyBorder="1" applyAlignment="1">
      <alignment vertical="center"/>
    </xf>
    <xf numFmtId="177" fontId="0" fillId="0" borderId="26" xfId="0" applyNumberFormat="1" applyFont="1" applyBorder="1" applyAlignment="1">
      <alignment horizontal="left" vertical="center"/>
    </xf>
    <xf numFmtId="0" fontId="0" fillId="0" borderId="27" xfId="0" applyFont="1" applyBorder="1" applyAlignment="1">
      <alignment horizontal="center" vertical="center"/>
    </xf>
    <xf numFmtId="0" fontId="0" fillId="2" borderId="26" xfId="0" applyFont="1" applyFill="1" applyBorder="1" applyAlignment="1">
      <alignment horizontal="right" vertical="center"/>
    </xf>
    <xf numFmtId="9" fontId="0" fillId="0" borderId="26" xfId="0" applyNumberFormat="1" applyFont="1" applyBorder="1" applyAlignment="1">
      <alignment horizontal="left" vertical="center"/>
    </xf>
    <xf numFmtId="0" fontId="0" fillId="2" borderId="26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177" fontId="3" fillId="0" borderId="26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9" fontId="0" fillId="0" borderId="0" xfId="0" applyNumberFormat="1" applyFont="1" applyFill="1" applyBorder="1" applyAlignment="1">
      <alignment horizontal="left"/>
    </xf>
    <xf numFmtId="8" fontId="0" fillId="0" borderId="0" xfId="0" applyNumberFormat="1" applyFont="1" applyFill="1" applyBorder="1" applyAlignment="1">
      <alignment horizontal="left"/>
    </xf>
    <xf numFmtId="0" fontId="5" fillId="0" borderId="28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1" fillId="2" borderId="26" xfId="0" applyFont="1" applyFill="1" applyBorder="1" applyAlignment="1">
      <alignment horizontal="center"/>
    </xf>
    <xf numFmtId="9" fontId="1" fillId="0" borderId="2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0" borderId="26" xfId="0" applyFont="1" applyBorder="1" applyAlignment="1">
      <alignment horizontal="center"/>
    </xf>
    <xf numFmtId="8" fontId="3" fillId="0" borderId="26" xfId="0" applyNumberFormat="1" applyFont="1" applyBorder="1" applyAlignment="1">
      <alignment horizontal="center"/>
    </xf>
    <xf numFmtId="9" fontId="3" fillId="0" borderId="26" xfId="0" applyNumberFormat="1" applyFont="1" applyBorder="1" applyAlignment="1">
      <alignment horizontal="center"/>
    </xf>
    <xf numFmtId="10" fontId="3" fillId="0" borderId="26" xfId="0" applyNumberFormat="1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0" xfId="0" applyFont="1" applyBorder="1"/>
    <xf numFmtId="0" fontId="3" fillId="0" borderId="21" xfId="0" applyFont="1" applyBorder="1"/>
    <xf numFmtId="0" fontId="3" fillId="0" borderId="24" xfId="0" applyFont="1" applyBorder="1"/>
    <xf numFmtId="0" fontId="3" fillId="0" borderId="25" xfId="0" applyFont="1" applyBorder="1"/>
    <xf numFmtId="0" fontId="8" fillId="3" borderId="0" xfId="0" applyFont="1" applyFill="1" applyAlignment="1">
      <alignment wrapText="1"/>
    </xf>
    <xf numFmtId="0" fontId="9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  <color rgb="00C0C0C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showGridLines="0" topLeftCell="A13" workbookViewId="0">
      <selection activeCell="B15" sqref="B15"/>
    </sheetView>
  </sheetViews>
  <sheetFormatPr defaultColWidth="9" defaultRowHeight="14.25"/>
  <cols>
    <col min="1" max="1" width="18.75" customWidth="1"/>
    <col min="2" max="3" width="21.25" customWidth="1"/>
    <col min="4" max="4" width="23.25" customWidth="1"/>
  </cols>
  <sheetData>
    <row r="1" s="61" customFormat="1" ht="32.45" customHeight="1" spans="1:4">
      <c r="A1" s="63" t="s">
        <v>0</v>
      </c>
      <c r="B1" s="63"/>
      <c r="C1" s="63"/>
      <c r="D1" s="63"/>
    </row>
    <row r="2" s="62" customFormat="1" ht="15.75" spans="1:4">
      <c r="A2" s="64" t="s">
        <v>1</v>
      </c>
      <c r="B2" s="65">
        <v>0.12</v>
      </c>
      <c r="C2" s="66"/>
      <c r="D2" s="64" t="s">
        <v>2</v>
      </c>
    </row>
    <row r="3" ht="15.75" spans="1:4">
      <c r="A3" s="67" t="s">
        <v>3</v>
      </c>
      <c r="B3" s="67" t="s">
        <v>4</v>
      </c>
      <c r="C3" s="67" t="s">
        <v>5</v>
      </c>
      <c r="D3" s="67" t="s">
        <v>6</v>
      </c>
    </row>
    <row r="4" ht="15.75" spans="1:4">
      <c r="A4" s="67" t="s">
        <v>7</v>
      </c>
      <c r="B4" s="68">
        <v>-20000</v>
      </c>
      <c r="C4" s="68">
        <v>-9000</v>
      </c>
      <c r="D4" s="68">
        <v>-12000</v>
      </c>
    </row>
    <row r="5" ht="15.75" spans="1:4">
      <c r="A5" s="67" t="s">
        <v>8</v>
      </c>
      <c r="B5" s="68">
        <v>11800</v>
      </c>
      <c r="C5" s="68">
        <v>1200</v>
      </c>
      <c r="D5" s="68">
        <v>5000</v>
      </c>
    </row>
    <row r="6" ht="15.75" spans="1:4">
      <c r="A6" s="67" t="s">
        <v>9</v>
      </c>
      <c r="B6" s="68">
        <v>14000</v>
      </c>
      <c r="C6" s="68">
        <v>5000</v>
      </c>
      <c r="D6" s="68">
        <v>4500</v>
      </c>
    </row>
    <row r="7" ht="15.75" spans="1:4">
      <c r="A7" s="67" t="s">
        <v>10</v>
      </c>
      <c r="B7" s="68"/>
      <c r="C7" s="68">
        <v>6000</v>
      </c>
      <c r="D7" s="68">
        <v>4800</v>
      </c>
    </row>
    <row r="8" ht="15.75" spans="1:4">
      <c r="A8" s="67" t="s">
        <v>11</v>
      </c>
      <c r="B8" s="69">
        <f>NPV($B$2,B4:B7)</f>
        <v>1514.66836734694</v>
      </c>
      <c r="C8" s="69">
        <f>NPV($B$2,C4:C7)</f>
        <v>292.92807684298</v>
      </c>
      <c r="D8" s="69">
        <f>NPV($B$2,D4:D7)</f>
        <v>-474.818435027074</v>
      </c>
    </row>
    <row r="9" ht="15.75" spans="1:4">
      <c r="A9" s="67" t="s">
        <v>12</v>
      </c>
      <c r="B9" s="70">
        <f>IRR(B4:B7,$B$2)</f>
        <v>0.182144294914869</v>
      </c>
      <c r="C9" s="70">
        <f>IRR(C4:C7,$B$2)</f>
        <v>0.137272867107822</v>
      </c>
      <c r="D9" s="70">
        <f>IRR(D4:D7,$B$2)</f>
        <v>0.0938233355961293</v>
      </c>
    </row>
    <row r="10" ht="15.75" spans="1:9">
      <c r="A10" s="67" t="s">
        <v>13</v>
      </c>
      <c r="B10" s="71">
        <f>NPV($B$2,B5:B7)/-B4</f>
        <v>1.08482142857143</v>
      </c>
      <c r="C10" s="71">
        <f>NPV($B$2,C5:C7)/-C4</f>
        <v>1.0364532717849</v>
      </c>
      <c r="D10" s="71">
        <f>NPV($B$2,D5:D7)/-D4</f>
        <v>0.955683612730806</v>
      </c>
      <c r="I10">
        <v>1</v>
      </c>
    </row>
    <row r="11" ht="15.75" spans="1:4">
      <c r="A11" s="67" t="s">
        <v>14</v>
      </c>
      <c r="B11" s="72"/>
      <c r="C11" s="72"/>
      <c r="D11" s="73"/>
    </row>
    <row r="12" ht="21.6" customHeight="1" spans="1:4">
      <c r="A12" s="74" t="s">
        <v>15</v>
      </c>
      <c r="B12" s="74"/>
      <c r="C12" s="74"/>
      <c r="D12" s="75"/>
    </row>
    <row r="13" ht="19.9" customHeight="1" spans="1:9">
      <c r="A13" s="74" t="s">
        <v>16</v>
      </c>
      <c r="B13" s="74"/>
      <c r="C13" s="74"/>
      <c r="D13" s="75"/>
      <c r="I13">
        <v>1</v>
      </c>
    </row>
    <row r="14" ht="21" customHeight="1" spans="1:7">
      <c r="A14" s="76" t="s">
        <v>17</v>
      </c>
      <c r="B14" s="76"/>
      <c r="C14" s="76"/>
      <c r="D14" s="77"/>
      <c r="G14">
        <v>1</v>
      </c>
    </row>
    <row r="15" ht="15"/>
    <row r="24" spans="2:6">
      <c r="B24" s="78"/>
      <c r="C24" s="79"/>
      <c r="F24">
        <v>1</v>
      </c>
    </row>
    <row r="25" spans="2:3">
      <c r="B25" s="78"/>
      <c r="C25" s="79"/>
    </row>
    <row r="26" spans="2:3">
      <c r="B26" s="78"/>
      <c r="C26" s="79"/>
    </row>
    <row r="27" spans="2:3">
      <c r="B27" s="78"/>
      <c r="C27" s="79"/>
    </row>
    <row r="28" spans="2:3">
      <c r="B28" s="78"/>
      <c r="C28" s="79"/>
    </row>
  </sheetData>
  <mergeCells count="2">
    <mergeCell ref="A1:D1"/>
    <mergeCell ref="B24:B28"/>
  </mergeCells>
  <pageMargins left="0.75" right="0.75" top="1" bottom="1" header="0.5" footer="0.5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topLeftCell="A10" workbookViewId="0">
      <selection activeCell="E19" sqref="E19"/>
    </sheetView>
  </sheetViews>
  <sheetFormatPr defaultColWidth="9" defaultRowHeight="14.25"/>
  <cols>
    <col min="1" max="1" width="9.625" style="41" customWidth="1"/>
    <col min="2" max="2" width="9.375" style="41"/>
    <col min="3" max="3" width="13.875" style="41" customWidth="1"/>
    <col min="4" max="4" width="10.5" style="41" customWidth="1"/>
    <col min="5" max="5" width="10.375" style="41" customWidth="1"/>
    <col min="6" max="6" width="9" style="41"/>
    <col min="7" max="7" width="12.625" style="41" customWidth="1"/>
    <col min="8" max="8" width="12.5" style="41" customWidth="1"/>
    <col min="9" max="9" width="11.25" style="41" customWidth="1"/>
    <col min="10" max="16384" width="8.75" style="41" customWidth="1"/>
  </cols>
  <sheetData>
    <row r="1" ht="36.6" customHeight="1" spans="1:9">
      <c r="A1" s="42" t="s">
        <v>18</v>
      </c>
      <c r="B1" s="43"/>
      <c r="C1" s="44"/>
      <c r="D1" s="44"/>
      <c r="E1" s="43"/>
      <c r="F1" s="43"/>
      <c r="G1" s="44"/>
      <c r="H1" s="44"/>
      <c r="I1" s="60"/>
    </row>
    <row r="2" s="39" customFormat="1" ht="20.45" customHeight="1" spans="1:9">
      <c r="A2" s="45"/>
      <c r="B2" s="46"/>
      <c r="C2" s="47" t="s">
        <v>19</v>
      </c>
      <c r="D2" s="48">
        <v>5000</v>
      </c>
      <c r="E2" s="49"/>
      <c r="F2" s="46"/>
      <c r="G2" s="50" t="s">
        <v>20</v>
      </c>
      <c r="H2" s="51">
        <v>0.1</v>
      </c>
      <c r="I2" s="49"/>
    </row>
    <row r="3" s="40" customFormat="1" ht="31.15" customHeight="1" spans="1:9">
      <c r="A3" s="52" t="s">
        <v>21</v>
      </c>
      <c r="B3" s="52" t="s">
        <v>22</v>
      </c>
      <c r="C3" s="52" t="s">
        <v>23</v>
      </c>
      <c r="D3" s="52" t="s">
        <v>24</v>
      </c>
      <c r="E3" s="52" t="s">
        <v>25</v>
      </c>
      <c r="F3" s="52" t="s">
        <v>26</v>
      </c>
      <c r="G3" s="52" t="s">
        <v>27</v>
      </c>
      <c r="H3" s="52" t="s">
        <v>28</v>
      </c>
      <c r="I3" s="52" t="s">
        <v>29</v>
      </c>
    </row>
    <row r="4" ht="19.9" customHeight="1" spans="1:9">
      <c r="A4" s="53">
        <v>1</v>
      </c>
      <c r="B4" s="54">
        <f t="shared" ref="B4:B9" si="0">D$2</f>
        <v>5000</v>
      </c>
      <c r="C4" s="54">
        <v>4000</v>
      </c>
      <c r="D4" s="54">
        <f t="shared" ref="D4:D9" si="1">-PV(H$2,A4,,C4)</f>
        <v>3636.36363636364</v>
      </c>
      <c r="E4" s="54">
        <v>500</v>
      </c>
      <c r="F4" s="54">
        <f t="shared" ref="F4:F9" si="2">-PV(H$2,A4,,E4)</f>
        <v>454.545454545455</v>
      </c>
      <c r="G4" s="54">
        <f>SUM(F$4:F4)</f>
        <v>454.545454545455</v>
      </c>
      <c r="H4" s="54">
        <f t="shared" ref="H4:H9" si="3">B4-C4+G4</f>
        <v>1454.54545454545</v>
      </c>
      <c r="I4" s="54">
        <f t="shared" ref="I4:I9" si="4">H4/(-PV(H$2,A4,1))</f>
        <v>1600</v>
      </c>
    </row>
    <row r="5" ht="19.9" customHeight="1" spans="1:9">
      <c r="A5" s="53">
        <v>2</v>
      </c>
      <c r="B5" s="54">
        <f t="shared" si="0"/>
        <v>5000</v>
      </c>
      <c r="C5" s="54">
        <v>3000</v>
      </c>
      <c r="D5" s="54">
        <f t="shared" si="1"/>
        <v>2479.33884297521</v>
      </c>
      <c r="E5" s="54">
        <v>800</v>
      </c>
      <c r="F5" s="54">
        <f t="shared" si="2"/>
        <v>661.157024793388</v>
      </c>
      <c r="G5" s="54">
        <f>SUM(F$4:F5)</f>
        <v>1115.70247933884</v>
      </c>
      <c r="H5" s="54">
        <f t="shared" si="3"/>
        <v>3115.70247933884</v>
      </c>
      <c r="I5" s="54">
        <f t="shared" si="4"/>
        <v>1795.23809523809</v>
      </c>
    </row>
    <row r="6" ht="19.9" customHeight="1" spans="1:9">
      <c r="A6" s="53">
        <v>3</v>
      </c>
      <c r="B6" s="54">
        <f t="shared" si="0"/>
        <v>5000</v>
      </c>
      <c r="C6" s="54">
        <v>2800</v>
      </c>
      <c r="D6" s="54">
        <f t="shared" si="1"/>
        <v>2103.68144252442</v>
      </c>
      <c r="E6" s="54">
        <v>1000</v>
      </c>
      <c r="F6" s="54">
        <f t="shared" si="2"/>
        <v>751.314800901578</v>
      </c>
      <c r="G6" s="54">
        <f>SUM(F$4:F6)</f>
        <v>1867.01728024042</v>
      </c>
      <c r="H6" s="54">
        <f t="shared" si="3"/>
        <v>4067.01728024042</v>
      </c>
      <c r="I6" s="54">
        <f t="shared" si="4"/>
        <v>1635.40785498489</v>
      </c>
    </row>
    <row r="7" ht="19.9" customHeight="1" spans="1:9">
      <c r="A7" s="53">
        <v>4</v>
      </c>
      <c r="B7" s="54">
        <f t="shared" si="0"/>
        <v>5000</v>
      </c>
      <c r="C7" s="54">
        <v>2000</v>
      </c>
      <c r="D7" s="54">
        <f t="shared" si="1"/>
        <v>1366.02691073014</v>
      </c>
      <c r="E7" s="54">
        <v>1200</v>
      </c>
      <c r="F7" s="54">
        <f t="shared" si="2"/>
        <v>819.616146438085</v>
      </c>
      <c r="G7" s="54">
        <f>SUM(F$4:F7)</f>
        <v>2686.63342667851</v>
      </c>
      <c r="H7" s="54">
        <f t="shared" si="3"/>
        <v>5686.63342667851</v>
      </c>
      <c r="I7" s="54">
        <f t="shared" si="4"/>
        <v>1793.96681749623</v>
      </c>
    </row>
    <row r="8" ht="19.9" customHeight="1" spans="1:9">
      <c r="A8" s="53">
        <v>5</v>
      </c>
      <c r="B8" s="54">
        <f t="shared" si="0"/>
        <v>5000</v>
      </c>
      <c r="C8" s="54">
        <v>1000</v>
      </c>
      <c r="D8" s="54">
        <f t="shared" si="1"/>
        <v>620.921323059155</v>
      </c>
      <c r="E8" s="54">
        <v>2000</v>
      </c>
      <c r="F8" s="54">
        <f t="shared" si="2"/>
        <v>1241.84264611831</v>
      </c>
      <c r="G8" s="54">
        <f>SUM(F$4:F8)</f>
        <v>3928.47607279682</v>
      </c>
      <c r="H8" s="54">
        <f t="shared" si="3"/>
        <v>7928.47607279682</v>
      </c>
      <c r="I8" s="54">
        <f t="shared" si="4"/>
        <v>2091.51201454521</v>
      </c>
    </row>
    <row r="9" ht="19.9" customHeight="1" spans="1:9">
      <c r="A9" s="53">
        <v>6</v>
      </c>
      <c r="B9" s="54">
        <f t="shared" si="0"/>
        <v>5000</v>
      </c>
      <c r="C9" s="54">
        <v>800</v>
      </c>
      <c r="D9" s="54">
        <f t="shared" si="1"/>
        <v>451.579144043022</v>
      </c>
      <c r="E9" s="54">
        <v>2500</v>
      </c>
      <c r="F9" s="54">
        <f t="shared" si="2"/>
        <v>1411.18482513444</v>
      </c>
      <c r="G9" s="54">
        <f>SUM(F$4:F9)</f>
        <v>5339.66089793126</v>
      </c>
      <c r="H9" s="54">
        <f t="shared" si="3"/>
        <v>9539.66089793126</v>
      </c>
      <c r="I9" s="54">
        <f t="shared" si="4"/>
        <v>2190.37654832217</v>
      </c>
    </row>
    <row r="10" ht="15" spans="2:12">
      <c r="B10" s="55"/>
      <c r="C10" s="55"/>
      <c r="D10" s="55"/>
      <c r="E10" s="55"/>
      <c r="F10" s="55"/>
      <c r="G10" s="55"/>
      <c r="H10" s="55"/>
      <c r="I10" s="55"/>
      <c r="L10" s="41">
        <v>1</v>
      </c>
    </row>
    <row r="11" spans="2:9">
      <c r="B11" s="55"/>
      <c r="C11" s="55"/>
      <c r="D11" s="55"/>
      <c r="E11" s="55"/>
      <c r="F11" s="55"/>
      <c r="G11" s="55"/>
      <c r="H11" s="55"/>
      <c r="I11" s="55"/>
    </row>
    <row r="12" spans="2:9">
      <c r="B12" s="55"/>
      <c r="C12" s="55"/>
      <c r="D12" s="55"/>
      <c r="E12" s="55"/>
      <c r="F12" s="55"/>
      <c r="G12" s="55"/>
      <c r="H12" s="55"/>
      <c r="I12" s="55"/>
    </row>
    <row r="13" spans="2:9">
      <c r="B13" s="55"/>
      <c r="C13" s="55"/>
      <c r="D13" s="55"/>
      <c r="E13" s="55"/>
      <c r="F13" s="55"/>
      <c r="G13" s="55"/>
      <c r="H13" s="55"/>
      <c r="I13" s="55"/>
    </row>
    <row r="18" spans="1:4">
      <c r="A18" s="56" t="s">
        <v>0</v>
      </c>
      <c r="B18" s="56"/>
      <c r="C18" s="56"/>
      <c r="D18" s="56"/>
    </row>
    <row r="19" spans="1:4">
      <c r="A19" s="57" t="s">
        <v>1</v>
      </c>
      <c r="B19" s="58"/>
      <c r="C19" s="57"/>
      <c r="D19" s="57" t="s">
        <v>2</v>
      </c>
    </row>
    <row r="20" spans="1:4">
      <c r="A20" s="57" t="s">
        <v>3</v>
      </c>
      <c r="B20" s="57" t="s">
        <v>4</v>
      </c>
      <c r="C20" s="57" t="s">
        <v>5</v>
      </c>
      <c r="D20" s="57" t="s">
        <v>6</v>
      </c>
    </row>
    <row r="21" spans="1:4">
      <c r="A21" s="57" t="s">
        <v>7</v>
      </c>
      <c r="B21" s="57">
        <v>-20000</v>
      </c>
      <c r="C21" s="57">
        <v>-9000</v>
      </c>
      <c r="D21" s="57">
        <v>-12000</v>
      </c>
    </row>
    <row r="22" spans="1:4">
      <c r="A22" s="57" t="s">
        <v>8</v>
      </c>
      <c r="B22" s="57">
        <v>11800</v>
      </c>
      <c r="C22" s="57">
        <v>1200</v>
      </c>
      <c r="D22" s="57">
        <v>5000</v>
      </c>
    </row>
    <row r="23" spans="1:4">
      <c r="A23" s="57" t="s">
        <v>9</v>
      </c>
      <c r="B23" s="57">
        <v>14000</v>
      </c>
      <c r="C23" s="57">
        <v>5000</v>
      </c>
      <c r="D23" s="57">
        <v>4500</v>
      </c>
    </row>
    <row r="24" spans="1:11">
      <c r="A24" s="57" t="s">
        <v>10</v>
      </c>
      <c r="B24" s="57"/>
      <c r="C24" s="57">
        <v>6000</v>
      </c>
      <c r="D24" s="57">
        <v>4800</v>
      </c>
      <c r="K24" s="41">
        <v>0</v>
      </c>
    </row>
    <row r="25" spans="1:4">
      <c r="A25" s="57" t="s">
        <v>11</v>
      </c>
      <c r="B25" s="59"/>
      <c r="C25" s="59"/>
      <c r="D25" s="59"/>
    </row>
    <row r="26" spans="1:4">
      <c r="A26" s="57" t="s">
        <v>12</v>
      </c>
      <c r="B26" s="57"/>
      <c r="C26" s="57"/>
      <c r="D26" s="57"/>
    </row>
    <row r="27" spans="1:4">
      <c r="A27" s="57" t="s">
        <v>13</v>
      </c>
      <c r="B27" s="57"/>
      <c r="C27" s="57"/>
      <c r="D27" s="57"/>
    </row>
    <row r="28" spans="1:4">
      <c r="A28" s="57" t="s">
        <v>14</v>
      </c>
      <c r="B28" s="57"/>
      <c r="C28" s="57"/>
      <c r="D28" s="57"/>
    </row>
  </sheetData>
  <mergeCells count="1">
    <mergeCell ref="A1:I1"/>
  </mergeCells>
  <pageMargins left="0.75" right="0.75" top="1" bottom="1" header="0.5" footer="0.5"/>
  <pageSetup paperSize="9" orientation="landscape" horizontalDpi="300" verticalDpi="3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E13" sqref="E13"/>
    </sheetView>
  </sheetViews>
  <sheetFormatPr defaultColWidth="9" defaultRowHeight="14.25" outlineLevelCol="7"/>
  <cols>
    <col min="1" max="1" width="18.125" style="2" customWidth="1"/>
    <col min="2" max="3" width="11.875" style="2" customWidth="1"/>
    <col min="4" max="5" width="12.25" style="2" customWidth="1"/>
    <col min="6" max="6" width="17.625" style="2" customWidth="1"/>
    <col min="7" max="16384" width="8.75" style="2" customWidth="1"/>
  </cols>
  <sheetData>
    <row r="1" ht="42.6" customHeight="1" spans="1:6">
      <c r="A1" s="30" t="s">
        <v>30</v>
      </c>
      <c r="B1" s="31"/>
      <c r="C1" s="31"/>
      <c r="D1" s="31"/>
      <c r="E1" s="31"/>
      <c r="F1" s="32"/>
    </row>
    <row r="2" s="1" customFormat="1" ht="19.15" customHeight="1" spans="1:6">
      <c r="A2" s="4" t="s">
        <v>31</v>
      </c>
      <c r="B2" s="4" t="s">
        <v>32</v>
      </c>
      <c r="C2" s="4"/>
      <c r="D2" s="4" t="s">
        <v>33</v>
      </c>
      <c r="E2" s="4"/>
      <c r="F2" s="33" t="s">
        <v>34</v>
      </c>
    </row>
    <row r="3" spans="1:6">
      <c r="A3" s="6" t="s">
        <v>22</v>
      </c>
      <c r="B3" s="15">
        <v>60000</v>
      </c>
      <c r="C3" s="15"/>
      <c r="D3" s="15">
        <v>50000</v>
      </c>
      <c r="E3" s="15"/>
      <c r="F3" s="34" t="s">
        <v>35</v>
      </c>
    </row>
    <row r="4" spans="1:6">
      <c r="A4" s="6" t="s">
        <v>36</v>
      </c>
      <c r="B4" s="15">
        <v>6000</v>
      </c>
      <c r="C4" s="15"/>
      <c r="D4" s="15">
        <v>5000</v>
      </c>
      <c r="E4" s="15"/>
      <c r="F4" s="35">
        <v>0.4</v>
      </c>
    </row>
    <row r="5" spans="1:6">
      <c r="A5" s="6" t="s">
        <v>37</v>
      </c>
      <c r="B5" s="6">
        <v>6</v>
      </c>
      <c r="C5" s="6"/>
      <c r="D5" s="6">
        <v>4</v>
      </c>
      <c r="E5" s="6"/>
      <c r="F5" s="34" t="s">
        <v>38</v>
      </c>
    </row>
    <row r="6" spans="1:6">
      <c r="A6" s="6" t="s">
        <v>39</v>
      </c>
      <c r="B6" s="6">
        <v>3</v>
      </c>
      <c r="C6" s="6"/>
      <c r="D6" s="6">
        <v>0</v>
      </c>
      <c r="E6" s="6"/>
      <c r="F6" s="35">
        <v>0.1</v>
      </c>
    </row>
    <row r="7" spans="1:6">
      <c r="A7" s="6" t="s">
        <v>40</v>
      </c>
      <c r="B7" s="6">
        <v>4</v>
      </c>
      <c r="C7" s="6"/>
      <c r="D7" s="6">
        <v>4</v>
      </c>
      <c r="E7" s="6"/>
      <c r="F7" s="34" t="s">
        <v>41</v>
      </c>
    </row>
    <row r="8" spans="1:6">
      <c r="A8" s="6" t="s">
        <v>42</v>
      </c>
      <c r="B8" s="15">
        <v>8600</v>
      </c>
      <c r="C8" s="15"/>
      <c r="D8" s="15">
        <v>5000</v>
      </c>
      <c r="E8" s="15"/>
      <c r="F8" s="34" t="s">
        <v>43</v>
      </c>
    </row>
    <row r="9" spans="1:6">
      <c r="A9" s="6" t="s">
        <v>44</v>
      </c>
      <c r="B9" s="15">
        <v>7000</v>
      </c>
      <c r="C9" s="15"/>
      <c r="D9" s="15">
        <v>10000</v>
      </c>
      <c r="E9" s="15"/>
      <c r="F9" s="34" t="s">
        <v>45</v>
      </c>
    </row>
    <row r="10" spans="1:6">
      <c r="A10" s="6" t="s">
        <v>46</v>
      </c>
      <c r="B10" s="15">
        <v>10000</v>
      </c>
      <c r="C10" s="15"/>
      <c r="D10" s="15"/>
      <c r="E10" s="15"/>
      <c r="F10" s="34" t="s">
        <v>47</v>
      </c>
    </row>
    <row r="11" spans="1:6">
      <c r="A11" s="6" t="s">
        <v>48</v>
      </c>
      <c r="B11" s="6">
        <v>1</v>
      </c>
      <c r="C11" s="6"/>
      <c r="D11" s="6">
        <v>2</v>
      </c>
      <c r="E11" s="6"/>
      <c r="F11" s="36"/>
    </row>
    <row r="12" ht="18" customHeight="1" spans="1:6">
      <c r="A12" s="4" t="s">
        <v>49</v>
      </c>
      <c r="B12" s="4" t="s">
        <v>50</v>
      </c>
      <c r="C12" s="4" t="s">
        <v>51</v>
      </c>
      <c r="D12" s="4" t="s">
        <v>50</v>
      </c>
      <c r="E12" s="4" t="s">
        <v>51</v>
      </c>
      <c r="F12" s="36"/>
    </row>
    <row r="13" spans="1:6">
      <c r="A13" s="6">
        <v>0</v>
      </c>
      <c r="B13" s="37"/>
      <c r="C13" s="37"/>
      <c r="D13" s="37"/>
      <c r="E13" s="37"/>
      <c r="F13" s="36"/>
    </row>
    <row r="14" spans="1:6">
      <c r="A14" s="6">
        <v>1</v>
      </c>
      <c r="B14" s="37">
        <f>IF(AND(A14&lt;=B$5-B$6,B$11=1),SLN(B$3,B$4,B$5),IF(AND(A14&lt;=B$5-B$6,B$11=2),SYD(B$3,B$4,B$5,B$6+A14),IF(AND(A14&lt;=B$5-B$6,B$11=3),DDB(B$3,B$4,B$5,B$6+A13,B$6+A14))))</f>
        <v>9000</v>
      </c>
      <c r="C14" s="37"/>
      <c r="D14" s="37">
        <f>IF(AND(A14&lt;=D$5-D$6,D$11=1),SLN(D$3,D$4,D$5),IF(AND(A14&lt;=D$5-D$6,D$11=2),SYD(D$3,D$4,D$5,A14),IF(AND(A14&lt;=D$5-D$6,D$11=3),DDB(D$3,D$4,D$5,A13,A14))))</f>
        <v>18000</v>
      </c>
      <c r="E14" s="37"/>
      <c r="F14" s="36"/>
    </row>
    <row r="15" spans="1:6">
      <c r="A15" s="6">
        <v>2</v>
      </c>
      <c r="B15" s="37">
        <f>SLN($B$3,$B$4,$B$5)</f>
        <v>9000</v>
      </c>
      <c r="C15" s="37">
        <v>28000</v>
      </c>
      <c r="D15" s="37">
        <f>SYD($D$3,$D$4,$D$5,A15)</f>
        <v>13500</v>
      </c>
      <c r="E15" s="37"/>
      <c r="F15" s="36"/>
    </row>
    <row r="16" spans="1:6">
      <c r="A16" s="6">
        <v>3</v>
      </c>
      <c r="B16" s="37">
        <f>SLN($B$3,$B$4,$B$5)</f>
        <v>9000</v>
      </c>
      <c r="C16" s="37"/>
      <c r="D16" s="37">
        <f>SYD($D$3,$D$4,$D$5,A16)</f>
        <v>9000</v>
      </c>
      <c r="E16" s="37"/>
      <c r="F16" s="36"/>
    </row>
    <row r="17" spans="1:6">
      <c r="A17" s="6">
        <v>4</v>
      </c>
      <c r="B17" s="37"/>
      <c r="C17" s="37"/>
      <c r="D17" s="37">
        <f>SYD($D$3,$D$4,$D$5,A17)</f>
        <v>4500</v>
      </c>
      <c r="E17" s="37"/>
      <c r="F17" s="36"/>
    </row>
    <row r="18" spans="1:6">
      <c r="A18" s="6">
        <v>5</v>
      </c>
      <c r="B18" s="37"/>
      <c r="C18" s="37"/>
      <c r="D18" s="37"/>
      <c r="E18" s="37"/>
      <c r="F18" s="38"/>
    </row>
    <row r="25" spans="8:8">
      <c r="H25" s="2">
        <v>1</v>
      </c>
    </row>
  </sheetData>
  <mergeCells count="21">
    <mergeCell ref="A1:F1"/>
    <mergeCell ref="B2:C2"/>
    <mergeCell ref="D2:E2"/>
    <mergeCell ref="B3:C3"/>
    <mergeCell ref="D3:E3"/>
    <mergeCell ref="B4:C4"/>
    <mergeCell ref="D4:E4"/>
    <mergeCell ref="B5:C5"/>
    <mergeCell ref="D5:E5"/>
    <mergeCell ref="B6:C6"/>
    <mergeCell ref="D6:E6"/>
    <mergeCell ref="B7:C7"/>
    <mergeCell ref="D7:E7"/>
    <mergeCell ref="B8:C8"/>
    <mergeCell ref="D8:E8"/>
    <mergeCell ref="B9:C9"/>
    <mergeCell ref="D9:E9"/>
    <mergeCell ref="B10:C10"/>
    <mergeCell ref="D10:E10"/>
    <mergeCell ref="B11:C11"/>
    <mergeCell ref="D11:E11"/>
  </mergeCells>
  <pageMargins left="0.75" right="0.75" top="1" bottom="1" header="0.5" footer="0.5"/>
  <pageSetup paperSize="9" orientation="landscape" horizontalDpi="300" verticalDpi="3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C19" sqref="C19"/>
    </sheetView>
  </sheetViews>
  <sheetFormatPr defaultColWidth="9" defaultRowHeight="14.25" outlineLevelCol="5"/>
  <cols>
    <col min="1" max="1" width="6.375" style="2" customWidth="1"/>
    <col min="2" max="2" width="20.25" style="2" customWidth="1"/>
    <col min="3" max="3" width="20.75" style="2" customWidth="1"/>
    <col min="4" max="4" width="23.75" style="2" customWidth="1"/>
    <col min="5" max="16384" width="8.75" style="2" customWidth="1"/>
  </cols>
  <sheetData>
    <row r="1" ht="31.15" customHeight="1" spans="1:4">
      <c r="A1" s="26" t="s">
        <v>52</v>
      </c>
      <c r="B1" s="27"/>
      <c r="C1" s="27"/>
      <c r="D1" s="28"/>
    </row>
    <row r="2" s="1" customFormat="1" ht="18" customHeight="1" spans="1:4">
      <c r="A2" s="4" t="s">
        <v>53</v>
      </c>
      <c r="B2" s="4" t="s">
        <v>31</v>
      </c>
      <c r="C2" s="4" t="s">
        <v>54</v>
      </c>
      <c r="D2" s="4" t="s">
        <v>55</v>
      </c>
    </row>
    <row r="3" spans="1:5">
      <c r="A3" s="5" t="s">
        <v>56</v>
      </c>
      <c r="B3" s="6" t="s">
        <v>57</v>
      </c>
      <c r="C3" s="6">
        <f>-新旧设备资料模型!B10</f>
        <v>-10000</v>
      </c>
      <c r="D3" s="6">
        <f>C3</f>
        <v>-10000</v>
      </c>
      <c r="E3" s="25"/>
    </row>
    <row r="4" spans="1:5">
      <c r="A4" s="7"/>
      <c r="B4" s="6" t="s">
        <v>58</v>
      </c>
      <c r="C4" s="6">
        <f>(新旧设备资料模型!B10-新旧设备资料模型!B13)*新旧设备资料模型!F4</f>
        <v>4000</v>
      </c>
      <c r="D4" s="6">
        <f>C4</f>
        <v>4000</v>
      </c>
      <c r="E4" s="25"/>
    </row>
    <row r="5" spans="1:5">
      <c r="A5" s="7"/>
      <c r="B5" s="6" t="s">
        <v>59</v>
      </c>
      <c r="C5" s="6">
        <f>-新旧设备资料模型!B8*(1-新旧设备资料模型!F4)</f>
        <v>-5160</v>
      </c>
      <c r="D5" s="8">
        <f>-PV(新旧设备资料模型!F6,新旧设备资料模型!B7,固定资产更新决策模型!C5)</f>
        <v>-16356.5057031624</v>
      </c>
      <c r="E5" s="25"/>
    </row>
    <row r="6" spans="1:5">
      <c r="A6" s="7"/>
      <c r="B6" s="9" t="s">
        <v>60</v>
      </c>
      <c r="C6" s="9"/>
      <c r="D6" s="10"/>
      <c r="E6" s="25"/>
    </row>
    <row r="7" spans="1:6">
      <c r="A7" s="7"/>
      <c r="B7" s="11" t="s">
        <v>61</v>
      </c>
      <c r="C7" s="11">
        <f>新旧设备资料模型!B14*新旧设备资料模型!F$4</f>
        <v>3600</v>
      </c>
      <c r="D7" s="12">
        <f>-PV(新旧设备资料模型!F$6,新旧设备资料模型!A14,,固定资产更新决策模型!C7)</f>
        <v>3272.72727272727</v>
      </c>
      <c r="E7" s="25"/>
      <c r="F7" s="2">
        <v>1</v>
      </c>
    </row>
    <row r="8" spans="1:5">
      <c r="A8" s="7"/>
      <c r="B8" s="11" t="s">
        <v>62</v>
      </c>
      <c r="C8" s="11">
        <f>新旧设备资料模型!B15*新旧设备资料模型!F$4</f>
        <v>3600</v>
      </c>
      <c r="D8" s="12">
        <f>-PV(新旧设备资料模型!F$6,新旧设备资料模型!A15,,固定资产更新决策模型!C8)</f>
        <v>2975.20661157025</v>
      </c>
      <c r="E8" s="25"/>
    </row>
    <row r="9" spans="1:5">
      <c r="A9" s="7"/>
      <c r="B9" s="11" t="s">
        <v>63</v>
      </c>
      <c r="C9" s="11">
        <f>新旧设备资料模型!B16*新旧设备资料模型!F$4</f>
        <v>3600</v>
      </c>
      <c r="D9" s="12">
        <f>-PV(新旧设备资料模型!F$6,新旧设备资料模型!A16,,固定资产更新决策模型!C9)</f>
        <v>2704.73328324568</v>
      </c>
      <c r="E9" s="25"/>
    </row>
    <row r="10" spans="1:5">
      <c r="A10" s="7"/>
      <c r="B10" s="13" t="s">
        <v>64</v>
      </c>
      <c r="C10" s="11">
        <f>新旧设备资料模型!B17*新旧设备资料模型!F$4</f>
        <v>0</v>
      </c>
      <c r="D10" s="12">
        <f>-PV(新旧设备资料模型!F$6,新旧设备资料模型!A17,,固定资产更新决策模型!C10)</f>
        <v>0</v>
      </c>
      <c r="E10" s="25"/>
    </row>
    <row r="11" spans="1:5">
      <c r="A11" s="7"/>
      <c r="B11" s="9" t="s">
        <v>65</v>
      </c>
      <c r="C11" s="9"/>
      <c r="D11" s="10"/>
      <c r="E11" s="25"/>
    </row>
    <row r="12" spans="1:5">
      <c r="A12" s="7"/>
      <c r="B12" s="11" t="s">
        <v>61</v>
      </c>
      <c r="C12" s="11">
        <f>-新旧设备资料模型!C14*(1-新旧设备资料模型!F$4)</f>
        <v>0</v>
      </c>
      <c r="D12" s="12">
        <f>-PV(新旧设备资料模型!F$6,新旧设备资料模型!A14,,固定资产更新决策模型!C12)</f>
        <v>0</v>
      </c>
      <c r="E12" s="25"/>
    </row>
    <row r="13" spans="1:5">
      <c r="A13" s="7"/>
      <c r="B13" s="11" t="s">
        <v>62</v>
      </c>
      <c r="C13" s="11">
        <f>-新旧设备资料模型!C15*(1-新旧设备资料模型!F$4)</f>
        <v>-16800</v>
      </c>
      <c r="D13" s="12">
        <f>-PV(新旧设备资料模型!F$6,新旧设备资料模型!A15,,固定资产更新决策模型!C13)</f>
        <v>-13884.2975206612</v>
      </c>
      <c r="E13" s="25"/>
    </row>
    <row r="14" spans="1:5">
      <c r="A14" s="7"/>
      <c r="B14" s="11" t="s">
        <v>63</v>
      </c>
      <c r="C14" s="11">
        <f>-新旧设备资料模型!C16*(1-新旧设备资料模型!F$4)</f>
        <v>0</v>
      </c>
      <c r="D14" s="12">
        <f>-PV(新旧设备资料模型!F$6,新旧设备资料模型!A16,,固定资产更新决策模型!C14)</f>
        <v>0</v>
      </c>
      <c r="E14" s="25"/>
    </row>
    <row r="15" spans="1:5">
      <c r="A15" s="7"/>
      <c r="B15" s="13" t="s">
        <v>64</v>
      </c>
      <c r="C15" s="11">
        <f>-新旧设备资料模型!C17*(1-新旧设备资料模型!F$4)</f>
        <v>0</v>
      </c>
      <c r="D15" s="12">
        <f>-PV(新旧设备资料模型!F$6,新旧设备资料模型!A17,,固定资产更新决策模型!C15)</f>
        <v>0</v>
      </c>
      <c r="E15" s="25"/>
    </row>
    <row r="16" spans="1:5">
      <c r="A16" s="7"/>
      <c r="B16" s="6" t="s">
        <v>66</v>
      </c>
      <c r="C16" s="6">
        <f>新旧设备资料模型!B9</f>
        <v>7000</v>
      </c>
      <c r="D16" s="8">
        <f>-PV(新旧设备资料模型!F$6,新旧设备资料模型!B$7,,固定资产更新决策模型!C16)</f>
        <v>4781.09418755549</v>
      </c>
      <c r="E16" s="25"/>
    </row>
    <row r="17" spans="1:5">
      <c r="A17" s="7"/>
      <c r="B17" s="6" t="s">
        <v>67</v>
      </c>
      <c r="C17" s="6">
        <f>(新旧设备资料模型!B4-固定资产更新决策模型!C16)*新旧设备资料模型!F4</f>
        <v>-400</v>
      </c>
      <c r="D17" s="8">
        <f>-PV(新旧设备资料模型!F$6,新旧设备资料模型!B$7,,固定资产更新决策模型!C17)</f>
        <v>-273.205382146028</v>
      </c>
      <c r="E17" s="25"/>
    </row>
    <row r="18" spans="1:5">
      <c r="A18" s="14"/>
      <c r="B18" s="6" t="s">
        <v>68</v>
      </c>
      <c r="C18" s="6"/>
      <c r="D18" s="15">
        <f>SUM(D3:D17)</f>
        <v>-22780.2472508709</v>
      </c>
      <c r="E18" s="25"/>
    </row>
    <row r="19" spans="3:3">
      <c r="C19" s="29"/>
    </row>
  </sheetData>
  <mergeCells count="2">
    <mergeCell ref="A1:D1"/>
    <mergeCell ref="A3:A18"/>
  </mergeCells>
  <pageMargins left="0.75" right="0.75" top="1" bottom="1" header="0.5" footer="0.5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tabSelected="1" workbookViewId="0">
      <selection activeCell="D23" sqref="D23"/>
    </sheetView>
  </sheetViews>
  <sheetFormatPr defaultColWidth="9" defaultRowHeight="14.25"/>
  <cols>
    <col min="1" max="1" width="6.25" style="2" customWidth="1"/>
    <col min="2" max="4" width="15.75" style="2" customWidth="1"/>
    <col min="5" max="5" width="6.25" style="2" customWidth="1"/>
    <col min="6" max="8" width="15.75" style="2" customWidth="1"/>
    <col min="9" max="16384" width="8.75" style="2" customWidth="1"/>
  </cols>
  <sheetData>
    <row r="1" ht="28.15" customHeight="1" spans="1:8">
      <c r="A1" s="3" t="s">
        <v>52</v>
      </c>
      <c r="B1" s="3"/>
      <c r="C1" s="3"/>
      <c r="D1" s="3"/>
      <c r="E1" s="3"/>
      <c r="F1" s="3"/>
      <c r="G1" s="3"/>
      <c r="H1" s="3"/>
    </row>
    <row r="2" s="1" customFormat="1" ht="19.15" customHeight="1" spans="1:8">
      <c r="A2" s="4" t="s">
        <v>53</v>
      </c>
      <c r="B2" s="4" t="s">
        <v>31</v>
      </c>
      <c r="C2" s="4" t="s">
        <v>54</v>
      </c>
      <c r="D2" s="4" t="s">
        <v>55</v>
      </c>
      <c r="E2" s="4" t="s">
        <v>53</v>
      </c>
      <c r="F2" s="4" t="s">
        <v>31</v>
      </c>
      <c r="G2" s="4" t="s">
        <v>54</v>
      </c>
      <c r="H2" s="4" t="s">
        <v>55</v>
      </c>
    </row>
    <row r="3" ht="14.45" customHeight="1" spans="1:8">
      <c r="A3" s="5" t="s">
        <v>56</v>
      </c>
      <c r="B3" s="6" t="s">
        <v>57</v>
      </c>
      <c r="C3" s="6">
        <f>-新旧设备资料模型!B10</f>
        <v>-10000</v>
      </c>
      <c r="D3" s="6">
        <f>C3</f>
        <v>-10000</v>
      </c>
      <c r="E3" s="5" t="s">
        <v>69</v>
      </c>
      <c r="F3" s="6" t="s">
        <v>57</v>
      </c>
      <c r="G3" s="6">
        <f>-新旧设备资料模型!D3</f>
        <v>-50000</v>
      </c>
      <c r="H3" s="6">
        <f>G3</f>
        <v>-50000</v>
      </c>
    </row>
    <row r="4" ht="15" customHeight="1" spans="1:8">
      <c r="A4" s="7"/>
      <c r="B4" s="6" t="s">
        <v>58</v>
      </c>
      <c r="C4" s="6">
        <f>(新旧设备资料模型!B10-新旧设备资料模型!B13)*新旧设备资料模型!F4</f>
        <v>4000</v>
      </c>
      <c r="D4" s="6">
        <f>C4</f>
        <v>4000</v>
      </c>
      <c r="E4" s="7"/>
      <c r="F4" s="6" t="s">
        <v>58</v>
      </c>
      <c r="G4" s="6">
        <f>(新旧设备资料模型!D10-新旧设备资料模型!D13)*新旧设备资料模型!F4</f>
        <v>0</v>
      </c>
      <c r="H4" s="6">
        <f>G4</f>
        <v>0</v>
      </c>
    </row>
    <row r="5" spans="1:8">
      <c r="A5" s="7"/>
      <c r="B5" s="6" t="s">
        <v>59</v>
      </c>
      <c r="C5" s="6">
        <f>-新旧设备资料模型!B8*(1-新旧设备资料模型!F4)</f>
        <v>-5160</v>
      </c>
      <c r="D5" s="8">
        <f>-PV(新旧设备资料模型!F6,新旧设备资料模型!B7,固定资产更新决策模型!C5)</f>
        <v>-16356.5057031624</v>
      </c>
      <c r="E5" s="7"/>
      <c r="F5" s="6" t="s">
        <v>59</v>
      </c>
      <c r="G5" s="6">
        <f>-新旧设备资料模型!D8*(1-新旧设备资料模型!F4)</f>
        <v>-3000</v>
      </c>
      <c r="H5" s="8">
        <f>-PV(新旧设备资料模型!F6,新旧设备资料模型!D7,固定资产更新决策模型!G5)</f>
        <v>-9509.59633904788</v>
      </c>
    </row>
    <row r="6" spans="1:8">
      <c r="A6" s="7"/>
      <c r="B6" s="9" t="s">
        <v>60</v>
      </c>
      <c r="C6" s="9"/>
      <c r="D6" s="10"/>
      <c r="E6" s="7"/>
      <c r="F6" s="9" t="s">
        <v>60</v>
      </c>
      <c r="G6" s="9"/>
      <c r="H6" s="10"/>
    </row>
    <row r="7" spans="1:8">
      <c r="A7" s="7"/>
      <c r="B7" s="11" t="s">
        <v>61</v>
      </c>
      <c r="C7" s="11">
        <f>新旧设备资料模型!B14*新旧设备资料模型!F$4</f>
        <v>3600</v>
      </c>
      <c r="D7" s="12">
        <f>-PV(新旧设备资料模型!F$6,新旧设备资料模型!A14,,固定资产更新决策模型!C7)</f>
        <v>3272.72727272727</v>
      </c>
      <c r="E7" s="7"/>
      <c r="F7" s="11" t="s">
        <v>61</v>
      </c>
      <c r="G7" s="11">
        <f>新旧设备资料模型!D14*新旧设备资料模型!F$4</f>
        <v>7200</v>
      </c>
      <c r="H7" s="12">
        <f>-PV(新旧设备资料模型!F$6,新旧设备资料模型!A14,,固定资产更新决策模型!G7)</f>
        <v>6545.45454545455</v>
      </c>
    </row>
    <row r="8" spans="1:8">
      <c r="A8" s="7"/>
      <c r="B8" s="11" t="s">
        <v>62</v>
      </c>
      <c r="C8" s="11">
        <f>新旧设备资料模型!B15*新旧设备资料模型!F$4</f>
        <v>3600</v>
      </c>
      <c r="D8" s="12">
        <f>-PV(新旧设备资料模型!F$6,新旧设备资料模型!A15,,固定资产更新决策模型!C8)</f>
        <v>2975.20661157025</v>
      </c>
      <c r="E8" s="7"/>
      <c r="F8" s="11" t="s">
        <v>62</v>
      </c>
      <c r="G8" s="11">
        <f>新旧设备资料模型!D15*新旧设备资料模型!F$4</f>
        <v>5400</v>
      </c>
      <c r="H8" s="12">
        <f>-PV(新旧设备资料模型!F$6,新旧设备资料模型!A15,,固定资产更新决策模型!G8)</f>
        <v>4462.80991735537</v>
      </c>
    </row>
    <row r="9" spans="1:8">
      <c r="A9" s="7"/>
      <c r="B9" s="11" t="s">
        <v>63</v>
      </c>
      <c r="C9" s="11">
        <f>新旧设备资料模型!B16*新旧设备资料模型!F$4</f>
        <v>3600</v>
      </c>
      <c r="D9" s="12">
        <f>-PV(新旧设备资料模型!F$6,新旧设备资料模型!A16,,固定资产更新决策模型!C9)</f>
        <v>2704.73328324568</v>
      </c>
      <c r="E9" s="7"/>
      <c r="F9" s="11" t="s">
        <v>63</v>
      </c>
      <c r="G9" s="11">
        <f>新旧设备资料模型!D16*新旧设备资料模型!F$4</f>
        <v>3600</v>
      </c>
      <c r="H9" s="12">
        <f>-PV(新旧设备资料模型!F$6,新旧设备资料模型!A16,,固定资产更新决策模型!G9)</f>
        <v>2704.73328324568</v>
      </c>
    </row>
    <row r="10" spans="1:8">
      <c r="A10" s="7"/>
      <c r="B10" s="13" t="s">
        <v>64</v>
      </c>
      <c r="C10" s="11">
        <f>新旧设备资料模型!B17*新旧设备资料模型!F$4</f>
        <v>0</v>
      </c>
      <c r="D10" s="12">
        <f>-PV(新旧设备资料模型!F$6,新旧设备资料模型!A17,,固定资产更新决策模型!C10)</f>
        <v>0</v>
      </c>
      <c r="E10" s="7"/>
      <c r="F10" s="13" t="s">
        <v>64</v>
      </c>
      <c r="G10" s="11">
        <f>新旧设备资料模型!D17*新旧设备资料模型!F$4</f>
        <v>1800</v>
      </c>
      <c r="H10" s="12">
        <f>-PV(新旧设备资料模型!F$6,新旧设备资料模型!A17,,固定资产更新决策模型!G10)</f>
        <v>1229.42421965713</v>
      </c>
    </row>
    <row r="11" spans="1:8">
      <c r="A11" s="7"/>
      <c r="B11" s="9" t="s">
        <v>65</v>
      </c>
      <c r="C11" s="9"/>
      <c r="D11" s="10"/>
      <c r="E11" s="7"/>
      <c r="F11" s="9" t="s">
        <v>65</v>
      </c>
      <c r="G11" s="9"/>
      <c r="H11" s="10"/>
    </row>
    <row r="12" spans="1:8">
      <c r="A12" s="7"/>
      <c r="B12" s="11" t="s">
        <v>61</v>
      </c>
      <c r="C12" s="11">
        <f>-新旧设备资料模型!C14*(1-新旧设备资料模型!F$4)</f>
        <v>0</v>
      </c>
      <c r="D12" s="12">
        <f>-PV(新旧设备资料模型!F$6,新旧设备资料模型!A14,,固定资产更新决策模型!C12)</f>
        <v>0</v>
      </c>
      <c r="E12" s="7"/>
      <c r="F12" s="11" t="s">
        <v>61</v>
      </c>
      <c r="G12" s="11">
        <f>-新旧设备资料模型!E14*(1-新旧设备资料模型!F$4)</f>
        <v>0</v>
      </c>
      <c r="H12" s="12">
        <f>-PV(新旧设备资料模型!F$6,新旧设备资料模型!E14,,固定资产更新决策模型!G12)</f>
        <v>0</v>
      </c>
    </row>
    <row r="13" spans="1:8">
      <c r="A13" s="7"/>
      <c r="B13" s="11" t="s">
        <v>62</v>
      </c>
      <c r="C13" s="11">
        <f>-新旧设备资料模型!C15*(1-新旧设备资料模型!F$4)</f>
        <v>-16800</v>
      </c>
      <c r="D13" s="12">
        <f>-PV(新旧设备资料模型!F$6,新旧设备资料模型!A15,,固定资产更新决策模型!C13)</f>
        <v>-13884.2975206612</v>
      </c>
      <c r="E13" s="7"/>
      <c r="F13" s="11" t="s">
        <v>62</v>
      </c>
      <c r="G13" s="11">
        <f>-新旧设备资料模型!E15*(1-新旧设备资料模型!F$4)</f>
        <v>0</v>
      </c>
      <c r="H13" s="12">
        <f>-PV(新旧设备资料模型!F$6,新旧设备资料模型!E15,,固定资产更新决策模型!G13)</f>
        <v>0</v>
      </c>
    </row>
    <row r="14" spans="1:8">
      <c r="A14" s="7"/>
      <c r="B14" s="11" t="s">
        <v>63</v>
      </c>
      <c r="C14" s="11">
        <f>-新旧设备资料模型!C16*(1-新旧设备资料模型!F$4)</f>
        <v>0</v>
      </c>
      <c r="D14" s="12">
        <f>-PV(新旧设备资料模型!F$6,新旧设备资料模型!A16,,固定资产更新决策模型!C14)</f>
        <v>0</v>
      </c>
      <c r="E14" s="7"/>
      <c r="F14" s="11" t="s">
        <v>63</v>
      </c>
      <c r="G14" s="11">
        <f>-新旧设备资料模型!E16*(1-新旧设备资料模型!F$4)</f>
        <v>0</v>
      </c>
      <c r="H14" s="12">
        <f>-PV(新旧设备资料模型!F$6,新旧设备资料模型!E16,,固定资产更新决策模型!G14)</f>
        <v>0</v>
      </c>
    </row>
    <row r="15" spans="1:8">
      <c r="A15" s="7"/>
      <c r="B15" s="13" t="s">
        <v>64</v>
      </c>
      <c r="C15" s="11">
        <f>-新旧设备资料模型!C17*(1-新旧设备资料模型!F$4)</f>
        <v>0</v>
      </c>
      <c r="D15" s="12">
        <f>-PV(新旧设备资料模型!F$6,新旧设备资料模型!A17,,固定资产更新决策模型!C15)</f>
        <v>0</v>
      </c>
      <c r="E15" s="7"/>
      <c r="F15" s="13" t="s">
        <v>64</v>
      </c>
      <c r="G15" s="11">
        <f>-新旧设备资料模型!E17*(1-新旧设备资料模型!F$4)</f>
        <v>0</v>
      </c>
      <c r="H15" s="12">
        <f>-PV(新旧设备资料模型!F$6,新旧设备资料模型!E17,,固定资产更新决策模型!G15)</f>
        <v>0</v>
      </c>
    </row>
    <row r="16" spans="1:8">
      <c r="A16" s="7"/>
      <c r="B16" s="6" t="s">
        <v>66</v>
      </c>
      <c r="C16" s="6">
        <f>新旧设备资料模型!B9</f>
        <v>7000</v>
      </c>
      <c r="D16" s="8">
        <f>-PV(新旧设备资料模型!F$6,新旧设备资料模型!B$7,,固定资产更新决策模型!C16)</f>
        <v>4781.09418755549</v>
      </c>
      <c r="E16" s="7"/>
      <c r="F16" s="6" t="s">
        <v>66</v>
      </c>
      <c r="G16" s="6">
        <f>新旧设备资料模型!D9</f>
        <v>10000</v>
      </c>
      <c r="H16" s="8">
        <f>-PV(新旧设备资料模型!F$6,新旧设备资料模型!D$7,,固定资产更新决策模型!G16)</f>
        <v>6830.13455365071</v>
      </c>
    </row>
    <row r="17" spans="1:8">
      <c r="A17" s="7"/>
      <c r="B17" s="6" t="s">
        <v>67</v>
      </c>
      <c r="C17" s="6">
        <f>(新旧设备资料模型!B4-固定资产更新决策模型!C16)*新旧设备资料模型!F4</f>
        <v>-400</v>
      </c>
      <c r="D17" s="8">
        <f>-PV(新旧设备资料模型!F$6,新旧设备资料模型!B$7,,固定资产更新决策模型!C17)</f>
        <v>-273.205382146028</v>
      </c>
      <c r="E17" s="7"/>
      <c r="F17" s="6" t="s">
        <v>67</v>
      </c>
      <c r="G17" s="6">
        <f>(新旧设备资料模型!D4-固定资产更新决策模型!G16)*新旧设备资料模型!F4</f>
        <v>-2000</v>
      </c>
      <c r="H17" s="8">
        <f>-PV(新旧设备资料模型!F$6,新旧设备资料模型!D$7,,固定资产更新决策模型!G17)</f>
        <v>-1366.02691073014</v>
      </c>
    </row>
    <row r="18" spans="1:8">
      <c r="A18" s="14"/>
      <c r="B18" s="6" t="s">
        <v>68</v>
      </c>
      <c r="C18" s="6"/>
      <c r="D18" s="15">
        <f>SUM(D3:D17)</f>
        <v>-22780.2472508709</v>
      </c>
      <c r="E18" s="14"/>
      <c r="F18" s="6" t="s">
        <v>68</v>
      </c>
      <c r="G18" s="6"/>
      <c r="H18" s="15">
        <f>SUM(H3:H17)</f>
        <v>-39103.0667304146</v>
      </c>
    </row>
    <row r="19" ht="11.45" customHeight="1" spans="1:8">
      <c r="A19" s="16" t="s">
        <v>70</v>
      </c>
      <c r="B19" s="17"/>
      <c r="C19" s="17"/>
      <c r="D19" s="17"/>
      <c r="E19" s="17"/>
      <c r="F19" s="17"/>
      <c r="G19" s="17"/>
      <c r="H19" s="18"/>
    </row>
    <row r="20" ht="11.45" customHeight="1" spans="1:8">
      <c r="A20" s="19"/>
      <c r="B20" s="20"/>
      <c r="C20" s="20"/>
      <c r="D20" s="20"/>
      <c r="E20" s="20"/>
      <c r="F20" s="20"/>
      <c r="G20" s="20"/>
      <c r="H20" s="21"/>
    </row>
    <row r="21" ht="10.9" customHeight="1" spans="1:8">
      <c r="A21" s="19"/>
      <c r="B21" s="20"/>
      <c r="C21" s="20"/>
      <c r="D21" s="20"/>
      <c r="E21" s="20"/>
      <c r="F21" s="20"/>
      <c r="G21" s="20"/>
      <c r="H21" s="21"/>
    </row>
    <row r="22" ht="4.15" customHeight="1" spans="1:8">
      <c r="A22" s="22"/>
      <c r="B22" s="23"/>
      <c r="C22" s="23"/>
      <c r="D22" s="23"/>
      <c r="E22" s="23"/>
      <c r="F22" s="23"/>
      <c r="G22" s="23"/>
      <c r="H22" s="24"/>
    </row>
    <row r="28" spans="11:11">
      <c r="K28" s="25"/>
    </row>
  </sheetData>
  <mergeCells count="4">
    <mergeCell ref="A1:H1"/>
    <mergeCell ref="A3:A18"/>
    <mergeCell ref="E3:E18"/>
    <mergeCell ref="A19:H22"/>
  </mergeCells>
  <pageMargins left="0.75" right="0.75" top="1" bottom="1" header="0.5" footer="0.5"/>
  <pageSetup paperSize="9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投资决策分析模型</vt:lpstr>
      <vt:lpstr>经济寿命模型</vt:lpstr>
      <vt:lpstr>新旧设备资料模型</vt:lpstr>
      <vt:lpstr>Sheet2</vt:lpstr>
      <vt:lpstr>固定资产更新决策模型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89360</cp:lastModifiedBy>
  <dcterms:created xsi:type="dcterms:W3CDTF">1996-12-17T01:32:42Z</dcterms:created>
  <cp:lastPrinted>2005-08-27T01:13:27Z</cp:lastPrinted>
  <dcterms:modified xsi:type="dcterms:W3CDTF">2017-09-01T04:10:11Z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