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95" windowHeight="7950" firstSheet="25" activeTab="25"/>
  </bookViews>
  <sheets>
    <sheet name="预计销售表" sheetId="1" r:id="rId1"/>
    <sheet name="预计制造费用明细表" sheetId="2" r:id="rId2"/>
    <sheet name="预计制造费用明细表 " sheetId="15" r:id="rId3"/>
    <sheet name="预计管理费用明细表" sheetId="4" r:id="rId4"/>
    <sheet name="预计定额成本" sheetId="5" r:id="rId5"/>
    <sheet name="预计投资收益和营业外收入支出表" sheetId="6" r:id="rId6"/>
    <sheet name="销售预算分析" sheetId="8" r:id="rId7"/>
    <sheet name="生产预算分析表公式" sheetId="9" r:id="rId8"/>
    <sheet name="生产预算分析表" sheetId="10" r:id="rId9"/>
    <sheet name="直接材料预算分析表公式" sheetId="12" r:id="rId10"/>
    <sheet name="直接材料预算分析表" sheetId="11" r:id="rId11"/>
    <sheet name="直接人工预算分析表公式" sheetId="14" r:id="rId12"/>
    <sheet name="直接人工预算分析表" sheetId="13" r:id="rId13"/>
    <sheet name="制造费用预算分析表公式" sheetId="17" r:id="rId14"/>
    <sheet name="制造费用预算分析表" sheetId="16" r:id="rId15"/>
    <sheet name="财务费用预算分析表" sheetId="18" r:id="rId16"/>
    <sheet name="财务费用预算分析表公式" sheetId="19" r:id="rId17"/>
    <sheet name="预计财务费用明细表" sheetId="3" r:id="rId18"/>
    <sheet name="管理费用预算分析表" sheetId="20" r:id="rId19"/>
    <sheet name="管理费用预算分析表公式 " sheetId="21" r:id="rId20"/>
    <sheet name="营业费用预算分析表" sheetId="22" r:id="rId21"/>
    <sheet name="营业费用预算分析表公式" sheetId="23" r:id="rId22"/>
    <sheet name="成本预算分析表公式" sheetId="25" r:id="rId23"/>
    <sheet name="产品成本预算分析表" sheetId="24" r:id="rId24"/>
    <sheet name="现金预算分析表" sheetId="26" r:id="rId25"/>
    <sheet name="损益表公式" sheetId="28" r:id="rId26"/>
    <sheet name="预算损益表" sheetId="27" r:id="rId27"/>
    <sheet name="资产负债表公式" sheetId="30" r:id="rId28"/>
    <sheet name="预算资产负债表" sheetId="29" r:id="rId29"/>
  </sheets>
  <externalReferences>
    <externalReference r:id="rId30"/>
  </externalReferences>
  <definedNames>
    <definedName name="期初余额">[1]总账!$D$2:$D$23</definedName>
    <definedName name="期末余额">[1]总账!$G$2:$G$23</definedName>
    <definedName name="总账科目">[1]总账!$A$2:$A$23</definedName>
  </definedNames>
  <calcPr calcId="144525"/>
</workbook>
</file>

<file path=xl/sharedStrings.xml><?xml version="1.0" encoding="utf-8"?>
<sst xmlns="http://schemas.openxmlformats.org/spreadsheetml/2006/main" count="219">
  <si>
    <t>预计销售表</t>
  </si>
  <si>
    <t>时         间</t>
  </si>
  <si>
    <t>销  售  量（件）</t>
  </si>
  <si>
    <t>第一季度</t>
  </si>
  <si>
    <t>第二季度</t>
  </si>
  <si>
    <t>第三季度</t>
  </si>
  <si>
    <t>第四季度</t>
  </si>
  <si>
    <t>销 售 合 计</t>
  </si>
  <si>
    <t>销售单价（元）</t>
  </si>
  <si>
    <t>预计制造费用明细表</t>
  </si>
  <si>
    <t>项     目</t>
  </si>
  <si>
    <t>金    额（元）</t>
  </si>
  <si>
    <t>工  资</t>
  </si>
  <si>
    <t>福利费</t>
  </si>
  <si>
    <t>修理费</t>
  </si>
  <si>
    <t>折旧费</t>
  </si>
  <si>
    <t>办公费</t>
  </si>
  <si>
    <t>水电费</t>
  </si>
  <si>
    <t>租赁费</t>
  </si>
  <si>
    <t>保险费</t>
  </si>
  <si>
    <t>物料消耗</t>
  </si>
  <si>
    <t>劳动保护</t>
  </si>
  <si>
    <t>其他费用</t>
  </si>
  <si>
    <t>费 用 合 计</t>
  </si>
  <si>
    <t xml:space="preserve">                                                  单位：元</t>
  </si>
  <si>
    <t>项目</t>
  </si>
  <si>
    <t>变动制造费用</t>
  </si>
  <si>
    <t>固定制造费用</t>
  </si>
  <si>
    <t>折旧费用</t>
  </si>
  <si>
    <t>费用合计</t>
  </si>
  <si>
    <t>预计管理费用明细表</t>
  </si>
  <si>
    <t>项              目</t>
  </si>
  <si>
    <t>金       额（元）</t>
  </si>
  <si>
    <t>差旅费</t>
  </si>
  <si>
    <t>招待费</t>
  </si>
  <si>
    <t>工会经费</t>
  </si>
  <si>
    <t>低值易耗品摊消</t>
  </si>
  <si>
    <t>其  他</t>
  </si>
  <si>
    <t>合           计</t>
  </si>
  <si>
    <t>预计定额成本</t>
  </si>
  <si>
    <t>数值</t>
  </si>
  <si>
    <t>单位产品材料消耗定额（千克）</t>
  </si>
  <si>
    <t>单位产品定时定额（工时）</t>
  </si>
  <si>
    <t>单位工时的工资率（元）</t>
  </si>
  <si>
    <t>预计投资收益和营业外收入支出表</t>
  </si>
  <si>
    <t>季度</t>
  </si>
  <si>
    <t>投资收益</t>
  </si>
  <si>
    <t>营业外收入</t>
  </si>
  <si>
    <t>营业外支出</t>
  </si>
  <si>
    <t>合   计</t>
  </si>
  <si>
    <t>销售预算</t>
  </si>
  <si>
    <t xml:space="preserve">                                                单位：元</t>
  </si>
  <si>
    <t>一</t>
  </si>
  <si>
    <t>二</t>
  </si>
  <si>
    <t>三</t>
  </si>
  <si>
    <t>四</t>
  </si>
  <si>
    <t>全年</t>
  </si>
  <si>
    <t>预计销售量（件）</t>
  </si>
  <si>
    <t>单位售价</t>
  </si>
  <si>
    <t>预计销售收入</t>
  </si>
  <si>
    <t>预计现金收入</t>
  </si>
  <si>
    <t xml:space="preserve">                                                 单位：元</t>
  </si>
  <si>
    <t>上年应收账款</t>
  </si>
  <si>
    <t>现金收入合计</t>
  </si>
  <si>
    <t>生产预算分析表</t>
  </si>
  <si>
    <t xml:space="preserve">                                                                         单位：件</t>
  </si>
  <si>
    <t>一季度</t>
  </si>
  <si>
    <t>二季度</t>
  </si>
  <si>
    <t>三季度</t>
  </si>
  <si>
    <t>四季度</t>
  </si>
  <si>
    <t>预计销售量</t>
  </si>
  <si>
    <t xml:space="preserve">  加：预计期末存货量</t>
  </si>
  <si>
    <t>预计需求量合计</t>
  </si>
  <si>
    <t xml:space="preserve">  减：预计期初存货量</t>
  </si>
  <si>
    <t>预计生产量</t>
  </si>
  <si>
    <t>直接材料消耗：</t>
  </si>
  <si>
    <t xml:space="preserve">  单位产品消耗定额（千克）</t>
  </si>
  <si>
    <t>直接人工消耗：</t>
  </si>
  <si>
    <t xml:space="preserve">  单位产品定时定额（工时）</t>
  </si>
  <si>
    <t xml:space="preserve">                                                            单位：件</t>
  </si>
  <si>
    <t>直接材料预算分析表</t>
  </si>
  <si>
    <t>预计生产需用量（件）</t>
  </si>
  <si>
    <t xml:space="preserve">  加：预计期末存量</t>
  </si>
  <si>
    <t xml:space="preserve">  减：预计期初存量</t>
  </si>
  <si>
    <t>预计材料采购量</t>
  </si>
  <si>
    <t>预计单价（元）</t>
  </si>
  <si>
    <t>预计金额</t>
  </si>
  <si>
    <t>预计现金支出</t>
  </si>
  <si>
    <t xml:space="preserve">                                                                         单位：元</t>
  </si>
  <si>
    <t>期初应付账款</t>
  </si>
  <si>
    <t>第一季度采购</t>
  </si>
  <si>
    <t>第二季度采购</t>
  </si>
  <si>
    <t>第三季度采购</t>
  </si>
  <si>
    <t>第四季度采购</t>
  </si>
  <si>
    <t>现 金 支 出 合 计</t>
  </si>
  <si>
    <t xml:space="preserve">                                                           单位：元</t>
  </si>
  <si>
    <t>直接人工预算分析表</t>
  </si>
  <si>
    <t xml:space="preserve">                                                               单位：元</t>
  </si>
  <si>
    <t>预计人工总工时（工时）</t>
  </si>
  <si>
    <t>单位工时的工资率</t>
  </si>
  <si>
    <t>预计人工总成本</t>
  </si>
  <si>
    <t>制造费用预算分析表</t>
  </si>
  <si>
    <t xml:space="preserve">                                                                                单位：元</t>
  </si>
  <si>
    <t>费用分配率（元/时）</t>
  </si>
  <si>
    <t>折旧</t>
  </si>
  <si>
    <t>现金支出的费用</t>
  </si>
  <si>
    <t>财务费用预算分析表</t>
  </si>
  <si>
    <t xml:space="preserve">                             单位：元</t>
  </si>
  <si>
    <t>金额</t>
  </si>
  <si>
    <t>利息支出</t>
  </si>
  <si>
    <t>减：利息收入</t>
  </si>
  <si>
    <t>汇兑损失</t>
  </si>
  <si>
    <t>减：汇兑收益</t>
  </si>
  <si>
    <t>手续费</t>
  </si>
  <si>
    <t>财务费用现金支出</t>
  </si>
  <si>
    <t>财务费用每季现金支出</t>
  </si>
  <si>
    <t>预计财务费用明细表</t>
  </si>
  <si>
    <t>项           目</t>
  </si>
  <si>
    <t>金     额（元）</t>
  </si>
  <si>
    <t>利息收入</t>
  </si>
  <si>
    <t>汇兑收益</t>
  </si>
  <si>
    <t>合        计</t>
  </si>
  <si>
    <t>管理费用预算分析表</t>
  </si>
  <si>
    <t>管理费用合计</t>
  </si>
  <si>
    <t xml:space="preserve">  减：折旧</t>
  </si>
  <si>
    <t xml:space="preserve">      低值易耗品摊销</t>
  </si>
  <si>
    <t>管理费用现金支出</t>
  </si>
  <si>
    <t>管理费用每季现金支出</t>
  </si>
  <si>
    <t>营业费用预算分析表</t>
  </si>
  <si>
    <t xml:space="preserve">                                                       单位：元</t>
  </si>
  <si>
    <t>工资</t>
  </si>
  <si>
    <t>业务费</t>
  </si>
  <si>
    <t>广告费</t>
  </si>
  <si>
    <t>运输费</t>
  </si>
  <si>
    <t>营业费用现金支出</t>
  </si>
  <si>
    <t xml:space="preserve">                                                                                  单位：元</t>
  </si>
  <si>
    <t>成本预算分析表</t>
  </si>
  <si>
    <t xml:space="preserve">                                                                        单位：元</t>
  </si>
  <si>
    <t>单位成本</t>
  </si>
  <si>
    <t>生产成本</t>
  </si>
  <si>
    <t>期末存货</t>
  </si>
  <si>
    <t>销货成本</t>
  </si>
  <si>
    <t>每千克或每小时单价（元）</t>
  </si>
  <si>
    <t>投入量</t>
  </si>
  <si>
    <t>成本</t>
  </si>
  <si>
    <t>直接材料</t>
  </si>
  <si>
    <t>直接人工</t>
  </si>
  <si>
    <t>合计</t>
  </si>
  <si>
    <t>现金预算分析表</t>
  </si>
  <si>
    <t xml:space="preserve">                                                                单位：元</t>
  </si>
  <si>
    <t>现金收入：</t>
  </si>
  <si>
    <t>期初现金余额</t>
  </si>
  <si>
    <t>加：销售现金收入</t>
  </si>
  <si>
    <t xml:space="preserve">    其他现金收入</t>
  </si>
  <si>
    <t>可供使用现金合计</t>
  </si>
  <si>
    <t>现金支出：</t>
  </si>
  <si>
    <t xml:space="preserve">  减：直接材料</t>
  </si>
  <si>
    <t xml:space="preserve">      直接人工</t>
  </si>
  <si>
    <t xml:space="preserve">      制造费用</t>
  </si>
  <si>
    <t xml:space="preserve">      管理费用</t>
  </si>
  <si>
    <t xml:space="preserve">      营业费用</t>
  </si>
  <si>
    <t xml:space="preserve">      财务费用</t>
  </si>
  <si>
    <t xml:space="preserve">      所得税</t>
  </si>
  <si>
    <t xml:space="preserve">      购买固定资产</t>
  </si>
  <si>
    <t xml:space="preserve">      其他现金支出</t>
  </si>
  <si>
    <t>现金支出合计</t>
  </si>
  <si>
    <t>现金溢余或短缺</t>
  </si>
  <si>
    <t>筹集资金：</t>
  </si>
  <si>
    <t>向银行借款</t>
  </si>
  <si>
    <t>归还借款</t>
  </si>
  <si>
    <t>借款利息（年利10％）</t>
  </si>
  <si>
    <t>筹集应用资金合计</t>
  </si>
  <si>
    <t>期末现金余额</t>
  </si>
  <si>
    <t>预算损益表</t>
  </si>
  <si>
    <t xml:space="preserve">                                           单位：元</t>
  </si>
  <si>
    <t>期末数</t>
  </si>
  <si>
    <t>一、主营业务收入</t>
  </si>
  <si>
    <t xml:space="preserve">    减：主营业务成本</t>
  </si>
  <si>
    <t>二、主营业务利润</t>
  </si>
  <si>
    <t xml:space="preserve">    减：营业费用</t>
  </si>
  <si>
    <t xml:space="preserve">        管理费用</t>
  </si>
  <si>
    <t xml:space="preserve">        财务费用</t>
  </si>
  <si>
    <t>三、营业利润</t>
  </si>
  <si>
    <t xml:space="preserve">    加：投资收益</t>
  </si>
  <si>
    <t xml:space="preserve">        营业外收入</t>
  </si>
  <si>
    <t xml:space="preserve">    减：营业外支出</t>
  </si>
  <si>
    <t>四、利润总额</t>
  </si>
  <si>
    <t xml:space="preserve">    减：所得税</t>
  </si>
  <si>
    <t>五、净利润</t>
  </si>
  <si>
    <t>资产负债表</t>
  </si>
  <si>
    <t xml:space="preserve">                                                                                     单位：元</t>
  </si>
  <si>
    <t>资产</t>
  </si>
  <si>
    <t>年初数</t>
  </si>
  <si>
    <t>年末数</t>
  </si>
  <si>
    <t>负债及所有者权益</t>
  </si>
  <si>
    <t>流动资产：</t>
  </si>
  <si>
    <t>流动负债：</t>
  </si>
  <si>
    <t>现金</t>
  </si>
  <si>
    <t>短期负债</t>
  </si>
  <si>
    <t>应收账款</t>
  </si>
  <si>
    <t>应付账款</t>
  </si>
  <si>
    <t>坏账准备</t>
  </si>
  <si>
    <t>应交税金</t>
  </si>
  <si>
    <t>应收账款净额</t>
  </si>
  <si>
    <t>存货</t>
  </si>
  <si>
    <t>流动资产合计</t>
  </si>
  <si>
    <t>流动负债合计</t>
  </si>
  <si>
    <t>固定资产：</t>
  </si>
  <si>
    <t>所有者权益：</t>
  </si>
  <si>
    <t>固定资产原值</t>
  </si>
  <si>
    <t>实收资本</t>
  </si>
  <si>
    <t>累计折旧</t>
  </si>
  <si>
    <t>盈余公积</t>
  </si>
  <si>
    <t>固定资产净值</t>
  </si>
  <si>
    <t>未分配利润</t>
  </si>
  <si>
    <t>固定资产合计</t>
  </si>
  <si>
    <t>所有者权益合计</t>
  </si>
  <si>
    <t>资产合计</t>
  </si>
  <si>
    <t>负债及所有者权益合计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</si>
</sst>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;_쐀"/>
    <numFmt numFmtId="177" formatCode="0.0;_쐀"/>
    <numFmt numFmtId="178" formatCode="0.00_);[Red]\(0.00\)"/>
    <numFmt numFmtId="179" formatCode="0;_쐀"/>
    <numFmt numFmtId="180" formatCode="0.00_ "/>
    <numFmt numFmtId="8" formatCode="&quot;￥&quot;#,##0.00;[Red]&quot;￥&quot;\-#,##0.00"/>
  </numFmts>
  <fonts count="30">
    <font>
      <sz val="12"/>
      <name val="宋体"/>
      <charset val="134"/>
    </font>
    <font>
      <b/>
      <sz val="16"/>
      <name val="华文行楷"/>
      <charset val="134"/>
    </font>
    <font>
      <b/>
      <sz val="12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b/>
      <sz val="8"/>
      <name val="宋体"/>
      <charset val="134"/>
    </font>
    <font>
      <sz val="8"/>
      <name val="宋体"/>
      <charset val="134"/>
    </font>
    <font>
      <b/>
      <sz val="14"/>
      <name val="华文行楷"/>
      <charset val="134"/>
    </font>
    <font>
      <sz val="10"/>
      <name val="宋体"/>
      <charset val="134"/>
    </font>
    <font>
      <sz val="9"/>
      <name val="宋体"/>
      <charset val="134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2"/>
      <color indexed="12"/>
      <name val="宋体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2"/>
      <color indexed="36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dashed">
        <color auto="1"/>
      </right>
      <top style="double">
        <color auto="1"/>
      </top>
      <bottom style="dashed">
        <color auto="1"/>
      </bottom>
      <diagonal/>
    </border>
    <border>
      <left/>
      <right style="dashed">
        <color auto="1"/>
      </right>
      <top style="double">
        <color auto="1"/>
      </top>
      <bottom style="dashed">
        <color auto="1"/>
      </bottom>
      <diagonal/>
    </border>
    <border>
      <left style="dashed">
        <color auto="1"/>
      </left>
      <right/>
      <top style="double">
        <color auto="1"/>
      </top>
      <bottom style="dashed">
        <color auto="1"/>
      </bottom>
      <diagonal/>
    </border>
    <border>
      <left style="dashed">
        <color auto="1"/>
      </left>
      <right style="double">
        <color auto="1"/>
      </right>
      <top style="double">
        <color auto="1"/>
      </top>
      <bottom style="dashed">
        <color auto="1"/>
      </bottom>
      <diagonal/>
    </border>
    <border>
      <left style="double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 style="dashed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dashed">
        <color auto="1"/>
      </right>
      <top style="dashed">
        <color auto="1"/>
      </top>
      <bottom style="double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ouble">
        <color auto="1"/>
      </bottom>
      <diagonal/>
    </border>
    <border>
      <left style="dashed">
        <color auto="1"/>
      </left>
      <right/>
      <top style="dashed">
        <color auto="1"/>
      </top>
      <bottom style="double">
        <color auto="1"/>
      </bottom>
      <diagonal/>
    </border>
    <border>
      <left style="dashed">
        <color auto="1"/>
      </left>
      <right style="double">
        <color auto="1"/>
      </right>
      <top style="dashed">
        <color auto="1"/>
      </top>
      <bottom style="double">
        <color auto="1"/>
      </bottom>
      <diagonal/>
    </border>
    <border>
      <left style="dashed">
        <color auto="1"/>
      </left>
      <right style="dashed">
        <color auto="1"/>
      </right>
      <top style="double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medium">
        <color auto="1"/>
      </right>
      <top/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double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ouble">
        <color auto="1"/>
      </right>
      <top/>
      <bottom style="dashed">
        <color auto="1"/>
      </bottom>
      <diagonal/>
    </border>
    <border>
      <left/>
      <right/>
      <top style="double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/>
    <xf numFmtId="0" fontId="18" fillId="16" borderId="0" applyNumberFormat="0" applyBorder="0" applyAlignment="0" applyProtection="0">
      <alignment vertical="center"/>
    </xf>
    <xf numFmtId="0" fontId="15" fillId="4" borderId="37" applyNumberFormat="0" applyAlignment="0" applyProtection="0">
      <alignment vertical="center"/>
    </xf>
    <xf numFmtId="44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8" fillId="1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17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20" borderId="41" applyNumberFormat="0" applyFon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6" applyNumberFormat="0" applyFill="0" applyAlignment="0" applyProtection="0">
      <alignment vertical="center"/>
    </xf>
    <xf numFmtId="0" fontId="10" fillId="0" borderId="36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2" fillId="3" borderId="39" applyNumberFormat="0" applyAlignment="0" applyProtection="0">
      <alignment vertical="center"/>
    </xf>
    <xf numFmtId="0" fontId="11" fillId="3" borderId="37" applyNumberFormat="0" applyAlignment="0" applyProtection="0">
      <alignment vertical="center"/>
    </xf>
    <xf numFmtId="0" fontId="27" fillId="21" borderId="42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0" borderId="43" applyNumberFormat="0" applyFill="0" applyAlignment="0" applyProtection="0">
      <alignment vertical="center"/>
    </xf>
    <xf numFmtId="0" fontId="21" fillId="0" borderId="38" applyNumberFormat="0" applyFill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</cellStyleXfs>
  <cellXfs count="21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180" fontId="3" fillId="0" borderId="7" xfId="0" applyNumberFormat="1" applyFont="1" applyBorder="1" applyAlignment="1">
      <alignment horizontal="center" vertical="center"/>
    </xf>
    <xf numFmtId="180" fontId="3" fillId="0" borderId="8" xfId="0" applyNumberFormat="1" applyFont="1" applyBorder="1" applyAlignment="1">
      <alignment horizontal="center" vertical="center"/>
    </xf>
    <xf numFmtId="178" fontId="3" fillId="0" borderId="8" xfId="0" applyNumberFormat="1" applyFont="1" applyBorder="1" applyAlignment="1">
      <alignment horizontal="center" vertical="center"/>
    </xf>
    <xf numFmtId="180" fontId="3" fillId="0" borderId="9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80" fontId="4" fillId="2" borderId="7" xfId="0" applyNumberFormat="1" applyFont="1" applyFill="1" applyBorder="1" applyAlignment="1">
      <alignment horizontal="center" vertical="center"/>
    </xf>
    <xf numFmtId="180" fontId="4" fillId="2" borderId="8" xfId="0" applyNumberFormat="1" applyFont="1" applyFill="1" applyBorder="1" applyAlignment="1">
      <alignment horizontal="center" vertical="center"/>
    </xf>
    <xf numFmtId="178" fontId="4" fillId="2" borderId="10" xfId="0" applyNumberFormat="1" applyFont="1" applyFill="1" applyBorder="1" applyAlignment="1">
      <alignment horizontal="center" vertical="center"/>
    </xf>
    <xf numFmtId="180" fontId="4" fillId="2" borderId="9" xfId="0" applyNumberFormat="1" applyFont="1" applyFill="1" applyBorder="1" applyAlignment="1">
      <alignment horizontal="center" vertical="center"/>
    </xf>
    <xf numFmtId="180" fontId="3" fillId="0" borderId="7" xfId="0" applyNumberFormat="1" applyFont="1" applyBorder="1" applyAlignment="1">
      <alignment vertical="center"/>
    </xf>
    <xf numFmtId="180" fontId="3" fillId="0" borderId="8" xfId="0" applyNumberFormat="1" applyFont="1" applyBorder="1" applyAlignment="1">
      <alignment vertical="center"/>
    </xf>
    <xf numFmtId="178" fontId="3" fillId="0" borderId="8" xfId="0" applyNumberFormat="1" applyFont="1" applyBorder="1" applyAlignment="1">
      <alignment vertical="center"/>
    </xf>
    <xf numFmtId="180" fontId="3" fillId="0" borderId="9" xfId="0" applyNumberFormat="1" applyFont="1" applyBorder="1" applyAlignment="1">
      <alignment vertical="center"/>
    </xf>
    <xf numFmtId="180" fontId="4" fillId="2" borderId="10" xfId="0" applyNumberFormat="1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80" fontId="4" fillId="2" borderId="12" xfId="0" applyNumberFormat="1" applyFont="1" applyFill="1" applyBorder="1" applyAlignment="1">
      <alignment horizontal="center" vertical="center"/>
    </xf>
    <xf numFmtId="180" fontId="4" fillId="2" borderId="13" xfId="0" applyNumberFormat="1" applyFont="1" applyFill="1" applyBorder="1" applyAlignment="1">
      <alignment horizontal="center" vertical="center"/>
    </xf>
    <xf numFmtId="178" fontId="4" fillId="2" borderId="12" xfId="0" applyNumberFormat="1" applyFont="1" applyFill="1" applyBorder="1" applyAlignment="1">
      <alignment horizontal="center" vertical="center"/>
    </xf>
    <xf numFmtId="180" fontId="4" fillId="2" borderId="14" xfId="0" applyNumberFormat="1" applyFont="1" applyFill="1" applyBorder="1" applyAlignment="1">
      <alignment horizontal="center" vertical="center"/>
    </xf>
    <xf numFmtId="180" fontId="0" fillId="0" borderId="0" xfId="0" applyNumberFormat="1"/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0" xfId="0" applyFont="1"/>
    <xf numFmtId="0" fontId="6" fillId="0" borderId="6" xfId="0" applyFont="1" applyBorder="1" applyAlignment="1">
      <alignment horizontal="center" vertical="center"/>
    </xf>
    <xf numFmtId="180" fontId="6" fillId="0" borderId="7" xfId="0" applyNumberFormat="1" applyFont="1" applyBorder="1" applyAlignment="1">
      <alignment horizontal="center" vertical="center"/>
    </xf>
    <xf numFmtId="180" fontId="6" fillId="0" borderId="8" xfId="0" applyNumberFormat="1" applyFont="1" applyBorder="1" applyAlignment="1">
      <alignment horizontal="center" vertical="center"/>
    </xf>
    <xf numFmtId="178" fontId="6" fillId="0" borderId="8" xfId="0" applyNumberFormat="1" applyFont="1" applyBorder="1" applyAlignment="1">
      <alignment horizontal="center" vertical="center"/>
    </xf>
    <xf numFmtId="180" fontId="6" fillId="0" borderId="9" xfId="0" applyNumberFormat="1" applyFont="1" applyBorder="1" applyAlignment="1">
      <alignment horizontal="center" vertical="center"/>
    </xf>
    <xf numFmtId="180" fontId="6" fillId="0" borderId="8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180" fontId="5" fillId="2" borderId="7" xfId="0" applyNumberFormat="1" applyFont="1" applyFill="1" applyBorder="1" applyAlignment="1">
      <alignment horizontal="center" vertical="center"/>
    </xf>
    <xf numFmtId="180" fontId="5" fillId="2" borderId="8" xfId="0" applyNumberFormat="1" applyFont="1" applyFill="1" applyBorder="1" applyAlignment="1">
      <alignment horizontal="center" vertical="center"/>
    </xf>
    <xf numFmtId="178" fontId="5" fillId="2" borderId="10" xfId="0" applyNumberFormat="1" applyFont="1" applyFill="1" applyBorder="1" applyAlignment="1">
      <alignment horizontal="center" vertical="center"/>
    </xf>
    <xf numFmtId="180" fontId="5" fillId="2" borderId="9" xfId="0" applyNumberFormat="1" applyFont="1" applyFill="1" applyBorder="1" applyAlignment="1">
      <alignment horizontal="center" vertical="center"/>
    </xf>
    <xf numFmtId="180" fontId="6" fillId="0" borderId="7" xfId="0" applyNumberFormat="1" applyFont="1" applyBorder="1" applyAlignment="1">
      <alignment vertical="center"/>
    </xf>
    <xf numFmtId="180" fontId="6" fillId="0" borderId="8" xfId="0" applyNumberFormat="1" applyFont="1" applyBorder="1" applyAlignment="1">
      <alignment vertical="center"/>
    </xf>
    <xf numFmtId="178" fontId="6" fillId="0" borderId="8" xfId="0" applyNumberFormat="1" applyFont="1" applyBorder="1" applyAlignment="1">
      <alignment vertical="center"/>
    </xf>
    <xf numFmtId="180" fontId="6" fillId="0" borderId="9" xfId="0" applyNumberFormat="1" applyFont="1" applyBorder="1" applyAlignment="1">
      <alignment vertical="center"/>
    </xf>
    <xf numFmtId="180" fontId="5" fillId="2" borderId="10" xfId="0" applyNumberFormat="1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80" fontId="5" fillId="2" borderId="12" xfId="0" applyNumberFormat="1" applyFont="1" applyFill="1" applyBorder="1" applyAlignment="1">
      <alignment horizontal="center" vertical="center"/>
    </xf>
    <xf numFmtId="180" fontId="5" fillId="2" borderId="13" xfId="0" applyNumberFormat="1" applyFont="1" applyFill="1" applyBorder="1" applyAlignment="1">
      <alignment horizontal="center" vertical="center"/>
    </xf>
    <xf numFmtId="178" fontId="5" fillId="2" borderId="12" xfId="0" applyNumberFormat="1" applyFont="1" applyFill="1" applyBorder="1" applyAlignment="1">
      <alignment horizontal="center" vertical="center"/>
    </xf>
    <xf numFmtId="180" fontId="5" fillId="2" borderId="14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6" xfId="0" applyFont="1" applyBorder="1"/>
    <xf numFmtId="180" fontId="3" fillId="0" borderId="9" xfId="0" applyNumberFormat="1" applyFont="1" applyBorder="1" applyAlignment="1">
      <alignment horizontal="center"/>
    </xf>
    <xf numFmtId="0" fontId="3" fillId="2" borderId="6" xfId="0" applyFont="1" applyFill="1" applyBorder="1"/>
    <xf numFmtId="180" fontId="3" fillId="2" borderId="9" xfId="0" applyNumberFormat="1" applyFont="1" applyFill="1" applyBorder="1" applyAlignment="1">
      <alignment horizontal="center"/>
    </xf>
    <xf numFmtId="0" fontId="3" fillId="2" borderId="11" xfId="0" applyFont="1" applyFill="1" applyBorder="1"/>
    <xf numFmtId="180" fontId="3" fillId="2" borderId="14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8" fillId="0" borderId="6" xfId="0" applyFont="1" applyFill="1" applyBorder="1"/>
    <xf numFmtId="0" fontId="8" fillId="0" borderId="10" xfId="0" applyFont="1" applyBorder="1"/>
    <xf numFmtId="0" fontId="8" fillId="0" borderId="9" xfId="0" applyFont="1" applyBorder="1"/>
    <xf numFmtId="0" fontId="8" fillId="0" borderId="6" xfId="0" applyFont="1" applyBorder="1" applyAlignment="1">
      <alignment horizontal="center"/>
    </xf>
    <xf numFmtId="180" fontId="8" fillId="0" borderId="10" xfId="0" applyNumberFormat="1" applyFont="1" applyBorder="1" applyAlignment="1">
      <alignment horizontal="center"/>
    </xf>
    <xf numFmtId="180" fontId="8" fillId="0" borderId="9" xfId="0" applyNumberFormat="1" applyFont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180" fontId="8" fillId="2" borderId="10" xfId="0" applyNumberFormat="1" applyFont="1" applyFill="1" applyBorder="1" applyAlignment="1">
      <alignment horizontal="center"/>
    </xf>
    <xf numFmtId="180" fontId="8" fillId="2" borderId="9" xfId="0" applyNumberFormat="1" applyFont="1" applyFill="1" applyBorder="1" applyAlignment="1">
      <alignment horizontal="center"/>
    </xf>
    <xf numFmtId="0" fontId="8" fillId="0" borderId="6" xfId="0" applyFont="1" applyBorder="1"/>
    <xf numFmtId="0" fontId="8" fillId="2" borderId="11" xfId="0" applyFont="1" applyFill="1" applyBorder="1" applyAlignment="1">
      <alignment horizontal="center"/>
    </xf>
    <xf numFmtId="180" fontId="8" fillId="2" borderId="12" xfId="0" applyNumberFormat="1" applyFont="1" applyFill="1" applyBorder="1" applyAlignment="1">
      <alignment horizontal="center"/>
    </xf>
    <xf numFmtId="180" fontId="8" fillId="2" borderId="14" xfId="0" applyNumberFormat="1" applyFont="1" applyFill="1" applyBorder="1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180" fontId="3" fillId="0" borderId="6" xfId="0" applyNumberFormat="1" applyFont="1" applyBorder="1" applyAlignment="1">
      <alignment horizontal="center"/>
    </xf>
    <xf numFmtId="180" fontId="3" fillId="0" borderId="10" xfId="0" applyNumberFormat="1" applyFont="1" applyBorder="1" applyAlignment="1">
      <alignment horizontal="center"/>
    </xf>
    <xf numFmtId="180" fontId="3" fillId="0" borderId="11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80" fontId="3" fillId="0" borderId="12" xfId="0" applyNumberFormat="1" applyFont="1" applyBorder="1" applyAlignment="1">
      <alignment horizontal="center"/>
    </xf>
    <xf numFmtId="180" fontId="3" fillId="0" borderId="14" xfId="0" applyNumberFormat="1" applyFont="1" applyBorder="1" applyAlignment="1">
      <alignment horizontal="center"/>
    </xf>
    <xf numFmtId="180" fontId="9" fillId="0" borderId="6" xfId="0" applyNumberFormat="1" applyFont="1" applyBorder="1" applyAlignment="1">
      <alignment horizontal="center"/>
    </xf>
    <xf numFmtId="180" fontId="9" fillId="0" borderId="10" xfId="0" applyNumberFormat="1" applyFont="1" applyBorder="1" applyAlignment="1">
      <alignment horizontal="center"/>
    </xf>
    <xf numFmtId="180" fontId="9" fillId="0" borderId="9" xfId="0" applyNumberFormat="1" applyFont="1" applyBorder="1" applyAlignment="1">
      <alignment horizontal="center"/>
    </xf>
    <xf numFmtId="0" fontId="9" fillId="0" borderId="0" xfId="0" applyFont="1"/>
    <xf numFmtId="180" fontId="9" fillId="0" borderId="11" xfId="0" applyNumberFormat="1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180" fontId="9" fillId="0" borderId="12" xfId="0" applyNumberFormat="1" applyFont="1" applyBorder="1" applyAlignment="1">
      <alignment horizontal="center"/>
    </xf>
    <xf numFmtId="180" fontId="9" fillId="0" borderId="14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7" xfId="0" applyFont="1" applyBorder="1"/>
    <xf numFmtId="0" fontId="3" fillId="0" borderId="16" xfId="0" applyFont="1" applyBorder="1"/>
    <xf numFmtId="0" fontId="3" fillId="0" borderId="0" xfId="0" applyFont="1"/>
    <xf numFmtId="180" fontId="3" fillId="0" borderId="0" xfId="0" applyNumberFormat="1" applyFont="1" applyBorder="1" applyAlignment="1">
      <alignment horizontal="center"/>
    </xf>
    <xf numFmtId="0" fontId="0" fillId="0" borderId="0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180" fontId="0" fillId="0" borderId="20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80" fontId="0" fillId="0" borderId="22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180" fontId="0" fillId="0" borderId="24" xfId="0" applyNumberFormat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180" fontId="6" fillId="0" borderId="10" xfId="0" applyNumberFormat="1" applyFont="1" applyBorder="1" applyAlignment="1">
      <alignment horizontal="center"/>
    </xf>
    <xf numFmtId="180" fontId="6" fillId="0" borderId="9" xfId="0" applyNumberFormat="1" applyFont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180" fontId="6" fillId="0" borderId="12" xfId="0" applyNumberFormat="1" applyFont="1" applyBorder="1" applyAlignment="1">
      <alignment horizontal="center"/>
    </xf>
    <xf numFmtId="180" fontId="6" fillId="0" borderId="14" xfId="0" applyNumberFormat="1" applyFont="1" applyBorder="1" applyAlignment="1">
      <alignment horizontal="center"/>
    </xf>
    <xf numFmtId="177" fontId="3" fillId="0" borderId="10" xfId="0" applyNumberFormat="1" applyFont="1" applyBorder="1" applyAlignment="1">
      <alignment horizontal="center"/>
    </xf>
    <xf numFmtId="179" fontId="3" fillId="0" borderId="10" xfId="0" applyNumberFormat="1" applyFont="1" applyBorder="1" applyAlignment="1">
      <alignment horizontal="center"/>
    </xf>
    <xf numFmtId="176" fontId="3" fillId="0" borderId="9" xfId="0" applyNumberFormat="1" applyFont="1" applyBorder="1" applyAlignment="1">
      <alignment horizontal="center"/>
    </xf>
    <xf numFmtId="176" fontId="3" fillId="0" borderId="10" xfId="0" applyNumberFormat="1" applyFont="1" applyBorder="1" applyAlignment="1">
      <alignment horizontal="center"/>
    </xf>
    <xf numFmtId="176" fontId="3" fillId="0" borderId="12" xfId="0" applyNumberFormat="1" applyFont="1" applyBorder="1" applyAlignment="1">
      <alignment horizontal="center"/>
    </xf>
    <xf numFmtId="176" fontId="3" fillId="0" borderId="14" xfId="0" applyNumberFormat="1" applyFont="1" applyBorder="1" applyAlignment="1">
      <alignment horizontal="center"/>
    </xf>
    <xf numFmtId="177" fontId="9" fillId="0" borderId="10" xfId="0" applyNumberFormat="1" applyFont="1" applyBorder="1" applyAlignment="1">
      <alignment horizontal="center"/>
    </xf>
    <xf numFmtId="179" fontId="9" fillId="0" borderId="10" xfId="0" applyNumberFormat="1" applyFont="1" applyBorder="1" applyAlignment="1">
      <alignment horizontal="center"/>
    </xf>
    <xf numFmtId="176" fontId="9" fillId="0" borderId="9" xfId="0" applyNumberFormat="1" applyFont="1" applyBorder="1" applyAlignment="1">
      <alignment horizontal="center"/>
    </xf>
    <xf numFmtId="176" fontId="9" fillId="0" borderId="10" xfId="0" applyNumberFormat="1" applyFont="1" applyBorder="1" applyAlignment="1">
      <alignment horizontal="center"/>
    </xf>
    <xf numFmtId="176" fontId="9" fillId="0" borderId="12" xfId="0" applyNumberFormat="1" applyFont="1" applyBorder="1" applyAlignment="1">
      <alignment horizontal="center"/>
    </xf>
    <xf numFmtId="176" fontId="9" fillId="0" borderId="14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/>
    <xf numFmtId="0" fontId="3" fillId="0" borderId="25" xfId="0" applyFont="1" applyBorder="1" applyAlignment="1">
      <alignment horizontal="center" vertical="center"/>
    </xf>
    <xf numFmtId="180" fontId="3" fillId="0" borderId="26" xfId="0" applyNumberFormat="1" applyFont="1" applyBorder="1" applyAlignment="1">
      <alignment horizontal="center" vertical="center"/>
    </xf>
    <xf numFmtId="180" fontId="3" fillId="0" borderId="27" xfId="0" applyNumberFormat="1" applyFont="1" applyBorder="1" applyAlignment="1">
      <alignment horizontal="center" vertical="center"/>
    </xf>
    <xf numFmtId="180" fontId="3" fillId="0" borderId="14" xfId="0" applyNumberFormat="1" applyFont="1" applyBorder="1" applyAlignment="1">
      <alignment horizontal="center" vertical="center"/>
    </xf>
    <xf numFmtId="8" fontId="0" fillId="0" borderId="0" xfId="0" applyNumberFormat="1"/>
    <xf numFmtId="0" fontId="3" fillId="0" borderId="15" xfId="0" applyFont="1" applyBorder="1" applyAlignment="1">
      <alignment horizontal="center" vertical="center"/>
    </xf>
    <xf numFmtId="0" fontId="9" fillId="0" borderId="6" xfId="0" applyFont="1" applyBorder="1"/>
    <xf numFmtId="0" fontId="9" fillId="0" borderId="10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/>
    <xf numFmtId="0" fontId="0" fillId="0" borderId="1" xfId="0" applyBorder="1" applyAlignment="1"/>
    <xf numFmtId="0" fontId="9" fillId="0" borderId="25" xfId="0" applyFont="1" applyBorder="1" applyAlignment="1">
      <alignment horizontal="center" vertical="center"/>
    </xf>
    <xf numFmtId="180" fontId="9" fillId="0" borderId="26" xfId="0" applyNumberFormat="1" applyFont="1" applyBorder="1" applyAlignment="1">
      <alignment horizontal="center" vertical="center"/>
    </xf>
    <xf numFmtId="180" fontId="9" fillId="0" borderId="27" xfId="0" applyNumberFormat="1" applyFont="1" applyBorder="1" applyAlignment="1">
      <alignment horizontal="center" vertical="center"/>
    </xf>
    <xf numFmtId="180" fontId="9" fillId="0" borderId="1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6" fillId="0" borderId="6" xfId="0" applyFont="1" applyBorder="1"/>
    <xf numFmtId="0" fontId="6" fillId="0" borderId="10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1" xfId="0" applyFont="1" applyBorder="1"/>
    <xf numFmtId="0" fontId="6" fillId="0" borderId="12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28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180" fontId="3" fillId="0" borderId="20" xfId="0" applyNumberFormat="1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180" fontId="3" fillId="0" borderId="22" xfId="0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180" fontId="3" fillId="0" borderId="29" xfId="0" applyNumberFormat="1" applyFont="1" applyBorder="1" applyAlignment="1">
      <alignment horizontal="center"/>
    </xf>
    <xf numFmtId="180" fontId="3" fillId="0" borderId="24" xfId="0" applyNumberFormat="1" applyFont="1" applyBorder="1" applyAlignment="1">
      <alignment horizontal="center"/>
    </xf>
    <xf numFmtId="0" fontId="7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2" xfId="0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2" xfId="0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0C0C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3" Type="http://schemas.openxmlformats.org/officeDocument/2006/relationships/sharedStrings" Target="sharedStrings.xml"/><Relationship Id="rId32" Type="http://schemas.openxmlformats.org/officeDocument/2006/relationships/styles" Target="styles.xml"/><Relationship Id="rId31" Type="http://schemas.openxmlformats.org/officeDocument/2006/relationships/theme" Target="theme/theme1.xml"/><Relationship Id="rId30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638175</xdr:colOff>
      <xdr:row>0</xdr:row>
      <xdr:rowOff>0</xdr:rowOff>
    </xdr:to>
    <xdr:pic>
      <xdr:nvPicPr>
        <xdr:cNvPr id="1025" name="Picture 1" descr="资料一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4953000" cy="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9640;\&#20462;&#25913;&#21518;\&#34920;\&#31532;9&#31456;\&#36164;&#20135;&#36127;&#20538;&#3492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hart1"/>
      <sheetName val="资产负债表"/>
      <sheetName val="明细表"/>
      <sheetName val="总账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C8" sqref="C8"/>
    </sheetView>
  </sheetViews>
  <sheetFormatPr defaultColWidth="9" defaultRowHeight="14.25" outlineLevelCol="1"/>
  <cols>
    <col min="1" max="1" width="23.875" customWidth="1"/>
    <col min="2" max="2" width="23.75" customWidth="1"/>
  </cols>
  <sheetData>
    <row r="1" ht="22.15" customHeight="1" spans="1:2">
      <c r="A1" s="62" t="s">
        <v>0</v>
      </c>
      <c r="B1" s="62"/>
    </row>
    <row r="2" ht="15" spans="1:2">
      <c r="A2" s="195" t="s">
        <v>1</v>
      </c>
      <c r="B2" s="195" t="s">
        <v>2</v>
      </c>
    </row>
    <row r="3" spans="1:2">
      <c r="A3" s="196" t="s">
        <v>3</v>
      </c>
      <c r="B3" s="215">
        <v>2000</v>
      </c>
    </row>
    <row r="4" spans="1:2">
      <c r="A4" s="199" t="s">
        <v>4</v>
      </c>
      <c r="B4" s="216">
        <v>2500</v>
      </c>
    </row>
    <row r="5" spans="1:2">
      <c r="A5" s="199" t="s">
        <v>5</v>
      </c>
      <c r="B5" s="216">
        <v>3000</v>
      </c>
    </row>
    <row r="6" spans="1:2">
      <c r="A6" s="199" t="s">
        <v>6</v>
      </c>
      <c r="B6" s="216">
        <v>2800</v>
      </c>
    </row>
    <row r="7" spans="1:2">
      <c r="A7" s="199" t="s">
        <v>7</v>
      </c>
      <c r="B7" s="216">
        <f>SUM(B3:B6)</f>
        <v>10300</v>
      </c>
    </row>
    <row r="8" spans="1:2">
      <c r="A8" s="199"/>
      <c r="B8" s="216"/>
    </row>
    <row r="9" ht="15" spans="1:2">
      <c r="A9" s="201" t="s">
        <v>8</v>
      </c>
      <c r="B9" s="203">
        <v>105</v>
      </c>
    </row>
  </sheetData>
  <mergeCells count="1">
    <mergeCell ref="A1:B1"/>
  </mergeCells>
  <pageMargins left="0.75" right="0.75" top="1" bottom="1" header="0.5" footer="0.5"/>
  <pageSetup paperSize="9" orientation="portrait" horizontalDpi="300" verticalDpi="300"/>
  <headerFooter alignWithMargins="0" scaleWithDoc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showFormulas="1" workbookViewId="0">
      <selection activeCell="G22" sqref="G22"/>
    </sheetView>
  </sheetViews>
  <sheetFormatPr defaultColWidth="9" defaultRowHeight="14.25" outlineLevelCol="5"/>
  <cols>
    <col min="1" max="1" width="7.75" customWidth="1"/>
    <col min="2" max="2" width="7.625" customWidth="1"/>
    <col min="3" max="5" width="7.75" customWidth="1"/>
    <col min="6" max="6" width="5.75" customWidth="1"/>
  </cols>
  <sheetData>
    <row r="1" ht="19.5" spans="1:6">
      <c r="A1" s="62" t="s">
        <v>80</v>
      </c>
      <c r="B1" s="62"/>
      <c r="C1" s="62"/>
      <c r="D1" s="62"/>
      <c r="E1" s="62"/>
      <c r="F1" s="62"/>
    </row>
    <row r="2" ht="15" spans="1:6">
      <c r="A2" s="93" t="s">
        <v>45</v>
      </c>
      <c r="B2" s="169" t="s">
        <v>52</v>
      </c>
      <c r="C2" s="169" t="s">
        <v>53</v>
      </c>
      <c r="D2" s="169" t="s">
        <v>54</v>
      </c>
      <c r="E2" s="169" t="s">
        <v>55</v>
      </c>
      <c r="F2" s="160" t="s">
        <v>56</v>
      </c>
    </row>
    <row r="3" spans="1:6">
      <c r="A3" s="170" t="s">
        <v>81</v>
      </c>
      <c r="B3" s="171">
        <f>生产预算分析表!B11</f>
        <v>3607.5</v>
      </c>
      <c r="C3" s="171">
        <f>生产预算分析表!C11</f>
        <v>4717.5</v>
      </c>
      <c r="D3" s="171">
        <f>生产预算分析表!D11</f>
        <v>5513</v>
      </c>
      <c r="E3" s="171">
        <f>生产预算分析表!E11</f>
        <v>5180</v>
      </c>
      <c r="F3" s="172">
        <f>SUM(B3:E3)</f>
        <v>19018</v>
      </c>
    </row>
    <row r="4" spans="1:6">
      <c r="A4" s="170" t="s">
        <v>82</v>
      </c>
      <c r="B4" s="171">
        <f>C3*0.2</f>
        <v>943.5</v>
      </c>
      <c r="C4" s="171">
        <f>D3*0.2</f>
        <v>1102.6</v>
      </c>
      <c r="D4" s="171">
        <f>E3*0.2</f>
        <v>1036</v>
      </c>
      <c r="E4" s="171">
        <v>1100</v>
      </c>
      <c r="F4" s="172">
        <f>E4</f>
        <v>1100</v>
      </c>
    </row>
    <row r="5" spans="1:6">
      <c r="A5" s="170" t="s">
        <v>72</v>
      </c>
      <c r="B5" s="171">
        <f>B3+B4</f>
        <v>4551</v>
      </c>
      <c r="C5" s="171">
        <f>C3+C4</f>
        <v>5820.1</v>
      </c>
      <c r="D5" s="171">
        <f>D3+D4</f>
        <v>6549</v>
      </c>
      <c r="E5" s="171">
        <f>E3+E4</f>
        <v>6280</v>
      </c>
      <c r="F5" s="172">
        <f>F3+F4</f>
        <v>20118</v>
      </c>
    </row>
    <row r="6" spans="1:6">
      <c r="A6" s="170" t="s">
        <v>83</v>
      </c>
      <c r="B6" s="171">
        <v>1000</v>
      </c>
      <c r="C6" s="171">
        <f>B4</f>
        <v>943.5</v>
      </c>
      <c r="D6" s="171">
        <f>C4</f>
        <v>1102.6</v>
      </c>
      <c r="E6" s="171">
        <f>D4</f>
        <v>1036</v>
      </c>
      <c r="F6" s="172">
        <f>B6</f>
        <v>1000</v>
      </c>
    </row>
    <row r="7" spans="1:6">
      <c r="A7" s="170" t="s">
        <v>84</v>
      </c>
      <c r="B7" s="171">
        <f>B5-B6</f>
        <v>3551</v>
      </c>
      <c r="C7" s="171">
        <f>C5-C6</f>
        <v>4876.6</v>
      </c>
      <c r="D7" s="171">
        <f>D5-D6</f>
        <v>5446.4</v>
      </c>
      <c r="E7" s="171">
        <f>E5-E6</f>
        <v>5244</v>
      </c>
      <c r="F7" s="172">
        <f>F5-F6</f>
        <v>19118</v>
      </c>
    </row>
    <row r="8" spans="1:6">
      <c r="A8" s="170" t="s">
        <v>85</v>
      </c>
      <c r="B8" s="107">
        <v>20</v>
      </c>
      <c r="C8" s="107">
        <v>20</v>
      </c>
      <c r="D8" s="107">
        <v>20</v>
      </c>
      <c r="E8" s="107">
        <v>20</v>
      </c>
      <c r="F8" s="108">
        <v>20</v>
      </c>
    </row>
    <row r="9" ht="15" spans="1:6">
      <c r="A9" s="173" t="s">
        <v>86</v>
      </c>
      <c r="B9" s="112">
        <f>B7*B8</f>
        <v>71020</v>
      </c>
      <c r="C9" s="112">
        <f>C7*C8</f>
        <v>97532</v>
      </c>
      <c r="D9" s="112">
        <f>D7*D8</f>
        <v>108928</v>
      </c>
      <c r="E9" s="112">
        <f>E7*E8</f>
        <v>104880</v>
      </c>
      <c r="F9" s="113">
        <f>F7*F8</f>
        <v>382360</v>
      </c>
    </row>
    <row r="10" ht="19.5" spans="1:6">
      <c r="A10" s="62" t="s">
        <v>87</v>
      </c>
      <c r="B10" s="62"/>
      <c r="C10" s="62"/>
      <c r="D10" s="62"/>
      <c r="E10" s="62"/>
      <c r="F10" s="62"/>
    </row>
    <row r="11" ht="15" spans="1:6">
      <c r="A11" s="174" t="s">
        <v>88</v>
      </c>
      <c r="B11" s="174"/>
      <c r="C11" s="174"/>
      <c r="D11" s="174"/>
      <c r="E11" s="174"/>
      <c r="F11" s="174"/>
    </row>
    <row r="12" ht="15" spans="1:6">
      <c r="A12" s="93" t="s">
        <v>45</v>
      </c>
      <c r="B12" s="169" t="s">
        <v>52</v>
      </c>
      <c r="C12" s="169" t="s">
        <v>53</v>
      </c>
      <c r="D12" s="169" t="s">
        <v>54</v>
      </c>
      <c r="E12" s="169" t="s">
        <v>55</v>
      </c>
      <c r="F12" s="160" t="s">
        <v>56</v>
      </c>
    </row>
    <row r="13" spans="1:6">
      <c r="A13" s="175" t="s">
        <v>89</v>
      </c>
      <c r="B13" s="176">
        <v>35000</v>
      </c>
      <c r="C13" s="176"/>
      <c r="D13" s="176"/>
      <c r="E13" s="176"/>
      <c r="F13" s="177">
        <f t="shared" ref="F13:F18" si="0">SUM(B13:E13)</f>
        <v>35000</v>
      </c>
    </row>
    <row r="14" spans="1:6">
      <c r="A14" s="115" t="s">
        <v>90</v>
      </c>
      <c r="B14" s="107">
        <f>B9*0.7</f>
        <v>49714</v>
      </c>
      <c r="C14" s="107">
        <f>B9-B14</f>
        <v>21306</v>
      </c>
      <c r="D14" s="107"/>
      <c r="E14" s="107"/>
      <c r="F14" s="177">
        <f t="shared" si="0"/>
        <v>71020</v>
      </c>
    </row>
    <row r="15" spans="1:6">
      <c r="A15" s="115" t="s">
        <v>91</v>
      </c>
      <c r="B15" s="107"/>
      <c r="C15" s="107">
        <f>C9*0.7</f>
        <v>68272.4</v>
      </c>
      <c r="D15" s="107">
        <f>C9-C15</f>
        <v>29259.6</v>
      </c>
      <c r="E15" s="107"/>
      <c r="F15" s="177">
        <f t="shared" si="0"/>
        <v>97532</v>
      </c>
    </row>
    <row r="16" spans="1:6">
      <c r="A16" s="115" t="s">
        <v>92</v>
      </c>
      <c r="B16" s="107"/>
      <c r="C16" s="107"/>
      <c r="D16" s="107">
        <f>D9*0.7</f>
        <v>76249.6</v>
      </c>
      <c r="E16" s="107">
        <f>D9-D16</f>
        <v>32678.4</v>
      </c>
      <c r="F16" s="177">
        <f t="shared" si="0"/>
        <v>108928</v>
      </c>
    </row>
    <row r="17" spans="1:6">
      <c r="A17" s="115" t="s">
        <v>93</v>
      </c>
      <c r="B17" s="107"/>
      <c r="C17" s="107"/>
      <c r="D17" s="107"/>
      <c r="E17" s="107">
        <f>E9*0.7</f>
        <v>73416</v>
      </c>
      <c r="F17" s="177">
        <f t="shared" si="0"/>
        <v>73416</v>
      </c>
    </row>
    <row r="18" ht="15" spans="1:6">
      <c r="A18" s="116" t="s">
        <v>94</v>
      </c>
      <c r="B18" s="112">
        <f>SUM(B13:B17)</f>
        <v>84714</v>
      </c>
      <c r="C18" s="112">
        <f>SUM(C13:C17)</f>
        <v>89578.4</v>
      </c>
      <c r="D18" s="112">
        <f>SUM(D13:D17)</f>
        <v>105509.2</v>
      </c>
      <c r="E18" s="112">
        <f>SUM(E13:E17)</f>
        <v>106094.4</v>
      </c>
      <c r="F18" s="178">
        <f t="shared" si="0"/>
        <v>385896</v>
      </c>
    </row>
    <row r="19" ht="15" spans="1:6">
      <c r="A19" s="109"/>
      <c r="B19" s="109"/>
      <c r="C19" s="109"/>
      <c r="D19" s="109"/>
      <c r="E19" s="109"/>
      <c r="F19" s="109"/>
    </row>
  </sheetData>
  <mergeCells count="3">
    <mergeCell ref="A1:F1"/>
    <mergeCell ref="A10:F10"/>
    <mergeCell ref="A11:F11"/>
  </mergeCells>
  <pageMargins left="0.75" right="0.75" top="1" bottom="1" header="0.5" footer="0.5"/>
  <headerFooter alignWithMargins="0" scaleWithDoc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workbookViewId="0">
      <selection activeCell="G15" sqref="G15"/>
    </sheetView>
  </sheetViews>
  <sheetFormatPr defaultColWidth="9" defaultRowHeight="14.25"/>
  <cols>
    <col min="1" max="1" width="22" customWidth="1"/>
    <col min="2" max="2" width="9.125" customWidth="1"/>
    <col min="3" max="3" width="9.75" customWidth="1"/>
    <col min="4" max="4" width="10.25" customWidth="1"/>
    <col min="5" max="5" width="11.25" customWidth="1"/>
    <col min="6" max="6" width="12" customWidth="1"/>
    <col min="7" max="7" width="11.5"/>
    <col min="10" max="10" width="13.75"/>
  </cols>
  <sheetData>
    <row r="1" ht="28.9" customHeight="1" spans="1:6">
      <c r="A1" s="62" t="s">
        <v>80</v>
      </c>
      <c r="B1" s="62"/>
      <c r="C1" s="62"/>
      <c r="D1" s="62"/>
      <c r="E1" s="62"/>
      <c r="F1" s="62"/>
    </row>
    <row r="2" ht="17.45" customHeight="1" spans="1:6">
      <c r="A2" s="158" t="s">
        <v>45</v>
      </c>
      <c r="B2" s="159" t="s">
        <v>52</v>
      </c>
      <c r="C2" s="159" t="s">
        <v>53</v>
      </c>
      <c r="D2" s="159" t="s">
        <v>54</v>
      </c>
      <c r="E2" s="159" t="s">
        <v>55</v>
      </c>
      <c r="F2" s="160" t="s">
        <v>56</v>
      </c>
    </row>
    <row r="3" spans="1:6">
      <c r="A3" s="66" t="s">
        <v>81</v>
      </c>
      <c r="B3" s="161">
        <f>生产预算分析表!B11</f>
        <v>3607.5</v>
      </c>
      <c r="C3" s="161">
        <f>生产预算分析表!C11</f>
        <v>4717.5</v>
      </c>
      <c r="D3" s="161">
        <f>生产预算分析表!D11</f>
        <v>5513</v>
      </c>
      <c r="E3" s="161">
        <f>生产预算分析表!E11</f>
        <v>5180</v>
      </c>
      <c r="F3" s="162">
        <f>SUM(B3:E3)</f>
        <v>19018</v>
      </c>
    </row>
    <row r="4" spans="1:6">
      <c r="A4" s="66" t="s">
        <v>82</v>
      </c>
      <c r="B4" s="161">
        <f>C3*0.2</f>
        <v>943.5</v>
      </c>
      <c r="C4" s="161">
        <f>D3*0.2</f>
        <v>1102.6</v>
      </c>
      <c r="D4" s="161">
        <f>E3*0.2</f>
        <v>1036</v>
      </c>
      <c r="E4" s="161">
        <v>1100</v>
      </c>
      <c r="F4" s="162">
        <f>E4</f>
        <v>1100</v>
      </c>
    </row>
    <row r="5" spans="1:6">
      <c r="A5" s="66" t="s">
        <v>72</v>
      </c>
      <c r="B5" s="161">
        <f>B3+B4</f>
        <v>4551</v>
      </c>
      <c r="C5" s="161">
        <f>C3+C4</f>
        <v>5820.1</v>
      </c>
      <c r="D5" s="161">
        <f>D3+D4</f>
        <v>6549</v>
      </c>
      <c r="E5" s="161">
        <f>E3+E4</f>
        <v>6280</v>
      </c>
      <c r="F5" s="162">
        <f>F3+F4</f>
        <v>20118</v>
      </c>
    </row>
    <row r="6" spans="1:6">
      <c r="A6" s="66" t="s">
        <v>83</v>
      </c>
      <c r="B6" s="161">
        <v>1000</v>
      </c>
      <c r="C6" s="161">
        <f>B4</f>
        <v>943.5</v>
      </c>
      <c r="D6" s="161">
        <f>C4</f>
        <v>1102.6</v>
      </c>
      <c r="E6" s="161">
        <f>D4</f>
        <v>1036</v>
      </c>
      <c r="F6" s="162">
        <f>B6</f>
        <v>1000</v>
      </c>
    </row>
    <row r="7" spans="1:6">
      <c r="A7" s="66" t="s">
        <v>84</v>
      </c>
      <c r="B7" s="161">
        <f>B5-B6</f>
        <v>3551</v>
      </c>
      <c r="C7" s="161">
        <f>C5-C6</f>
        <v>4876.6</v>
      </c>
      <c r="D7" s="161">
        <f>D5-D6</f>
        <v>5446.4</v>
      </c>
      <c r="E7" s="161">
        <f>E5-E6</f>
        <v>5244</v>
      </c>
      <c r="F7" s="162">
        <f>F5-F6</f>
        <v>19118</v>
      </c>
    </row>
    <row r="8" spans="1:6">
      <c r="A8" s="66" t="s">
        <v>85</v>
      </c>
      <c r="B8" s="101">
        <v>20</v>
      </c>
      <c r="C8" s="101">
        <v>20</v>
      </c>
      <c r="D8" s="101">
        <v>20</v>
      </c>
      <c r="E8" s="101">
        <v>20</v>
      </c>
      <c r="F8" s="67">
        <v>20</v>
      </c>
    </row>
    <row r="9" ht="15" spans="1:7">
      <c r="A9" s="163" t="s">
        <v>86</v>
      </c>
      <c r="B9" s="104">
        <f>B7*B8</f>
        <v>71020</v>
      </c>
      <c r="C9" s="104">
        <f>C7*C8</f>
        <v>97532</v>
      </c>
      <c r="D9" s="104">
        <f>D7*D8</f>
        <v>108928</v>
      </c>
      <c r="E9" s="104">
        <f>E7*E8</f>
        <v>104880</v>
      </c>
      <c r="F9" s="105">
        <f>F7*F8</f>
        <v>382360</v>
      </c>
      <c r="G9" s="31"/>
    </row>
    <row r="10" ht="27.6" customHeight="1" spans="1:10">
      <c r="A10" s="62" t="s">
        <v>87</v>
      </c>
      <c r="B10" s="62"/>
      <c r="C10" s="62"/>
      <c r="D10" s="62"/>
      <c r="E10" s="62"/>
      <c r="F10" s="62"/>
      <c r="J10" s="168"/>
    </row>
    <row r="11" ht="15" customHeight="1" spans="1:6">
      <c r="A11" t="s">
        <v>95</v>
      </c>
      <c r="B11" s="62"/>
      <c r="C11" s="62"/>
      <c r="D11" s="62"/>
      <c r="E11" s="62"/>
      <c r="F11" s="62"/>
    </row>
    <row r="12" ht="15" spans="1:6">
      <c r="A12" s="158" t="s">
        <v>45</v>
      </c>
      <c r="B12" s="159" t="s">
        <v>52</v>
      </c>
      <c r="C12" s="159" t="s">
        <v>53</v>
      </c>
      <c r="D12" s="159" t="s">
        <v>54</v>
      </c>
      <c r="E12" s="159" t="s">
        <v>55</v>
      </c>
      <c r="F12" s="160" t="s">
        <v>56</v>
      </c>
    </row>
    <row r="13" spans="1:6">
      <c r="A13" s="164" t="s">
        <v>89</v>
      </c>
      <c r="B13" s="165">
        <v>35000</v>
      </c>
      <c r="C13" s="165"/>
      <c r="D13" s="165"/>
      <c r="E13" s="165"/>
      <c r="F13" s="166">
        <f t="shared" ref="F13:F18" si="0">SUM(B13:E13)</f>
        <v>35000</v>
      </c>
    </row>
    <row r="14" spans="1:6">
      <c r="A14" s="117" t="s">
        <v>90</v>
      </c>
      <c r="B14" s="101">
        <f>B9*0.7</f>
        <v>49714</v>
      </c>
      <c r="C14" s="101">
        <f>B9-B14</f>
        <v>21306</v>
      </c>
      <c r="D14" s="101"/>
      <c r="E14" s="101"/>
      <c r="F14" s="166">
        <f t="shared" si="0"/>
        <v>71020</v>
      </c>
    </row>
    <row r="15" spans="1:6">
      <c r="A15" s="117" t="s">
        <v>91</v>
      </c>
      <c r="B15" s="101"/>
      <c r="C15" s="101">
        <f>C9*0.7</f>
        <v>68272.4</v>
      </c>
      <c r="D15" s="101">
        <f>C9-C15</f>
        <v>29259.6</v>
      </c>
      <c r="E15" s="101"/>
      <c r="F15" s="166">
        <f t="shared" si="0"/>
        <v>97532</v>
      </c>
    </row>
    <row r="16" spans="1:6">
      <c r="A16" s="117" t="s">
        <v>92</v>
      </c>
      <c r="B16" s="101"/>
      <c r="C16" s="101"/>
      <c r="D16" s="101">
        <f>D9*0.7</f>
        <v>76249.6</v>
      </c>
      <c r="E16" s="101">
        <f>D9-D16</f>
        <v>32678.4</v>
      </c>
      <c r="F16" s="166">
        <f t="shared" si="0"/>
        <v>108928</v>
      </c>
    </row>
    <row r="17" spans="1:6">
      <c r="A17" s="117" t="s">
        <v>93</v>
      </c>
      <c r="B17" s="101"/>
      <c r="C17" s="101"/>
      <c r="D17" s="101"/>
      <c r="E17" s="101">
        <f>E9*0.7</f>
        <v>73416</v>
      </c>
      <c r="F17" s="166">
        <f t="shared" si="0"/>
        <v>73416</v>
      </c>
    </row>
    <row r="18" ht="15" spans="1:6">
      <c r="A18" s="118" t="s">
        <v>94</v>
      </c>
      <c r="B18" s="104">
        <f>SUM(B13:B17)</f>
        <v>84714</v>
      </c>
      <c r="C18" s="104">
        <f>SUM(C13:C17)</f>
        <v>89578.4</v>
      </c>
      <c r="D18" s="104">
        <f>SUM(D13:D17)</f>
        <v>105509.2</v>
      </c>
      <c r="E18" s="104">
        <f>SUM(E13:E17)</f>
        <v>106094.4</v>
      </c>
      <c r="F18" s="167">
        <f t="shared" si="0"/>
        <v>385896</v>
      </c>
    </row>
    <row r="19" ht="15" spans="1:6">
      <c r="A19" s="92"/>
      <c r="B19" s="92"/>
      <c r="C19" s="92"/>
      <c r="D19" s="92"/>
      <c r="E19" s="92"/>
      <c r="F19" s="92"/>
    </row>
    <row r="20" spans="1:6">
      <c r="A20" s="92"/>
      <c r="B20" s="92"/>
      <c r="C20" s="92"/>
      <c r="D20" s="92"/>
      <c r="E20" s="92"/>
      <c r="F20" s="92"/>
    </row>
  </sheetData>
  <mergeCells count="2">
    <mergeCell ref="A1:F1"/>
    <mergeCell ref="A10:F10"/>
  </mergeCells>
  <pageMargins left="0.75" right="0.75" top="1" bottom="1" header="0.5" footer="0.5"/>
  <headerFooter alignWithMargins="0" scaleWithDoc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showFormulas="1" workbookViewId="0">
      <selection activeCell="H7" sqref="H7"/>
    </sheetView>
  </sheetViews>
  <sheetFormatPr defaultColWidth="9" defaultRowHeight="14.25" outlineLevelRow="6" outlineLevelCol="5"/>
  <cols>
    <col min="1" max="1" width="8.375" customWidth="1"/>
    <col min="2" max="3" width="7.875" customWidth="1"/>
    <col min="4" max="4" width="8" customWidth="1"/>
    <col min="5" max="5" width="7.75" customWidth="1"/>
    <col min="6" max="6" width="7.375" customWidth="1"/>
  </cols>
  <sheetData>
    <row r="1" ht="18.75" spans="1:6">
      <c r="A1" s="62" t="s">
        <v>96</v>
      </c>
      <c r="B1" s="62"/>
      <c r="C1" s="62"/>
      <c r="D1" s="62"/>
      <c r="E1" s="62"/>
      <c r="F1" s="62"/>
    </row>
    <row r="2" ht="15" spans="1:6">
      <c r="A2" s="63" t="s">
        <v>97</v>
      </c>
      <c r="B2" s="63"/>
      <c r="C2" s="63"/>
      <c r="D2" s="63"/>
      <c r="E2" s="63"/>
      <c r="F2" s="63"/>
    </row>
    <row r="3" ht="15" spans="1:6">
      <c r="A3" s="74" t="s">
        <v>25</v>
      </c>
      <c r="B3" s="75" t="s">
        <v>3</v>
      </c>
      <c r="C3" s="75" t="s">
        <v>4</v>
      </c>
      <c r="D3" s="75" t="s">
        <v>5</v>
      </c>
      <c r="E3" s="75" t="s">
        <v>6</v>
      </c>
      <c r="F3" s="76" t="s">
        <v>56</v>
      </c>
    </row>
    <row r="4" spans="1:6">
      <c r="A4" s="115" t="s">
        <v>98</v>
      </c>
      <c r="B4" s="152">
        <f>生产预算分析表!B13</f>
        <v>8287.5</v>
      </c>
      <c r="C4" s="152">
        <f>生产预算分析表!C13</f>
        <v>10837.5</v>
      </c>
      <c r="D4" s="153">
        <f>生产预算分析表!D13</f>
        <v>12665</v>
      </c>
      <c r="E4" s="153">
        <f>生产预算分析表!E13</f>
        <v>11900</v>
      </c>
      <c r="F4" s="154">
        <f>SUM(B4:E4)</f>
        <v>43690</v>
      </c>
    </row>
    <row r="5" spans="1:6">
      <c r="A5" s="115" t="s">
        <v>99</v>
      </c>
      <c r="B5" s="155">
        <f>预计定额成本!$B$5</f>
        <v>4.65</v>
      </c>
      <c r="C5" s="155">
        <f>预计定额成本!$B$5</f>
        <v>4.65</v>
      </c>
      <c r="D5" s="155">
        <f>预计定额成本!$B$5</f>
        <v>4.65</v>
      </c>
      <c r="E5" s="155">
        <f>预计定额成本!$B$5</f>
        <v>4.65</v>
      </c>
      <c r="F5" s="154">
        <f>预计定额成本!$B$5</f>
        <v>4.65</v>
      </c>
    </row>
    <row r="6" ht="15" spans="1:6">
      <c r="A6" s="116" t="s">
        <v>100</v>
      </c>
      <c r="B6" s="156">
        <f>B4*B5</f>
        <v>38536.875</v>
      </c>
      <c r="C6" s="156">
        <f>C4*C5</f>
        <v>50394.375</v>
      </c>
      <c r="D6" s="156">
        <f>D4*D5</f>
        <v>58892.25</v>
      </c>
      <c r="E6" s="156">
        <f>E4*E5</f>
        <v>55335</v>
      </c>
      <c r="F6" s="157">
        <f>F4*F5</f>
        <v>203158.5</v>
      </c>
    </row>
    <row r="7" ht="15"/>
  </sheetData>
  <mergeCells count="2">
    <mergeCell ref="A1:F1"/>
    <mergeCell ref="A2:F2"/>
  </mergeCells>
  <pageMargins left="0.75" right="0.75" top="1" bottom="1" header="0.5" footer="0.5"/>
  <headerFooter alignWithMargins="0" scaleWithDoc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D9" sqref="D9"/>
    </sheetView>
  </sheetViews>
  <sheetFormatPr defaultColWidth="9" defaultRowHeight="14.25" outlineLevelRow="6" outlineLevelCol="5"/>
  <cols>
    <col min="1" max="1" width="22" customWidth="1"/>
    <col min="2" max="2" width="11.375" customWidth="1"/>
    <col min="3" max="3" width="10.5"/>
    <col min="4" max="6" width="10.375"/>
  </cols>
  <sheetData>
    <row r="1" ht="26.45" customHeight="1" spans="1:6">
      <c r="A1" s="62" t="s">
        <v>96</v>
      </c>
      <c r="B1" s="62"/>
      <c r="C1" s="62"/>
      <c r="D1" s="62"/>
      <c r="E1" s="62"/>
      <c r="F1" s="62"/>
    </row>
    <row r="2" ht="15" spans="1:6">
      <c r="A2" s="63" t="s">
        <v>97</v>
      </c>
      <c r="B2" s="63"/>
      <c r="C2" s="63"/>
      <c r="D2" s="63"/>
      <c r="E2" s="63"/>
      <c r="F2" s="63"/>
    </row>
    <row r="3" ht="19.15" customHeight="1" spans="1:6">
      <c r="A3" s="64" t="s">
        <v>25</v>
      </c>
      <c r="B3" s="114" t="s">
        <v>3</v>
      </c>
      <c r="C3" s="114" t="s">
        <v>4</v>
      </c>
      <c r="D3" s="114" t="s">
        <v>5</v>
      </c>
      <c r="E3" s="114" t="s">
        <v>6</v>
      </c>
      <c r="F3" s="65" t="s">
        <v>56</v>
      </c>
    </row>
    <row r="4" ht="17.45" customHeight="1" spans="1:6">
      <c r="A4" s="117" t="s">
        <v>98</v>
      </c>
      <c r="B4" s="146">
        <f>生产预算分析表!B13</f>
        <v>8287.5</v>
      </c>
      <c r="C4" s="146">
        <f>生产预算分析表!C13</f>
        <v>10837.5</v>
      </c>
      <c r="D4" s="147">
        <f>生产预算分析表!D13</f>
        <v>12665</v>
      </c>
      <c r="E4" s="147">
        <f>生产预算分析表!E13</f>
        <v>11900</v>
      </c>
      <c r="F4" s="148">
        <f>SUM(B4:E4)</f>
        <v>43690</v>
      </c>
    </row>
    <row r="5" ht="18" customHeight="1" spans="1:6">
      <c r="A5" s="117" t="s">
        <v>99</v>
      </c>
      <c r="B5" s="149">
        <f>预计定额成本!$B$5</f>
        <v>4.65</v>
      </c>
      <c r="C5" s="149">
        <f>预计定额成本!$B$5</f>
        <v>4.65</v>
      </c>
      <c r="D5" s="149">
        <f>预计定额成本!$B$5</f>
        <v>4.65</v>
      </c>
      <c r="E5" s="149">
        <f>预计定额成本!$B$5</f>
        <v>4.65</v>
      </c>
      <c r="F5" s="148">
        <f>预计定额成本!$B$5</f>
        <v>4.65</v>
      </c>
    </row>
    <row r="6" ht="18.6" customHeight="1" spans="1:6">
      <c r="A6" s="118" t="s">
        <v>100</v>
      </c>
      <c r="B6" s="150">
        <f>B4*B5</f>
        <v>38536.875</v>
      </c>
      <c r="C6" s="150">
        <f>C4*C5</f>
        <v>50394.375</v>
      </c>
      <c r="D6" s="150">
        <f>D4*D5</f>
        <v>58892.25</v>
      </c>
      <c r="E6" s="150">
        <f>E4*E5</f>
        <v>55335</v>
      </c>
      <c r="F6" s="151">
        <f>F4*F5</f>
        <v>203158.5</v>
      </c>
    </row>
    <row r="7" ht="15"/>
  </sheetData>
  <mergeCells count="2">
    <mergeCell ref="A1:F1"/>
    <mergeCell ref="A2:F2"/>
  </mergeCells>
  <pageMargins left="0.75" right="0.75" top="1" bottom="1" header="0.5" footer="0.5"/>
  <pageSetup paperSize="9" orientation="portrait" horizontalDpi="300" verticalDpi="300"/>
  <headerFooter alignWithMargins="0" scaleWithDoc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showFormulas="1" workbookViewId="0">
      <selection activeCell="I18" sqref="I18"/>
    </sheetView>
  </sheetViews>
  <sheetFormatPr defaultColWidth="9" defaultRowHeight="14.25" outlineLevelCol="7"/>
  <cols>
    <col min="1" max="1" width="5.125" customWidth="1"/>
    <col min="3" max="3" width="8.875" customWidth="1"/>
    <col min="6" max="6" width="4.25" customWidth="1"/>
    <col min="7" max="7" width="8.75" customWidth="1"/>
  </cols>
  <sheetData>
    <row r="1" ht="18.75" spans="1:7">
      <c r="A1" s="62" t="s">
        <v>101</v>
      </c>
      <c r="B1" s="62"/>
      <c r="C1" s="62"/>
      <c r="D1" s="62"/>
      <c r="E1" s="62"/>
      <c r="F1" s="62"/>
      <c r="G1" s="62"/>
    </row>
    <row r="2" ht="15" spans="1:7">
      <c r="A2" s="63" t="s">
        <v>102</v>
      </c>
      <c r="B2" s="63"/>
      <c r="C2" s="63"/>
      <c r="D2" s="63"/>
      <c r="E2" s="63"/>
      <c r="F2" s="63"/>
      <c r="G2" s="63"/>
    </row>
    <row r="3" ht="15" spans="1:8">
      <c r="A3" s="74" t="s">
        <v>25</v>
      </c>
      <c r="B3" s="75" t="s">
        <v>3</v>
      </c>
      <c r="C3" s="75" t="s">
        <v>4</v>
      </c>
      <c r="D3" s="75" t="s">
        <v>5</v>
      </c>
      <c r="E3" s="75" t="s">
        <v>6</v>
      </c>
      <c r="F3" s="137" t="s">
        <v>56</v>
      </c>
      <c r="G3" s="138" t="s">
        <v>103</v>
      </c>
      <c r="H3" s="121"/>
    </row>
    <row r="4" spans="1:7">
      <c r="A4" s="139" t="s">
        <v>26</v>
      </c>
      <c r="B4" s="140">
        <f>'预计制造费用明细表 '!B4</f>
        <v>1200</v>
      </c>
      <c r="C4" s="140">
        <f>'预计制造费用明细表 '!C4</f>
        <v>2500</v>
      </c>
      <c r="D4" s="140">
        <f>'预计制造费用明细表 '!D4</f>
        <v>2800</v>
      </c>
      <c r="E4" s="140">
        <f>'预计制造费用明细表 '!E4</f>
        <v>2920</v>
      </c>
      <c r="F4" s="140">
        <f>SUM(B4:E4)</f>
        <v>9420</v>
      </c>
      <c r="G4" s="141">
        <f>F4/直接人工预算分析表!F4</f>
        <v>0.21560997940032</v>
      </c>
    </row>
    <row r="5" spans="1:7">
      <c r="A5" s="139" t="s">
        <v>27</v>
      </c>
      <c r="B5" s="140">
        <f>'预计制造费用明细表 '!B5</f>
        <v>1250</v>
      </c>
      <c r="C5" s="140">
        <f>'预计制造费用明细表 '!C5</f>
        <v>2450</v>
      </c>
      <c r="D5" s="140">
        <f>'预计制造费用明细表 '!D5</f>
        <v>2680</v>
      </c>
      <c r="E5" s="140">
        <f>'预计制造费用明细表 '!E5</f>
        <v>3000</v>
      </c>
      <c r="F5" s="140">
        <f>SUM(B5:E5)</f>
        <v>9380</v>
      </c>
      <c r="G5" s="141">
        <f>F5/直接人工预算分析表!F4</f>
        <v>0.214694438086519</v>
      </c>
    </row>
    <row r="6" spans="1:7">
      <c r="A6" s="139" t="s">
        <v>28</v>
      </c>
      <c r="B6" s="140">
        <f>'预计制造费用明细表 '!B6</f>
        <v>800</v>
      </c>
      <c r="C6" s="140">
        <f>'预计制造费用明细表 '!C6</f>
        <v>500</v>
      </c>
      <c r="D6" s="140">
        <f>'预计制造费用明细表 '!D6</f>
        <v>750</v>
      </c>
      <c r="E6" s="140">
        <f>'预计制造费用明细表 '!E6</f>
        <v>860</v>
      </c>
      <c r="F6" s="140">
        <f>SUM(B6:E6)</f>
        <v>2910</v>
      </c>
      <c r="G6" s="141">
        <f>F6/直接人工预算分析表!F4</f>
        <v>0.0666056305790799</v>
      </c>
    </row>
    <row r="7" spans="1:7">
      <c r="A7" s="139" t="s">
        <v>29</v>
      </c>
      <c r="B7" s="140">
        <f>'预计制造费用明细表 '!B8</f>
        <v>3250</v>
      </c>
      <c r="C7" s="140">
        <f>'预计制造费用明细表 '!C8</f>
        <v>5450</v>
      </c>
      <c r="D7" s="140">
        <f>'预计制造费用明细表 '!D8</f>
        <v>6230</v>
      </c>
      <c r="E7" s="140">
        <f>'预计制造费用明细表 '!E8</f>
        <v>6780</v>
      </c>
      <c r="F7" s="140">
        <f>SUM(B7:E7)</f>
        <v>21710</v>
      </c>
      <c r="G7" s="141">
        <f>F7/直接人工预算分析表!F4</f>
        <v>0.496910048065919</v>
      </c>
    </row>
    <row r="8" spans="1:7">
      <c r="A8" s="142" t="s">
        <v>104</v>
      </c>
      <c r="B8" s="140">
        <f>B6</f>
        <v>800</v>
      </c>
      <c r="C8" s="140">
        <f>C6</f>
        <v>500</v>
      </c>
      <c r="D8" s="140">
        <f>D6</f>
        <v>750</v>
      </c>
      <c r="E8" s="140">
        <f>E6</f>
        <v>860</v>
      </c>
      <c r="F8" s="140">
        <f>SUM(B8:E8)</f>
        <v>2910</v>
      </c>
      <c r="G8" s="141">
        <f>F8/直接人工预算分析表!F4</f>
        <v>0.0666056305790799</v>
      </c>
    </row>
    <row r="9" ht="15" spans="1:7">
      <c r="A9" s="143" t="s">
        <v>105</v>
      </c>
      <c r="B9" s="144">
        <f>B7-B8</f>
        <v>2450</v>
      </c>
      <c r="C9" s="144">
        <f>C7-C8</f>
        <v>4950</v>
      </c>
      <c r="D9" s="144">
        <f>D7-D8</f>
        <v>5480</v>
      </c>
      <c r="E9" s="144">
        <f>E7-E8</f>
        <v>5920</v>
      </c>
      <c r="F9" s="144">
        <f>F7-F8</f>
        <v>18800</v>
      </c>
      <c r="G9" s="145">
        <f>F9/直接人工预算分析表!F4</f>
        <v>0.430304417486839</v>
      </c>
    </row>
    <row r="10" ht="15"/>
  </sheetData>
  <mergeCells count="2">
    <mergeCell ref="A1:G1"/>
    <mergeCell ref="A2:G2"/>
  </mergeCells>
  <pageMargins left="0.75" right="0.75" top="1" bottom="1" header="0.5" footer="0.5"/>
  <headerFooter alignWithMargins="0" scaleWithDoc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5" sqref="G5"/>
    </sheetView>
  </sheetViews>
  <sheetFormatPr defaultColWidth="9" defaultRowHeight="14.25" outlineLevelCol="6"/>
  <cols>
    <col min="1" max="1" width="17.25" customWidth="1"/>
    <col min="2" max="2" width="13.25" customWidth="1"/>
    <col min="3" max="3" width="12.5" customWidth="1"/>
    <col min="4" max="4" width="11.75" customWidth="1"/>
    <col min="5" max="5" width="10.75" customWidth="1"/>
    <col min="6" max="6" width="10.875" customWidth="1"/>
    <col min="7" max="7" width="20.25" customWidth="1"/>
  </cols>
  <sheetData>
    <row r="1" ht="26.45" customHeight="1" spans="1:7">
      <c r="A1" s="62" t="s">
        <v>101</v>
      </c>
      <c r="B1" s="62"/>
      <c r="C1" s="62"/>
      <c r="D1" s="62"/>
      <c r="E1" s="62"/>
      <c r="F1" s="62"/>
      <c r="G1" s="62"/>
    </row>
    <row r="2" ht="15" spans="1:7">
      <c r="A2" s="63" t="s">
        <v>102</v>
      </c>
      <c r="B2" s="63"/>
      <c r="C2" s="63"/>
      <c r="D2" s="63"/>
      <c r="E2" s="63"/>
      <c r="F2" s="63"/>
      <c r="G2" s="63"/>
    </row>
    <row r="3" ht="16.15" customHeight="1" spans="1:7">
      <c r="A3" s="64" t="s">
        <v>25</v>
      </c>
      <c r="B3" s="114" t="s">
        <v>3</v>
      </c>
      <c r="C3" s="114" t="s">
        <v>4</v>
      </c>
      <c r="D3" s="114" t="s">
        <v>5</v>
      </c>
      <c r="E3" s="114" t="s">
        <v>6</v>
      </c>
      <c r="F3" s="133" t="s">
        <v>56</v>
      </c>
      <c r="G3" s="134" t="s">
        <v>103</v>
      </c>
    </row>
    <row r="4" ht="16.15" customHeight="1" spans="1:7">
      <c r="A4" s="117" t="s">
        <v>26</v>
      </c>
      <c r="B4" s="101">
        <f>'预计制造费用明细表 '!B4</f>
        <v>1200</v>
      </c>
      <c r="C4" s="101">
        <f>'预计制造费用明细表 '!C4</f>
        <v>2500</v>
      </c>
      <c r="D4" s="101">
        <f>'预计制造费用明细表 '!D4</f>
        <v>2800</v>
      </c>
      <c r="E4" s="101">
        <f>'预计制造费用明细表 '!E4</f>
        <v>2920</v>
      </c>
      <c r="F4" s="101">
        <f>SUM(B4:E4)</f>
        <v>9420</v>
      </c>
      <c r="G4" s="67">
        <f>F4/直接人工预算分析表!F4</f>
        <v>0.21560997940032</v>
      </c>
    </row>
    <row r="5" ht="16.15" customHeight="1" spans="1:7">
      <c r="A5" s="117" t="s">
        <v>27</v>
      </c>
      <c r="B5" s="101">
        <f>'预计制造费用明细表 '!B5</f>
        <v>1250</v>
      </c>
      <c r="C5" s="101">
        <f>'预计制造费用明细表 '!C5</f>
        <v>2450</v>
      </c>
      <c r="D5" s="101">
        <f>'预计制造费用明细表 '!D5</f>
        <v>2680</v>
      </c>
      <c r="E5" s="101">
        <f>'预计制造费用明细表 '!E5</f>
        <v>3000</v>
      </c>
      <c r="F5" s="101">
        <f>SUM(B5:E5)</f>
        <v>9380</v>
      </c>
      <c r="G5" s="67">
        <f>F5/直接人工预算分析表!F4</f>
        <v>0.214694438086519</v>
      </c>
    </row>
    <row r="6" ht="16.15" customHeight="1" spans="1:7">
      <c r="A6" s="117" t="s">
        <v>28</v>
      </c>
      <c r="B6" s="101">
        <f>'预计制造费用明细表 '!B6</f>
        <v>800</v>
      </c>
      <c r="C6" s="101">
        <f>'预计制造费用明细表 '!C6</f>
        <v>500</v>
      </c>
      <c r="D6" s="101">
        <f>'预计制造费用明细表 '!D6</f>
        <v>750</v>
      </c>
      <c r="E6" s="101">
        <f>'预计制造费用明细表 '!E6</f>
        <v>860</v>
      </c>
      <c r="F6" s="101">
        <f>SUM(B6:E6)</f>
        <v>2910</v>
      </c>
      <c r="G6" s="67">
        <f>F6/直接人工预算分析表!F4</f>
        <v>0.0666056305790799</v>
      </c>
    </row>
    <row r="7" ht="16.15" customHeight="1" spans="1:7">
      <c r="A7" s="117" t="s">
        <v>29</v>
      </c>
      <c r="B7" s="101">
        <f>'预计制造费用明细表 '!B8</f>
        <v>3250</v>
      </c>
      <c r="C7" s="101">
        <f>'预计制造费用明细表 '!C8</f>
        <v>5450</v>
      </c>
      <c r="D7" s="101">
        <f>'预计制造费用明细表 '!D8</f>
        <v>6230</v>
      </c>
      <c r="E7" s="101">
        <f>'预计制造费用明细表 '!E8</f>
        <v>6780</v>
      </c>
      <c r="F7" s="101">
        <f>SUM(B7:E7)</f>
        <v>21710</v>
      </c>
      <c r="G7" s="67">
        <f>F7/直接人工预算分析表!F4</f>
        <v>0.496910048065919</v>
      </c>
    </row>
    <row r="8" ht="16.15" customHeight="1" spans="1:7">
      <c r="A8" s="135" t="s">
        <v>104</v>
      </c>
      <c r="B8" s="101">
        <f>B6</f>
        <v>800</v>
      </c>
      <c r="C8" s="101">
        <f>C6</f>
        <v>500</v>
      </c>
      <c r="D8" s="101">
        <f>D6</f>
        <v>750</v>
      </c>
      <c r="E8" s="101">
        <f>E6</f>
        <v>860</v>
      </c>
      <c r="F8" s="101">
        <f>SUM(B8:E8)</f>
        <v>2910</v>
      </c>
      <c r="G8" s="67">
        <f>F8/直接人工预算分析表!F4</f>
        <v>0.0666056305790799</v>
      </c>
    </row>
    <row r="9" ht="16.15" customHeight="1" spans="1:7">
      <c r="A9" s="132" t="s">
        <v>105</v>
      </c>
      <c r="B9" s="104">
        <f>B7-B8</f>
        <v>2450</v>
      </c>
      <c r="C9" s="104">
        <f>C7-C8</f>
        <v>4950</v>
      </c>
      <c r="D9" s="104">
        <f>D7-D8</f>
        <v>5480</v>
      </c>
      <c r="E9" s="104">
        <f>E7-E8</f>
        <v>5920</v>
      </c>
      <c r="F9" s="104">
        <f>F7-F8</f>
        <v>18800</v>
      </c>
      <c r="G9" s="105">
        <f>F9/直接人工预算分析表!F4</f>
        <v>0.430304417486839</v>
      </c>
    </row>
    <row r="10" ht="15" spans="1:1">
      <c r="A10" s="136"/>
    </row>
    <row r="11" spans="5:5">
      <c r="E11" s="31"/>
    </row>
  </sheetData>
  <mergeCells count="2">
    <mergeCell ref="A1:G1"/>
    <mergeCell ref="A2:G2"/>
  </mergeCells>
  <pageMargins left="0.75" right="0.75" top="1" bottom="1" header="0.5" footer="0.5"/>
  <headerFooter alignWithMargins="0" scaleWithDoc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A1" sqref="A1:B11"/>
    </sheetView>
  </sheetViews>
  <sheetFormatPr defaultColWidth="9" defaultRowHeight="14.25" outlineLevelCol="1"/>
  <cols>
    <col min="1" max="1" width="19.75" customWidth="1"/>
    <col min="2" max="2" width="21.625" customWidth="1"/>
  </cols>
  <sheetData>
    <row r="1" ht="25.9" customHeight="1" spans="1:2">
      <c r="A1" s="62" t="s">
        <v>106</v>
      </c>
      <c r="B1" s="62"/>
    </row>
    <row r="2" ht="15" spans="1:2">
      <c r="A2" s="63" t="s">
        <v>107</v>
      </c>
      <c r="B2" s="63"/>
    </row>
    <row r="3" ht="18" customHeight="1" spans="1:2">
      <c r="A3" s="64" t="s">
        <v>25</v>
      </c>
      <c r="B3" s="65" t="s">
        <v>108</v>
      </c>
    </row>
    <row r="4" ht="18" customHeight="1" spans="1:2">
      <c r="A4" s="117" t="s">
        <v>109</v>
      </c>
      <c r="B4" s="67">
        <f>预计财务费用明细表!B4</f>
        <v>3020</v>
      </c>
    </row>
    <row r="5" ht="18" customHeight="1" spans="1:2">
      <c r="A5" s="117" t="s">
        <v>110</v>
      </c>
      <c r="B5" s="67">
        <f>-预计财务费用明细表!B3</f>
        <v>-2950</v>
      </c>
    </row>
    <row r="6" ht="18" customHeight="1" spans="1:2">
      <c r="A6" s="117" t="s">
        <v>111</v>
      </c>
      <c r="B6" s="67">
        <f>预计财务费用明细表!B6</f>
        <v>3500</v>
      </c>
    </row>
    <row r="7" ht="18" customHeight="1" spans="1:2">
      <c r="A7" s="117" t="s">
        <v>112</v>
      </c>
      <c r="B7" s="67">
        <f>-预计财务费用明细表!B5</f>
        <v>-4500</v>
      </c>
    </row>
    <row r="8" ht="18" customHeight="1" spans="1:2">
      <c r="A8" s="117" t="s">
        <v>113</v>
      </c>
      <c r="B8" s="67">
        <f>预计财务费用明细表!B7</f>
        <v>8000</v>
      </c>
    </row>
    <row r="9" ht="18" customHeight="1" spans="1:2">
      <c r="A9" s="117" t="s">
        <v>22</v>
      </c>
      <c r="B9" s="67">
        <f>预计财务费用明细表!B8</f>
        <v>15250</v>
      </c>
    </row>
    <row r="10" ht="18" customHeight="1" spans="1:2">
      <c r="A10" s="117" t="s">
        <v>114</v>
      </c>
      <c r="B10" s="67">
        <f>SUM(B4:B9)</f>
        <v>22320</v>
      </c>
    </row>
    <row r="11" ht="15" spans="1:2">
      <c r="A11" s="132" t="s">
        <v>115</v>
      </c>
      <c r="B11" s="105">
        <f>B10/4</f>
        <v>5580</v>
      </c>
    </row>
    <row r="12" ht="15"/>
  </sheetData>
  <mergeCells count="2">
    <mergeCell ref="A1:B1"/>
    <mergeCell ref="A2:B2"/>
  </mergeCells>
  <pageMargins left="0.75" right="0.75" top="1" bottom="1" header="0.5" footer="0.5"/>
  <headerFooter alignWithMargins="0" scaleWithDoc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showFormulas="1" workbookViewId="0">
      <selection activeCell="D19" sqref="D19"/>
    </sheetView>
  </sheetViews>
  <sheetFormatPr defaultColWidth="9" defaultRowHeight="14.25" outlineLevelCol="1"/>
  <cols>
    <col min="1" max="1" width="11.25" customWidth="1"/>
    <col min="2" max="2" width="12.5" customWidth="1"/>
  </cols>
  <sheetData>
    <row r="1" ht="18.75" spans="1:2">
      <c r="A1" s="62" t="s">
        <v>106</v>
      </c>
      <c r="B1" s="62"/>
    </row>
    <row r="2" ht="15" spans="1:2">
      <c r="A2" s="63" t="s">
        <v>107</v>
      </c>
      <c r="B2" s="63"/>
    </row>
    <row r="3" ht="15" spans="1:2">
      <c r="A3" s="64" t="s">
        <v>25</v>
      </c>
      <c r="B3" s="65" t="s">
        <v>108</v>
      </c>
    </row>
    <row r="4" spans="1:2">
      <c r="A4" s="117" t="s">
        <v>109</v>
      </c>
      <c r="B4" s="67">
        <f>预计财务费用明细表!B4</f>
        <v>3020</v>
      </c>
    </row>
    <row r="5" spans="1:2">
      <c r="A5" s="117" t="s">
        <v>110</v>
      </c>
      <c r="B5" s="67">
        <f>-预计财务费用明细表!B3</f>
        <v>-2950</v>
      </c>
    </row>
    <row r="6" spans="1:2">
      <c r="A6" s="117" t="s">
        <v>111</v>
      </c>
      <c r="B6" s="67">
        <f>预计财务费用明细表!B6</f>
        <v>3500</v>
      </c>
    </row>
    <row r="7" spans="1:2">
      <c r="A7" s="117" t="s">
        <v>112</v>
      </c>
      <c r="B7" s="67">
        <f>-预计财务费用明细表!B5</f>
        <v>-4500</v>
      </c>
    </row>
    <row r="8" spans="1:2">
      <c r="A8" s="117" t="s">
        <v>113</v>
      </c>
      <c r="B8" s="67">
        <f>预计财务费用明细表!B7</f>
        <v>8000</v>
      </c>
    </row>
    <row r="9" spans="1:2">
      <c r="A9" s="117" t="s">
        <v>22</v>
      </c>
      <c r="B9" s="67">
        <f>预计财务费用明细表!B8</f>
        <v>15250</v>
      </c>
    </row>
    <row r="10" spans="1:2">
      <c r="A10" s="117" t="s">
        <v>114</v>
      </c>
      <c r="B10" s="67">
        <f>SUM(B4:B9)</f>
        <v>22320</v>
      </c>
    </row>
    <row r="11" ht="15" spans="1:2">
      <c r="A11" s="132" t="s">
        <v>115</v>
      </c>
      <c r="B11" s="105">
        <f>B10/4</f>
        <v>5580</v>
      </c>
    </row>
    <row r="12" ht="15"/>
  </sheetData>
  <mergeCells count="2">
    <mergeCell ref="A1:B1"/>
    <mergeCell ref="A2:B2"/>
  </mergeCells>
  <pageMargins left="0.75" right="0.75" top="1" bottom="1" header="0.5" footer="0.5"/>
  <headerFooter alignWithMargins="0" scaleWithDoc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D7" sqref="D7"/>
    </sheetView>
  </sheetViews>
  <sheetFormatPr defaultColWidth="9" defaultRowHeight="14.25" outlineLevelCol="1"/>
  <cols>
    <col min="1" max="1" width="21.125" customWidth="1"/>
    <col min="2" max="2" width="21.25" customWidth="1"/>
  </cols>
  <sheetData>
    <row r="1" ht="25.15" customHeight="1" spans="1:2">
      <c r="A1" s="62" t="s">
        <v>116</v>
      </c>
      <c r="B1" s="62"/>
    </row>
    <row r="2" ht="15" spans="1:2">
      <c r="A2" s="124" t="s">
        <v>117</v>
      </c>
      <c r="B2" s="125" t="s">
        <v>118</v>
      </c>
    </row>
    <row r="3" spans="1:2">
      <c r="A3" s="126" t="s">
        <v>119</v>
      </c>
      <c r="B3" s="127">
        <v>2950</v>
      </c>
    </row>
    <row r="4" spans="1:2">
      <c r="A4" s="128" t="s">
        <v>109</v>
      </c>
      <c r="B4" s="129">
        <v>3020</v>
      </c>
    </row>
    <row r="5" spans="1:2">
      <c r="A5" s="128" t="s">
        <v>120</v>
      </c>
      <c r="B5" s="129">
        <v>4500</v>
      </c>
    </row>
    <row r="6" spans="1:2">
      <c r="A6" s="128" t="s">
        <v>111</v>
      </c>
      <c r="B6" s="129">
        <v>3500</v>
      </c>
    </row>
    <row r="7" spans="1:2">
      <c r="A7" s="128" t="s">
        <v>113</v>
      </c>
      <c r="B7" s="129">
        <v>8000</v>
      </c>
    </row>
    <row r="8" spans="1:2">
      <c r="A8" s="128" t="s">
        <v>37</v>
      </c>
      <c r="B8" s="129">
        <v>15250</v>
      </c>
    </row>
    <row r="9" spans="1:2">
      <c r="A9" s="128"/>
      <c r="B9" s="129"/>
    </row>
    <row r="10" ht="15" spans="1:2">
      <c r="A10" s="130" t="s">
        <v>121</v>
      </c>
      <c r="B10" s="131">
        <f>SUM(B3:B9)</f>
        <v>37220</v>
      </c>
    </row>
    <row r="11" spans="2:2">
      <c r="B11" s="31"/>
    </row>
  </sheetData>
  <mergeCells count="1">
    <mergeCell ref="A1:B1"/>
  </mergeCells>
  <pageMargins left="0.75" right="0.75" top="1" bottom="1" header="0.5" footer="0.5"/>
  <pageSetup paperSize="9" orientation="portrait" horizontalDpi="300" verticalDpi="300"/>
  <headerFooter alignWithMargins="0" scaleWithDoc="0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A1" sqref="A1:B8"/>
    </sheetView>
  </sheetViews>
  <sheetFormatPr defaultColWidth="9" defaultRowHeight="14.25" outlineLevelCol="1"/>
  <cols>
    <col min="1" max="1" width="25.75" customWidth="1"/>
    <col min="2" max="2" width="21.75" customWidth="1"/>
  </cols>
  <sheetData>
    <row r="1" ht="22.9" customHeight="1" spans="1:2">
      <c r="A1" s="62" t="s">
        <v>122</v>
      </c>
      <c r="B1" s="62"/>
    </row>
    <row r="2" ht="15" spans="1:2">
      <c r="A2" s="63" t="s">
        <v>107</v>
      </c>
      <c r="B2" s="63"/>
    </row>
    <row r="3" ht="19.15" customHeight="1" spans="1:2">
      <c r="A3" s="64" t="s">
        <v>25</v>
      </c>
      <c r="B3" s="65" t="s">
        <v>108</v>
      </c>
    </row>
    <row r="4" ht="18.6" customHeight="1" spans="1:2">
      <c r="A4" s="119" t="s">
        <v>123</v>
      </c>
      <c r="B4" s="67">
        <f>预计管理费用明细表!B15</f>
        <v>34500</v>
      </c>
    </row>
    <row r="5" ht="18" customHeight="1" spans="1:2">
      <c r="A5" s="119" t="s">
        <v>124</v>
      </c>
      <c r="B5" s="67">
        <f>预计管理费用明细表!B5</f>
        <v>2500</v>
      </c>
    </row>
    <row r="6" ht="18" customHeight="1" spans="1:2">
      <c r="A6" s="119" t="s">
        <v>125</v>
      </c>
      <c r="B6" s="67">
        <f>预计管理费用明细表!B12</f>
        <v>1820</v>
      </c>
    </row>
    <row r="7" ht="18" customHeight="1" spans="1:2">
      <c r="A7" s="119" t="s">
        <v>126</v>
      </c>
      <c r="B7" s="67">
        <f>B4-B5-B6</f>
        <v>30180</v>
      </c>
    </row>
    <row r="8" ht="18" customHeight="1" spans="1:2">
      <c r="A8" s="120" t="s">
        <v>127</v>
      </c>
      <c r="B8" s="105">
        <f>B7/4</f>
        <v>7545</v>
      </c>
    </row>
    <row r="9" ht="15" spans="1:2">
      <c r="A9" s="121"/>
      <c r="B9" s="122"/>
    </row>
    <row r="10" spans="2:2">
      <c r="B10" s="122"/>
    </row>
    <row r="11" spans="2:2">
      <c r="B11" s="122"/>
    </row>
    <row r="12" spans="2:2">
      <c r="B12" s="123"/>
    </row>
  </sheetData>
  <mergeCells count="2">
    <mergeCell ref="A1:B1"/>
    <mergeCell ref="A2:B2"/>
  </mergeCells>
  <pageMargins left="0.75" right="0.75" top="1" bottom="1" header="0.5" footer="0.5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topLeftCell="A2" workbookViewId="0">
      <selection activeCell="A17" sqref="A17"/>
    </sheetView>
  </sheetViews>
  <sheetFormatPr defaultColWidth="9" defaultRowHeight="14.25" outlineLevelCol="1"/>
  <cols>
    <col min="1" max="1" width="20.375" customWidth="1"/>
    <col min="2" max="2" width="24" customWidth="1"/>
  </cols>
  <sheetData>
    <row r="1" ht="24.6" customHeight="1" spans="1:2">
      <c r="A1" s="62" t="s">
        <v>9</v>
      </c>
      <c r="B1" s="62"/>
    </row>
    <row r="2" ht="15" spans="1:2">
      <c r="A2" s="213" t="s">
        <v>10</v>
      </c>
      <c r="B2" s="214" t="s">
        <v>11</v>
      </c>
    </row>
    <row r="3" spans="1:2">
      <c r="A3" s="126" t="s">
        <v>12</v>
      </c>
      <c r="B3" s="127">
        <v>50000</v>
      </c>
    </row>
    <row r="4" spans="1:2">
      <c r="A4" s="128" t="s">
        <v>13</v>
      </c>
      <c r="B4" s="129">
        <v>7000</v>
      </c>
    </row>
    <row r="5" spans="1:2">
      <c r="A5" s="128" t="s">
        <v>14</v>
      </c>
      <c r="B5" s="129">
        <v>20000</v>
      </c>
    </row>
    <row r="6" spans="1:2">
      <c r="A6" s="128" t="s">
        <v>15</v>
      </c>
      <c r="B6" s="129">
        <v>8000</v>
      </c>
    </row>
    <row r="7" spans="1:2">
      <c r="A7" s="128" t="s">
        <v>16</v>
      </c>
      <c r="B7" s="129">
        <v>12000</v>
      </c>
    </row>
    <row r="8" spans="1:2">
      <c r="A8" s="128" t="s">
        <v>17</v>
      </c>
      <c r="B8" s="129">
        <v>15000</v>
      </c>
    </row>
    <row r="9" spans="1:2">
      <c r="A9" s="128" t="s">
        <v>18</v>
      </c>
      <c r="B9" s="129">
        <v>25000</v>
      </c>
    </row>
    <row r="10" spans="1:2">
      <c r="A10" s="128" t="s">
        <v>19</v>
      </c>
      <c r="B10" s="129">
        <v>14500</v>
      </c>
    </row>
    <row r="11" spans="1:2">
      <c r="A11" s="128" t="s">
        <v>20</v>
      </c>
      <c r="B11" s="129">
        <v>10000</v>
      </c>
    </row>
    <row r="12" spans="1:2">
      <c r="A12" s="128" t="s">
        <v>21</v>
      </c>
      <c r="B12" s="129">
        <v>5000</v>
      </c>
    </row>
    <row r="13" spans="1:2">
      <c r="A13" s="128" t="s">
        <v>22</v>
      </c>
      <c r="B13" s="129">
        <v>8500</v>
      </c>
    </row>
    <row r="14" spans="1:2">
      <c r="A14" s="128"/>
      <c r="B14" s="207"/>
    </row>
    <row r="15" ht="15" spans="1:2">
      <c r="A15" s="130" t="s">
        <v>23</v>
      </c>
      <c r="B15" s="131">
        <f>SUM(B3:B14)</f>
        <v>175000</v>
      </c>
    </row>
    <row r="16" spans="1:2">
      <c r="A16" s="92"/>
      <c r="B16" s="92"/>
    </row>
    <row r="17" spans="1:2">
      <c r="A17" s="92"/>
      <c r="B17" s="92"/>
    </row>
  </sheetData>
  <mergeCells count="1">
    <mergeCell ref="A1:B1"/>
  </mergeCells>
  <pageMargins left="0.75" right="0.75" top="1" bottom="1" header="0.5" footer="0.5"/>
  <headerFooter alignWithMargins="0" scaleWithDoc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showFormulas="1" workbookViewId="0">
      <selection activeCell="D12" sqref="D12"/>
    </sheetView>
  </sheetViews>
  <sheetFormatPr defaultColWidth="9" defaultRowHeight="14.25" outlineLevelCol="1"/>
  <cols>
    <col min="1" max="1" width="11.25" customWidth="1"/>
    <col min="2" max="2" width="12.25" customWidth="1"/>
  </cols>
  <sheetData>
    <row r="1" ht="18.75" spans="1:2">
      <c r="A1" s="62" t="s">
        <v>122</v>
      </c>
      <c r="B1" s="62"/>
    </row>
    <row r="2" ht="15" spans="1:2">
      <c r="A2" s="63" t="s">
        <v>107</v>
      </c>
      <c r="B2" s="63"/>
    </row>
    <row r="3" ht="15" spans="1:2">
      <c r="A3" s="64" t="s">
        <v>25</v>
      </c>
      <c r="B3" s="65" t="s">
        <v>108</v>
      </c>
    </row>
    <row r="4" spans="1:2">
      <c r="A4" s="119" t="s">
        <v>123</v>
      </c>
      <c r="B4" s="67">
        <f>预计管理费用明细表!B15</f>
        <v>34500</v>
      </c>
    </row>
    <row r="5" spans="1:2">
      <c r="A5" s="119" t="s">
        <v>124</v>
      </c>
      <c r="B5" s="67">
        <f>预计管理费用明细表!B5</f>
        <v>2500</v>
      </c>
    </row>
    <row r="6" spans="1:2">
      <c r="A6" s="119" t="s">
        <v>125</v>
      </c>
      <c r="B6" s="67">
        <f>预计管理费用明细表!B12</f>
        <v>1820</v>
      </c>
    </row>
    <row r="7" spans="1:2">
      <c r="A7" s="119" t="s">
        <v>126</v>
      </c>
      <c r="B7" s="67">
        <f>B4-B5-B6</f>
        <v>30180</v>
      </c>
    </row>
    <row r="8" ht="15" spans="1:2">
      <c r="A8" s="120" t="s">
        <v>127</v>
      </c>
      <c r="B8" s="105">
        <f>B7/4</f>
        <v>7545</v>
      </c>
    </row>
    <row r="9" ht="15"/>
  </sheetData>
  <mergeCells count="2">
    <mergeCell ref="A1:B1"/>
    <mergeCell ref="A2:B2"/>
  </mergeCells>
  <pageMargins left="0.75" right="0.75" top="1" bottom="1" header="0.5" footer="0.5"/>
  <headerFooter alignWithMargins="0" scaleWithDoc="0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H8" sqref="H8"/>
    </sheetView>
  </sheetViews>
  <sheetFormatPr defaultColWidth="9" defaultRowHeight="14.25" outlineLevelCol="7"/>
  <cols>
    <col min="1" max="1" width="18.125"/>
    <col min="2" max="3" width="10.25" customWidth="1"/>
    <col min="4" max="5" width="10.5" customWidth="1"/>
    <col min="6" max="6" width="10.375"/>
  </cols>
  <sheetData>
    <row r="1" ht="27" customHeight="1" spans="1:6">
      <c r="A1" s="62" t="s">
        <v>128</v>
      </c>
      <c r="B1" s="62"/>
      <c r="C1" s="62"/>
      <c r="D1" s="62"/>
      <c r="E1" s="62"/>
      <c r="F1" s="62"/>
    </row>
    <row r="2" ht="15" spans="1:6">
      <c r="A2" s="63" t="s">
        <v>129</v>
      </c>
      <c r="B2" s="63"/>
      <c r="C2" s="63"/>
      <c r="D2" s="63"/>
      <c r="E2" s="63"/>
      <c r="F2" s="63"/>
    </row>
    <row r="3" ht="15" spans="1:6">
      <c r="A3" s="64" t="s">
        <v>25</v>
      </c>
      <c r="B3" s="114" t="s">
        <v>3</v>
      </c>
      <c r="C3" s="114" t="s">
        <v>4</v>
      </c>
      <c r="D3" s="114" t="s">
        <v>5</v>
      </c>
      <c r="E3" s="114" t="s">
        <v>6</v>
      </c>
      <c r="F3" s="65" t="s">
        <v>56</v>
      </c>
    </row>
    <row r="4" spans="1:6">
      <c r="A4" s="117" t="s">
        <v>130</v>
      </c>
      <c r="B4" s="101">
        <v>12000</v>
      </c>
      <c r="C4" s="101">
        <v>14000</v>
      </c>
      <c r="D4" s="101">
        <v>15400</v>
      </c>
      <c r="E4" s="101">
        <v>16000</v>
      </c>
      <c r="F4" s="67">
        <f>SUM(B4:E4)</f>
        <v>57400</v>
      </c>
    </row>
    <row r="5" spans="1:6">
      <c r="A5" s="117" t="s">
        <v>13</v>
      </c>
      <c r="B5" s="101">
        <f>B4*0.14</f>
        <v>1680</v>
      </c>
      <c r="C5" s="101">
        <f>C4*0.14</f>
        <v>1960</v>
      </c>
      <c r="D5" s="101">
        <f>D4*0.14</f>
        <v>2156</v>
      </c>
      <c r="E5" s="101">
        <f>E4*0.14</f>
        <v>2240</v>
      </c>
      <c r="F5" s="67">
        <f>F4*0.14</f>
        <v>8036</v>
      </c>
    </row>
    <row r="6" spans="1:6">
      <c r="A6" s="117" t="s">
        <v>131</v>
      </c>
      <c r="B6" s="101">
        <f>0.02*销售预算分析!B6</f>
        <v>4200</v>
      </c>
      <c r="C6" s="101">
        <f>0.02*销售预算分析!C6</f>
        <v>5250</v>
      </c>
      <c r="D6" s="101">
        <f>0.02*销售预算分析!D6</f>
        <v>6300</v>
      </c>
      <c r="E6" s="101">
        <f>0.02*销售预算分析!E6</f>
        <v>5880</v>
      </c>
      <c r="F6" s="67">
        <f>SUM(B6:E6)</f>
        <v>21630</v>
      </c>
    </row>
    <row r="7" spans="1:6">
      <c r="A7" s="117" t="s">
        <v>132</v>
      </c>
      <c r="B7" s="101">
        <f>0.015*销售预算分析!B6</f>
        <v>3150</v>
      </c>
      <c r="C7" s="101">
        <f>0.015*销售预算分析!C6</f>
        <v>3937.5</v>
      </c>
      <c r="D7" s="101">
        <f>0.015*销售预算分析!D6</f>
        <v>4725</v>
      </c>
      <c r="E7" s="101">
        <f>0.015*销售预算分析!E6</f>
        <v>4410</v>
      </c>
      <c r="F7" s="67">
        <f>SUM(B7:E7)</f>
        <v>16222.5</v>
      </c>
    </row>
    <row r="8" spans="1:8">
      <c r="A8" s="117" t="s">
        <v>133</v>
      </c>
      <c r="B8" s="101">
        <f>0.018*销售预算分析!B6</f>
        <v>3780</v>
      </c>
      <c r="C8" s="101">
        <f>0.018*销售预算分析!C6</f>
        <v>4725</v>
      </c>
      <c r="D8" s="101">
        <f>0.018*销售预算分析!D6</f>
        <v>5670</v>
      </c>
      <c r="E8" s="101">
        <f>0.018*销售预算分析!E6</f>
        <v>5292</v>
      </c>
      <c r="F8" s="67">
        <f>SUM(B8:E8)</f>
        <v>19467</v>
      </c>
      <c r="H8">
        <f>2/100</f>
        <v>0.02</v>
      </c>
    </row>
    <row r="9" ht="15" spans="1:6">
      <c r="A9" s="118" t="s">
        <v>134</v>
      </c>
      <c r="B9" s="104">
        <f>SUM(B4:B8)</f>
        <v>24810</v>
      </c>
      <c r="C9" s="104">
        <f>SUM(C4:C8)</f>
        <v>29872.5</v>
      </c>
      <c r="D9" s="104">
        <f>SUM(D4:D8)</f>
        <v>34251</v>
      </c>
      <c r="E9" s="104">
        <f>SUM(E4:E8)</f>
        <v>33822</v>
      </c>
      <c r="F9" s="105">
        <f>SUM(F4:F8)</f>
        <v>122755.5</v>
      </c>
    </row>
    <row r="10" ht="15"/>
  </sheetData>
  <mergeCells count="2">
    <mergeCell ref="A1:F1"/>
    <mergeCell ref="A2:F2"/>
  </mergeCells>
  <pageMargins left="0.75" right="0.75" top="1" bottom="1" header="0.5" footer="0.5"/>
  <headerFooter alignWithMargins="0" scaleWithDoc="0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showFormulas="1" workbookViewId="0">
      <selection activeCell="I7" sqref="I7"/>
    </sheetView>
  </sheetViews>
  <sheetFormatPr defaultColWidth="9" defaultRowHeight="14.25" outlineLevelCol="6"/>
  <cols>
    <col min="1" max="1" width="7.125" customWidth="1"/>
    <col min="2" max="2" width="9.125" customWidth="1"/>
    <col min="4" max="4" width="9.125" customWidth="1"/>
    <col min="5" max="5" width="9.25" customWidth="1"/>
    <col min="6" max="6" width="5.5" customWidth="1"/>
  </cols>
  <sheetData>
    <row r="1" ht="18.75" spans="1:6">
      <c r="A1" s="62" t="s">
        <v>128</v>
      </c>
      <c r="B1" s="62"/>
      <c r="C1" s="62"/>
      <c r="D1" s="62"/>
      <c r="E1" s="62"/>
      <c r="F1" s="62"/>
    </row>
    <row r="2" ht="15" spans="1:6">
      <c r="A2" s="63" t="s">
        <v>135</v>
      </c>
      <c r="B2" s="63"/>
      <c r="C2" s="63"/>
      <c r="D2" s="63"/>
      <c r="E2" s="63"/>
      <c r="F2" s="63"/>
    </row>
    <row r="3" ht="15" spans="1:6">
      <c r="A3" s="64" t="s">
        <v>25</v>
      </c>
      <c r="B3" s="114" t="s">
        <v>3</v>
      </c>
      <c r="C3" s="114" t="s">
        <v>4</v>
      </c>
      <c r="D3" s="114" t="s">
        <v>5</v>
      </c>
      <c r="E3" s="114" t="s">
        <v>6</v>
      </c>
      <c r="F3" s="65" t="s">
        <v>56</v>
      </c>
    </row>
    <row r="4" spans="1:7">
      <c r="A4" s="115" t="s">
        <v>130</v>
      </c>
      <c r="B4" s="107">
        <v>12000</v>
      </c>
      <c r="C4" s="107">
        <v>14000</v>
      </c>
      <c r="D4" s="107">
        <v>15400</v>
      </c>
      <c r="E4" s="107">
        <v>16000</v>
      </c>
      <c r="F4" s="108">
        <f>SUM(B4:E4)</f>
        <v>57400</v>
      </c>
      <c r="G4" s="109"/>
    </row>
    <row r="5" spans="1:7">
      <c r="A5" s="115" t="s">
        <v>13</v>
      </c>
      <c r="B5" s="107">
        <f>B4*0.14</f>
        <v>1680</v>
      </c>
      <c r="C5" s="107">
        <f>C4*0.14</f>
        <v>1960</v>
      </c>
      <c r="D5" s="107">
        <f>D4*0.14</f>
        <v>2156</v>
      </c>
      <c r="E5" s="107">
        <f>E4*0.14</f>
        <v>2240</v>
      </c>
      <c r="F5" s="108">
        <f>F4*0.14</f>
        <v>8036</v>
      </c>
      <c r="G5" s="109"/>
    </row>
    <row r="6" spans="1:7">
      <c r="A6" s="115" t="s">
        <v>131</v>
      </c>
      <c r="B6" s="107">
        <f>0.02*销售预算分析!B6</f>
        <v>4200</v>
      </c>
      <c r="C6" s="107">
        <f>0.02*销售预算分析!C6</f>
        <v>5250</v>
      </c>
      <c r="D6" s="107">
        <f>0.02*销售预算分析!D6</f>
        <v>6300</v>
      </c>
      <c r="E6" s="107">
        <f>0.02*销售预算分析!E6</f>
        <v>5880</v>
      </c>
      <c r="F6" s="108">
        <f>SUM(B6:E6)</f>
        <v>21630</v>
      </c>
      <c r="G6" s="109"/>
    </row>
    <row r="7" spans="1:7">
      <c r="A7" s="115" t="s">
        <v>132</v>
      </c>
      <c r="B7" s="107">
        <f>0.015*销售预算分析!B6</f>
        <v>3150</v>
      </c>
      <c r="C7" s="107">
        <f>0.015*销售预算分析!C6</f>
        <v>3937.5</v>
      </c>
      <c r="D7" s="107">
        <f>0.015*销售预算分析!D6</f>
        <v>4725</v>
      </c>
      <c r="E7" s="107">
        <f>0.015*销售预算分析!E6</f>
        <v>4410</v>
      </c>
      <c r="F7" s="108">
        <f>SUM(B7:E7)</f>
        <v>16222.5</v>
      </c>
      <c r="G7" s="109"/>
    </row>
    <row r="8" spans="1:7">
      <c r="A8" s="115" t="s">
        <v>133</v>
      </c>
      <c r="B8" s="107">
        <f>0.018*销售预算分析!B6</f>
        <v>3780</v>
      </c>
      <c r="C8" s="107">
        <f>0.018*销售预算分析!C6</f>
        <v>4725</v>
      </c>
      <c r="D8" s="107">
        <f>0.018*销售预算分析!D6</f>
        <v>5670</v>
      </c>
      <c r="E8" s="107">
        <f>0.018*销售预算分析!E6</f>
        <v>5292</v>
      </c>
      <c r="F8" s="108">
        <f>SUM(B8:E8)</f>
        <v>19467</v>
      </c>
      <c r="G8" s="109"/>
    </row>
    <row r="9" ht="15" spans="1:7">
      <c r="A9" s="116" t="s">
        <v>134</v>
      </c>
      <c r="B9" s="112">
        <f>SUM(B4:B8)</f>
        <v>24810</v>
      </c>
      <c r="C9" s="112">
        <f>SUM(C4:C8)</f>
        <v>29872.5</v>
      </c>
      <c r="D9" s="112">
        <f>SUM(D4:D8)</f>
        <v>34251</v>
      </c>
      <c r="E9" s="112">
        <f>SUM(E4:E8)</f>
        <v>33822</v>
      </c>
      <c r="F9" s="113">
        <f>SUM(F4:F8)</f>
        <v>122755.5</v>
      </c>
      <c r="G9" s="109"/>
    </row>
    <row r="10" ht="15" spans="1:7">
      <c r="A10" s="109"/>
      <c r="B10" s="109"/>
      <c r="C10" s="109"/>
      <c r="D10" s="109"/>
      <c r="E10" s="109"/>
      <c r="F10" s="109"/>
      <c r="G10" s="109"/>
    </row>
  </sheetData>
  <mergeCells count="2">
    <mergeCell ref="A1:F1"/>
    <mergeCell ref="A2:F2"/>
  </mergeCells>
  <pageMargins left="0.75" right="0.75" top="1" bottom="1" header="0.5" footer="0.5"/>
  <headerFooter alignWithMargins="0" scaleWithDoc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showFormulas="1" workbookViewId="0">
      <selection activeCell="I17" sqref="I17"/>
    </sheetView>
  </sheetViews>
  <sheetFormatPr defaultColWidth="9" defaultRowHeight="13.15" customHeight="1"/>
  <cols>
    <col min="1" max="1" width="5.25" customWidth="1"/>
    <col min="3" max="3" width="3.375" customWidth="1"/>
    <col min="4" max="4" width="4.75" customWidth="1"/>
    <col min="5" max="5" width="9.5" customWidth="1"/>
    <col min="6" max="6" width="9.25" customWidth="1"/>
    <col min="7" max="7" width="8.75" customWidth="1"/>
  </cols>
  <sheetData>
    <row r="1" ht="24.6" customHeight="1" spans="1:7">
      <c r="A1" s="91" t="s">
        <v>136</v>
      </c>
      <c r="B1" s="91"/>
      <c r="C1" s="91"/>
      <c r="D1" s="91"/>
      <c r="E1" s="91"/>
      <c r="F1" s="91"/>
      <c r="G1" s="91"/>
    </row>
    <row r="2" ht="15" customHeight="1" spans="1:7">
      <c r="A2" s="92" t="s">
        <v>137</v>
      </c>
      <c r="B2" s="92"/>
      <c r="C2" s="92"/>
      <c r="D2" s="92"/>
      <c r="E2" s="92"/>
      <c r="F2" s="92"/>
      <c r="G2" s="92"/>
    </row>
    <row r="3" customHeight="1" spans="1:7">
      <c r="A3" s="93" t="s">
        <v>25</v>
      </c>
      <c r="B3" s="94" t="s">
        <v>138</v>
      </c>
      <c r="C3" s="94"/>
      <c r="D3" s="94"/>
      <c r="E3" s="95" t="s">
        <v>139</v>
      </c>
      <c r="F3" s="95" t="s">
        <v>140</v>
      </c>
      <c r="G3" s="96" t="s">
        <v>141</v>
      </c>
    </row>
    <row r="4" customHeight="1" spans="1:7">
      <c r="A4" s="11"/>
      <c r="B4" s="97" t="s">
        <v>142</v>
      </c>
      <c r="C4" s="98" t="s">
        <v>143</v>
      </c>
      <c r="D4" s="98" t="s">
        <v>144</v>
      </c>
      <c r="E4" s="98"/>
      <c r="F4" s="98"/>
      <c r="G4" s="99"/>
    </row>
    <row r="5" customHeight="1" spans="1:9">
      <c r="A5" s="106" t="s">
        <v>145</v>
      </c>
      <c r="B5" s="107">
        <f>直接材料预算分析表!B8</f>
        <v>20</v>
      </c>
      <c r="C5" s="107">
        <v>2</v>
      </c>
      <c r="D5" s="107">
        <f>B5*C5</f>
        <v>40</v>
      </c>
      <c r="E5" s="107">
        <f>生产预算分析表!$F$8*D5</f>
        <v>411200</v>
      </c>
      <c r="F5" s="107">
        <f>D5*生产预算分析表!$E$5</f>
        <v>11200</v>
      </c>
      <c r="G5" s="108">
        <f>D5*销售预算分析!$F$4</f>
        <v>412000</v>
      </c>
      <c r="H5" s="109"/>
      <c r="I5" s="109"/>
    </row>
    <row r="6" customHeight="1" spans="1:9">
      <c r="A6" s="106" t="s">
        <v>146</v>
      </c>
      <c r="B6" s="107">
        <f>预计定额成本!B5</f>
        <v>4.65</v>
      </c>
      <c r="C6" s="107">
        <v>2</v>
      </c>
      <c r="D6" s="107">
        <f>B6*C6</f>
        <v>9.3</v>
      </c>
      <c r="E6" s="107">
        <f>生产预算分析表!$F$8*D6</f>
        <v>95604</v>
      </c>
      <c r="F6" s="107">
        <f>D6*生产预算分析表!$E$5</f>
        <v>2604</v>
      </c>
      <c r="G6" s="108">
        <f>D6*销售预算分析!$F$4</f>
        <v>95790</v>
      </c>
      <c r="H6" s="109"/>
      <c r="I6" s="109"/>
    </row>
    <row r="7" customHeight="1" spans="1:9">
      <c r="A7" s="106" t="s">
        <v>26</v>
      </c>
      <c r="B7" s="107">
        <f>制造费用预算分析表!G4</f>
        <v>0.21560997940032</v>
      </c>
      <c r="C7" s="107">
        <v>2</v>
      </c>
      <c r="D7" s="107">
        <f>B7*C7</f>
        <v>0.431219958800641</v>
      </c>
      <c r="E7" s="107">
        <f>生产预算分析表!$F$8*D7</f>
        <v>4432.94117647059</v>
      </c>
      <c r="F7" s="107">
        <f>D7*生产预算分析表!$E$5</f>
        <v>120.741588464179</v>
      </c>
      <c r="G7" s="108">
        <f>D7*销售预算分析!$F$4</f>
        <v>4441.5655756466</v>
      </c>
      <c r="H7" s="109"/>
      <c r="I7" s="109"/>
    </row>
    <row r="8" customHeight="1" spans="1:9">
      <c r="A8" s="106" t="s">
        <v>27</v>
      </c>
      <c r="B8" s="107">
        <f>制造费用预算分析表!G5</f>
        <v>0.214694438086519</v>
      </c>
      <c r="C8" s="107">
        <v>2</v>
      </c>
      <c r="D8" s="107">
        <f>B8*C8</f>
        <v>0.429388876173037</v>
      </c>
      <c r="E8" s="107">
        <f>生产预算分析表!$F$8*D8</f>
        <v>4414.11764705882</v>
      </c>
      <c r="F8" s="107">
        <f>D8*生产预算分析表!$E$5</f>
        <v>120.22888532845</v>
      </c>
      <c r="G8" s="108">
        <f>D8*销售预算分析!$F$4</f>
        <v>4422.70542458228</v>
      </c>
      <c r="H8" s="109"/>
      <c r="I8" s="109"/>
    </row>
    <row r="9" customHeight="1" spans="1:9">
      <c r="A9" s="110" t="s">
        <v>147</v>
      </c>
      <c r="B9" s="111"/>
      <c r="C9" s="111"/>
      <c r="D9" s="112">
        <f>SUM(D5:D8)</f>
        <v>50.1606088349737</v>
      </c>
      <c r="E9" s="112">
        <f>SUM(E5:E8)</f>
        <v>515651.058823529</v>
      </c>
      <c r="F9" s="112">
        <f>SUM(F5:F8)</f>
        <v>14044.9704737926</v>
      </c>
      <c r="G9" s="113">
        <f>SUM(G5:G8)</f>
        <v>516654.271000229</v>
      </c>
      <c r="H9" s="109"/>
      <c r="I9" s="109"/>
    </row>
    <row r="10" customHeight="1" spans="1:9">
      <c r="A10" s="109"/>
      <c r="B10" s="109"/>
      <c r="C10" s="109"/>
      <c r="D10" s="109"/>
      <c r="E10" s="109"/>
      <c r="F10" s="109"/>
      <c r="G10" s="109"/>
      <c r="H10" s="109"/>
      <c r="I10" s="109"/>
    </row>
  </sheetData>
  <mergeCells count="7">
    <mergeCell ref="A1:G1"/>
    <mergeCell ref="A2:G2"/>
    <mergeCell ref="B3:D3"/>
    <mergeCell ref="A3:A4"/>
    <mergeCell ref="E3:E4"/>
    <mergeCell ref="F3:F4"/>
    <mergeCell ref="G3:G4"/>
  </mergeCells>
  <pageMargins left="0.75" right="0.75" top="1" bottom="1" header="0.5" footer="0.5"/>
  <headerFooter alignWithMargins="0" scaleWithDoc="0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workbookViewId="0">
      <selection activeCell="I12" sqref="I12"/>
    </sheetView>
  </sheetViews>
  <sheetFormatPr defaultColWidth="9" defaultRowHeight="14.25" outlineLevelCol="6"/>
  <cols>
    <col min="1" max="1" width="16.75" customWidth="1"/>
    <col min="2" max="2" width="18.5" customWidth="1"/>
    <col min="3" max="3" width="8.75" customWidth="1"/>
    <col min="4" max="4" width="8.875"/>
    <col min="5" max="5" width="12.625"/>
    <col min="6" max="6" width="10.375"/>
    <col min="7" max="7" width="12.625"/>
  </cols>
  <sheetData>
    <row r="1" ht="26.45" customHeight="1" spans="1:7">
      <c r="A1" s="91" t="s">
        <v>136</v>
      </c>
      <c r="B1" s="91"/>
      <c r="C1" s="91"/>
      <c r="D1" s="91"/>
      <c r="E1" s="91"/>
      <c r="F1" s="91"/>
      <c r="G1" s="91"/>
    </row>
    <row r="2" ht="15" spans="1:7">
      <c r="A2" s="92" t="s">
        <v>137</v>
      </c>
      <c r="B2" s="92"/>
      <c r="C2" s="92"/>
      <c r="D2" s="92"/>
      <c r="E2" s="92"/>
      <c r="F2" s="92"/>
      <c r="G2" s="92"/>
    </row>
    <row r="3" ht="15" spans="1:7">
      <c r="A3" s="93" t="s">
        <v>25</v>
      </c>
      <c r="B3" s="94" t="s">
        <v>138</v>
      </c>
      <c r="C3" s="94"/>
      <c r="D3" s="94"/>
      <c r="E3" s="95" t="s">
        <v>139</v>
      </c>
      <c r="F3" s="95" t="s">
        <v>140</v>
      </c>
      <c r="G3" s="96" t="s">
        <v>141</v>
      </c>
    </row>
    <row r="4" spans="1:7">
      <c r="A4" s="11"/>
      <c r="B4" s="97" t="s">
        <v>142</v>
      </c>
      <c r="C4" s="98" t="s">
        <v>143</v>
      </c>
      <c r="D4" s="98" t="s">
        <v>144</v>
      </c>
      <c r="E4" s="98"/>
      <c r="F4" s="98"/>
      <c r="G4" s="99"/>
    </row>
    <row r="5" spans="1:7">
      <c r="A5" s="100" t="s">
        <v>145</v>
      </c>
      <c r="B5" s="101">
        <f>直接材料预算分析表!B8</f>
        <v>20</v>
      </c>
      <c r="C5" s="101">
        <v>2</v>
      </c>
      <c r="D5" s="101">
        <f>B5*C5</f>
        <v>40</v>
      </c>
      <c r="E5" s="101">
        <f>生产预算分析表!$F$8*D5</f>
        <v>411200</v>
      </c>
      <c r="F5" s="101">
        <f>D5*生产预算分析表!$E$5</f>
        <v>11200</v>
      </c>
      <c r="G5" s="67">
        <f>D5*销售预算分析!$F$4</f>
        <v>412000</v>
      </c>
    </row>
    <row r="6" spans="1:7">
      <c r="A6" s="100" t="s">
        <v>146</v>
      </c>
      <c r="B6" s="101">
        <f>预计定额成本!B5</f>
        <v>4.65</v>
      </c>
      <c r="C6" s="101">
        <v>2</v>
      </c>
      <c r="D6" s="101">
        <f>B6*C6</f>
        <v>9.3</v>
      </c>
      <c r="E6" s="101">
        <f>生产预算分析表!$F$8*D6</f>
        <v>95604</v>
      </c>
      <c r="F6" s="101">
        <f>D6*生产预算分析表!$E$5</f>
        <v>2604</v>
      </c>
      <c r="G6" s="67">
        <f>D6*销售预算分析!$F$4</f>
        <v>95790</v>
      </c>
    </row>
    <row r="7" spans="1:7">
      <c r="A7" s="100" t="s">
        <v>26</v>
      </c>
      <c r="B7" s="101">
        <f>制造费用预算分析表!G4</f>
        <v>0.21560997940032</v>
      </c>
      <c r="C7" s="101">
        <v>2</v>
      </c>
      <c r="D7" s="101">
        <f>B7*C7</f>
        <v>0.431219958800641</v>
      </c>
      <c r="E7" s="101">
        <f>生产预算分析表!$F$8*D7</f>
        <v>4432.94117647059</v>
      </c>
      <c r="F7" s="101">
        <f>D7*生产预算分析表!$E$5</f>
        <v>120.741588464179</v>
      </c>
      <c r="G7" s="67">
        <f>D7*销售预算分析!$F$4</f>
        <v>4441.5655756466</v>
      </c>
    </row>
    <row r="8" spans="1:7">
      <c r="A8" s="100" t="s">
        <v>27</v>
      </c>
      <c r="B8" s="101">
        <f>制造费用预算分析表!G5</f>
        <v>0.214694438086519</v>
      </c>
      <c r="C8" s="101">
        <v>2</v>
      </c>
      <c r="D8" s="101">
        <f>B8*C8</f>
        <v>0.429388876173037</v>
      </c>
      <c r="E8" s="101">
        <f>生产预算分析表!$F$8*D8</f>
        <v>4414.11764705882</v>
      </c>
      <c r="F8" s="101">
        <f>D8*生产预算分析表!$E$5</f>
        <v>120.22888532845</v>
      </c>
      <c r="G8" s="67">
        <f>D8*销售预算分析!$F$4</f>
        <v>4422.70542458228</v>
      </c>
    </row>
    <row r="9" ht="15" spans="1:7">
      <c r="A9" s="102" t="s">
        <v>147</v>
      </c>
      <c r="B9" s="103"/>
      <c r="C9" s="103"/>
      <c r="D9" s="104">
        <f>SUM(D5:D8)</f>
        <v>50.1606088349737</v>
      </c>
      <c r="E9" s="104">
        <f>SUM(E5:E8)</f>
        <v>515651.058823529</v>
      </c>
      <c r="F9" s="104">
        <f>SUM(F5:F8)</f>
        <v>14044.9704737926</v>
      </c>
      <c r="G9" s="105">
        <f>SUM(G5:G8)</f>
        <v>516654.271000229</v>
      </c>
    </row>
    <row r="10" ht="15"/>
  </sheetData>
  <mergeCells count="7">
    <mergeCell ref="A1:G1"/>
    <mergeCell ref="A2:G2"/>
    <mergeCell ref="B3:D3"/>
    <mergeCell ref="A3:A4"/>
    <mergeCell ref="E3:E4"/>
    <mergeCell ref="F3:F4"/>
    <mergeCell ref="G3:G4"/>
  </mergeCells>
  <pageMargins left="0.75" right="0.75" top="1" bottom="1" header="0.5" footer="0.5"/>
  <pageSetup paperSize="9" orientation="portrait" horizontalDpi="300" verticalDpi="300"/>
  <headerFooter alignWithMargins="0" scaleWithDoc="0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workbookViewId="0">
      <pane ySplit="3" topLeftCell="BM10" activePane="bottomLeft" state="frozen"/>
      <selection/>
      <selection pane="bottomLeft" activeCell="F26" sqref="F26"/>
    </sheetView>
  </sheetViews>
  <sheetFormatPr defaultColWidth="9" defaultRowHeight="12" customHeight="1" outlineLevelCol="7"/>
  <cols>
    <col min="1" max="1" width="18" customWidth="1"/>
    <col min="2" max="2" width="13.375" customWidth="1"/>
    <col min="3" max="3" width="14.125" customWidth="1"/>
    <col min="4" max="4" width="13.625" customWidth="1"/>
    <col min="5" max="5" width="12.75" customWidth="1"/>
    <col min="6" max="6" width="11.5" customWidth="1"/>
    <col min="8" max="8" width="11.5"/>
  </cols>
  <sheetData>
    <row r="1" ht="20.45" customHeight="1" spans="1:6">
      <c r="A1" s="72" t="s">
        <v>148</v>
      </c>
      <c r="B1" s="72"/>
      <c r="C1" s="72"/>
      <c r="D1" s="72"/>
      <c r="E1" s="72"/>
      <c r="F1" s="72"/>
    </row>
    <row r="2" ht="14.45" customHeight="1" spans="1:6">
      <c r="A2" s="73" t="s">
        <v>149</v>
      </c>
      <c r="B2" s="73"/>
      <c r="C2" s="73"/>
      <c r="D2" s="73"/>
      <c r="E2" s="73"/>
      <c r="F2" s="73"/>
    </row>
    <row r="3" ht="13.9" customHeight="1" spans="1:6">
      <c r="A3" s="74" t="s">
        <v>25</v>
      </c>
      <c r="B3" s="75" t="s">
        <v>3</v>
      </c>
      <c r="C3" s="75" t="s">
        <v>4</v>
      </c>
      <c r="D3" s="75" t="s">
        <v>5</v>
      </c>
      <c r="E3" s="75" t="s">
        <v>5</v>
      </c>
      <c r="F3" s="76" t="s">
        <v>56</v>
      </c>
    </row>
    <row r="4" customHeight="1" spans="1:6">
      <c r="A4" s="77" t="s">
        <v>150</v>
      </c>
      <c r="B4" s="78"/>
      <c r="C4" s="78"/>
      <c r="D4" s="78"/>
      <c r="E4" s="78"/>
      <c r="F4" s="79"/>
    </row>
    <row r="5" customHeight="1" spans="1:6">
      <c r="A5" s="80" t="s">
        <v>151</v>
      </c>
      <c r="B5" s="81">
        <v>75000</v>
      </c>
      <c r="C5" s="81">
        <f>B26</f>
        <v>74364.125</v>
      </c>
      <c r="D5" s="81">
        <f>C26</f>
        <v>159443.85</v>
      </c>
      <c r="E5" s="81">
        <f>D26</f>
        <v>178186.4</v>
      </c>
      <c r="F5" s="82">
        <f>B5</f>
        <v>75000</v>
      </c>
    </row>
    <row r="6" customHeight="1" spans="1:6">
      <c r="A6" s="80" t="s">
        <v>152</v>
      </c>
      <c r="B6" s="81">
        <f>销售预算分析!B15</f>
        <v>171000</v>
      </c>
      <c r="C6" s="81">
        <f>销售预算分析!C15</f>
        <v>241500</v>
      </c>
      <c r="D6" s="81">
        <f>销售预算分析!D15</f>
        <v>294000</v>
      </c>
      <c r="E6" s="81">
        <f>销售预算分析!E15</f>
        <v>302400</v>
      </c>
      <c r="F6" s="82">
        <f>销售预算分析!F15</f>
        <v>1008900</v>
      </c>
    </row>
    <row r="7" customHeight="1" spans="1:6">
      <c r="A7" s="80" t="s">
        <v>153</v>
      </c>
      <c r="B7" s="81">
        <f>预计投资收益和营业外收入支出表!B3+预计投资收益和营业外收入支出表!C3</f>
        <v>0</v>
      </c>
      <c r="C7" s="81">
        <f>预计投资收益和营业外收入支出表!B4+预计投资收益和营业外收入支出表!C4</f>
        <v>0</v>
      </c>
      <c r="D7" s="81">
        <f>预计投资收益和营业外收入支出表!B5+预计投资收益和营业外收入支出表!C5</f>
        <v>0</v>
      </c>
      <c r="E7" s="81">
        <f>预计投资收益和营业外收入支出表!B6+预计投资收益和营业外收入支出表!C6</f>
        <v>56520</v>
      </c>
      <c r="F7" s="82">
        <f>SUM(B7:E7)</f>
        <v>56520</v>
      </c>
    </row>
    <row r="8" customHeight="1" spans="1:6">
      <c r="A8" s="83" t="s">
        <v>154</v>
      </c>
      <c r="B8" s="84">
        <f>SUM(B5:B7)</f>
        <v>246000</v>
      </c>
      <c r="C8" s="84">
        <f>SUM(C5:C7)</f>
        <v>315864.125</v>
      </c>
      <c r="D8" s="84">
        <f>SUM(D5:D7)</f>
        <v>453443.85</v>
      </c>
      <c r="E8" s="84">
        <f>SUM(E5:E7)</f>
        <v>537106.4</v>
      </c>
      <c r="F8" s="85">
        <f>SUM(F5:F7)</f>
        <v>1140420</v>
      </c>
    </row>
    <row r="9" customHeight="1" spans="1:6">
      <c r="A9" s="77" t="s">
        <v>155</v>
      </c>
      <c r="B9" s="81"/>
      <c r="C9" s="81"/>
      <c r="D9" s="81"/>
      <c r="E9" s="81"/>
      <c r="F9" s="82"/>
    </row>
    <row r="10" customHeight="1" spans="1:6">
      <c r="A10" s="86" t="s">
        <v>156</v>
      </c>
      <c r="B10" s="81">
        <f>直接材料预算分析表!B18</f>
        <v>84714</v>
      </c>
      <c r="C10" s="81">
        <f>直接材料预算分析表!C18</f>
        <v>89578.4</v>
      </c>
      <c r="D10" s="81">
        <f>直接材料预算分析表!D18</f>
        <v>105509.2</v>
      </c>
      <c r="E10" s="81">
        <f>直接材料预算分析表!E18</f>
        <v>106094.4</v>
      </c>
      <c r="F10" s="82">
        <f>直接材料预算分析表!F18</f>
        <v>385896</v>
      </c>
    </row>
    <row r="11" customHeight="1" spans="1:6">
      <c r="A11" s="86" t="s">
        <v>157</v>
      </c>
      <c r="B11" s="81">
        <f>直接人工预算分析表!B6</f>
        <v>38536.875</v>
      </c>
      <c r="C11" s="81">
        <f>直接人工预算分析表!C6</f>
        <v>50394.375</v>
      </c>
      <c r="D11" s="81">
        <f>直接人工预算分析表!D6</f>
        <v>58892.25</v>
      </c>
      <c r="E11" s="81">
        <f>直接人工预算分析表!E6</f>
        <v>55335</v>
      </c>
      <c r="F11" s="82">
        <f>直接人工预算分析表!F6</f>
        <v>203158.5</v>
      </c>
    </row>
    <row r="12" customHeight="1" spans="1:6">
      <c r="A12" s="86" t="s">
        <v>158</v>
      </c>
      <c r="B12" s="81">
        <f>制造费用预算分析表!B9</f>
        <v>2450</v>
      </c>
      <c r="C12" s="81">
        <f>制造费用预算分析表!C9</f>
        <v>4950</v>
      </c>
      <c r="D12" s="81">
        <f>制造费用预算分析表!D9</f>
        <v>5480</v>
      </c>
      <c r="E12" s="81">
        <f>制造费用预算分析表!E9</f>
        <v>5920</v>
      </c>
      <c r="F12" s="82">
        <f>制造费用预算分析表!F9</f>
        <v>18800</v>
      </c>
    </row>
    <row r="13" customHeight="1" spans="1:6">
      <c r="A13" s="86" t="s">
        <v>159</v>
      </c>
      <c r="B13" s="81">
        <f>管理费用预算分析表!$B$8</f>
        <v>7545</v>
      </c>
      <c r="C13" s="81">
        <f>管理费用预算分析表!$B$8</f>
        <v>7545</v>
      </c>
      <c r="D13" s="81">
        <f>管理费用预算分析表!$B$8</f>
        <v>7545</v>
      </c>
      <c r="E13" s="81">
        <f>管理费用预算分析表!$B$8</f>
        <v>7545</v>
      </c>
      <c r="F13" s="82">
        <f>SUM(B13:E13)</f>
        <v>30180</v>
      </c>
    </row>
    <row r="14" customHeight="1" spans="1:6">
      <c r="A14" s="86" t="s">
        <v>160</v>
      </c>
      <c r="B14" s="81">
        <f>营业费用预算分析表!B9</f>
        <v>24810</v>
      </c>
      <c r="C14" s="81">
        <f>营业费用预算分析表!C9</f>
        <v>29872.5</v>
      </c>
      <c r="D14" s="81">
        <f>营业费用预算分析表!D9</f>
        <v>34251</v>
      </c>
      <c r="E14" s="81">
        <f>营业费用预算分析表!E9</f>
        <v>33822</v>
      </c>
      <c r="F14" s="82">
        <f t="shared" ref="F14:F20" si="0">SUM(B14:E14)</f>
        <v>122755.5</v>
      </c>
    </row>
    <row r="15" customHeight="1" spans="1:6">
      <c r="A15" s="86" t="s">
        <v>161</v>
      </c>
      <c r="B15" s="81">
        <f>财务费用预算分析表!$B$11</f>
        <v>5580</v>
      </c>
      <c r="C15" s="81">
        <f>财务费用预算分析表!$B$11</f>
        <v>5580</v>
      </c>
      <c r="D15" s="81">
        <f>财务费用预算分析表!$B$11</f>
        <v>5580</v>
      </c>
      <c r="E15" s="81">
        <f>财务费用预算分析表!$B$11</f>
        <v>5580</v>
      </c>
      <c r="F15" s="82">
        <f t="shared" si="0"/>
        <v>22320</v>
      </c>
    </row>
    <row r="16" customHeight="1" spans="1:6">
      <c r="A16" s="86" t="s">
        <v>162</v>
      </c>
      <c r="B16" s="81">
        <v>3500</v>
      </c>
      <c r="C16" s="81">
        <v>3500</v>
      </c>
      <c r="D16" s="81">
        <v>3500</v>
      </c>
      <c r="E16" s="81">
        <v>3500</v>
      </c>
      <c r="F16" s="82">
        <f t="shared" si="0"/>
        <v>14000</v>
      </c>
    </row>
    <row r="17" customHeight="1" spans="1:6">
      <c r="A17" s="86" t="s">
        <v>163</v>
      </c>
      <c r="B17" s="81"/>
      <c r="C17" s="81">
        <v>12000</v>
      </c>
      <c r="D17" s="81"/>
      <c r="E17" s="81">
        <v>12000</v>
      </c>
      <c r="F17" s="82">
        <f t="shared" si="0"/>
        <v>24000</v>
      </c>
    </row>
    <row r="18" customHeight="1" spans="1:6">
      <c r="A18" s="86" t="s">
        <v>164</v>
      </c>
      <c r="B18" s="81">
        <f>预计投资收益和营业外收入支出表!D3</f>
        <v>4500</v>
      </c>
      <c r="C18" s="81">
        <f>预计投资收益和营业外收入支出表!D4</f>
        <v>3000</v>
      </c>
      <c r="D18" s="81">
        <f>预计投资收益和营业外收入支出表!D5</f>
        <v>2000</v>
      </c>
      <c r="E18" s="81">
        <f>预计投资收益和营业外收入支出表!D6</f>
        <v>8500</v>
      </c>
      <c r="F18" s="82">
        <f t="shared" si="0"/>
        <v>18000</v>
      </c>
    </row>
    <row r="19" customHeight="1" spans="1:6">
      <c r="A19" s="83" t="s">
        <v>165</v>
      </c>
      <c r="B19" s="84">
        <f>SUM(B10:B18)</f>
        <v>171635.875</v>
      </c>
      <c r="C19" s="84">
        <f>SUM(C10:C18)</f>
        <v>206420.275</v>
      </c>
      <c r="D19" s="84">
        <f>SUM(D10:D18)</f>
        <v>222757.45</v>
      </c>
      <c r="E19" s="84">
        <f>SUM(E10:E18)</f>
        <v>238296.4</v>
      </c>
      <c r="F19" s="85">
        <f t="shared" si="0"/>
        <v>839110</v>
      </c>
    </row>
    <row r="20" customHeight="1" spans="1:8">
      <c r="A20" s="83" t="s">
        <v>166</v>
      </c>
      <c r="B20" s="84">
        <f>B8-B19</f>
        <v>74364.125</v>
      </c>
      <c r="C20" s="84">
        <f>C8-C19</f>
        <v>109443.85</v>
      </c>
      <c r="D20" s="84">
        <f>D8-D19</f>
        <v>230686.4</v>
      </c>
      <c r="E20" s="84">
        <f>E8-E19</f>
        <v>298810</v>
      </c>
      <c r="F20" s="85">
        <f t="shared" si="0"/>
        <v>713304.375</v>
      </c>
      <c r="H20" s="31"/>
    </row>
    <row r="21" customHeight="1" spans="1:6">
      <c r="A21" s="77" t="s">
        <v>167</v>
      </c>
      <c r="B21" s="81"/>
      <c r="C21" s="81"/>
      <c r="D21" s="81"/>
      <c r="E21" s="81"/>
      <c r="F21" s="82"/>
    </row>
    <row r="22" customHeight="1" spans="1:6">
      <c r="A22" s="80" t="s">
        <v>168</v>
      </c>
      <c r="B22" s="81"/>
      <c r="C22" s="81">
        <v>50000</v>
      </c>
      <c r="D22" s="81"/>
      <c r="E22" s="81"/>
      <c r="F22" s="82">
        <f>SUM(B22:E22)</f>
        <v>50000</v>
      </c>
    </row>
    <row r="23" customHeight="1" spans="1:6">
      <c r="A23" s="80" t="s">
        <v>169</v>
      </c>
      <c r="B23" s="81"/>
      <c r="C23" s="81"/>
      <c r="D23" s="81">
        <v>-50000</v>
      </c>
      <c r="E23" s="81"/>
      <c r="F23" s="82">
        <f>SUM(B23:E23)</f>
        <v>-50000</v>
      </c>
    </row>
    <row r="24" customHeight="1" spans="1:6">
      <c r="A24" s="80" t="s">
        <v>170</v>
      </c>
      <c r="B24" s="81"/>
      <c r="C24" s="81"/>
      <c r="D24" s="81">
        <f>(D23*0.1/2)</f>
        <v>-2500</v>
      </c>
      <c r="E24" s="81"/>
      <c r="F24" s="82">
        <f>SUM(B24:E24)</f>
        <v>-2500</v>
      </c>
    </row>
    <row r="25" customHeight="1" spans="1:6">
      <c r="A25" s="83" t="s">
        <v>171</v>
      </c>
      <c r="B25" s="84">
        <f>SUM(B22:B24)</f>
        <v>0</v>
      </c>
      <c r="C25" s="84">
        <f>SUM(C22:C24)</f>
        <v>50000</v>
      </c>
      <c r="D25" s="84">
        <f>SUM(D22:D24)</f>
        <v>-52500</v>
      </c>
      <c r="E25" s="84">
        <f>SUM(E22:E24)</f>
        <v>0</v>
      </c>
      <c r="F25" s="85">
        <f>SUM(F22:F24)</f>
        <v>-2500</v>
      </c>
    </row>
    <row r="26" ht="13.9" customHeight="1" spans="1:6">
      <c r="A26" s="87" t="s">
        <v>172</v>
      </c>
      <c r="B26" s="88">
        <f>B20+B25</f>
        <v>74364.125</v>
      </c>
      <c r="C26" s="88">
        <f>C20+C25</f>
        <v>159443.85</v>
      </c>
      <c r="D26" s="88">
        <f>D20+D25</f>
        <v>178186.4</v>
      </c>
      <c r="E26" s="88">
        <f>E20+E25</f>
        <v>298810</v>
      </c>
      <c r="F26" s="89">
        <f>F20+F25</f>
        <v>710804.375</v>
      </c>
    </row>
    <row r="27" customHeight="1" spans="1:6">
      <c r="A27" s="90"/>
      <c r="B27" s="90"/>
      <c r="C27" s="90"/>
      <c r="D27" s="90"/>
      <c r="E27" s="90"/>
      <c r="F27" s="90"/>
    </row>
    <row r="28" customHeight="1" spans="1:6">
      <c r="A28" s="90"/>
      <c r="B28" s="90"/>
      <c r="C28" s="90"/>
      <c r="D28" s="90"/>
      <c r="E28" s="90"/>
      <c r="F28" s="90"/>
    </row>
    <row r="31" customHeight="1" spans="4:4">
      <c r="D31" s="31"/>
    </row>
  </sheetData>
  <mergeCells count="2">
    <mergeCell ref="A1:F1"/>
    <mergeCell ref="A2:F2"/>
  </mergeCells>
  <pageMargins left="0.75" right="0.75" top="1" bottom="1" header="0.5" footer="0.5"/>
  <headerFooter alignWithMargins="0" scaleWithDoc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showFormulas="1" tabSelected="1" workbookViewId="0">
      <selection activeCell="A1" sqref="A1:B1"/>
    </sheetView>
  </sheetViews>
  <sheetFormatPr defaultColWidth="9" defaultRowHeight="14.25" outlineLevelCol="1"/>
  <cols>
    <col min="1" max="1" width="21.125" customWidth="1"/>
    <col min="2" max="2" width="15.75" customWidth="1"/>
  </cols>
  <sheetData>
    <row r="1" ht="18.75" spans="1:2">
      <c r="A1" s="62" t="s">
        <v>173</v>
      </c>
      <c r="B1" s="62"/>
    </row>
    <row r="2" ht="15" spans="1:2">
      <c r="A2" s="63" t="s">
        <v>174</v>
      </c>
      <c r="B2" s="63"/>
    </row>
    <row r="3" ht="15" spans="1:2">
      <c r="A3" s="64" t="s">
        <v>25</v>
      </c>
      <c r="B3" s="65" t="s">
        <v>175</v>
      </c>
    </row>
    <row r="4" spans="1:2">
      <c r="A4" s="66" t="s">
        <v>176</v>
      </c>
      <c r="B4" s="67">
        <f>销售预算分析!F6</f>
        <v>1081500</v>
      </c>
    </row>
    <row r="5" spans="1:2">
      <c r="A5" s="66" t="s">
        <v>177</v>
      </c>
      <c r="B5" s="67">
        <f>产品成本预算分析表!G9</f>
        <v>516654.271000229</v>
      </c>
    </row>
    <row r="6" spans="1:2">
      <c r="A6" s="68" t="s">
        <v>178</v>
      </c>
      <c r="B6" s="69">
        <f>B4-B5</f>
        <v>564845.728999771</v>
      </c>
    </row>
    <row r="7" spans="1:2">
      <c r="A7" s="66" t="s">
        <v>179</v>
      </c>
      <c r="B7" s="67">
        <f>营业费用预算分析表!F9</f>
        <v>122755.5</v>
      </c>
    </row>
    <row r="8" spans="1:2">
      <c r="A8" s="66" t="s">
        <v>180</v>
      </c>
      <c r="B8" s="67">
        <f>管理费用预算分析表!B7</f>
        <v>30180</v>
      </c>
    </row>
    <row r="9" spans="1:2">
      <c r="A9" s="66" t="s">
        <v>181</v>
      </c>
      <c r="B9" s="67">
        <f>财务费用预算分析表!B10</f>
        <v>22320</v>
      </c>
    </row>
    <row r="10" spans="1:2">
      <c r="A10" s="68" t="s">
        <v>182</v>
      </c>
      <c r="B10" s="69">
        <f>B6-B7-B8-B9</f>
        <v>389590.228999771</v>
      </c>
    </row>
    <row r="11" spans="1:2">
      <c r="A11" s="66" t="s">
        <v>183</v>
      </c>
      <c r="B11" s="67">
        <f>预计投资收益和营业外收入支出表!B8</f>
        <v>25000</v>
      </c>
    </row>
    <row r="12" spans="1:2">
      <c r="A12" s="66" t="s">
        <v>184</v>
      </c>
      <c r="B12" s="67">
        <f>预计投资收益和营业外收入支出表!C8</f>
        <v>31520</v>
      </c>
    </row>
    <row r="13" spans="1:2">
      <c r="A13" s="66" t="s">
        <v>185</v>
      </c>
      <c r="B13" s="67">
        <f>预计投资收益和营业外收入支出表!D8</f>
        <v>18000</v>
      </c>
    </row>
    <row r="14" spans="1:2">
      <c r="A14" s="68" t="s">
        <v>186</v>
      </c>
      <c r="B14" s="69">
        <f>B10+B11+B12-B13</f>
        <v>428110.228999771</v>
      </c>
    </row>
    <row r="15" spans="1:2">
      <c r="A15" s="66" t="s">
        <v>187</v>
      </c>
      <c r="B15" s="67">
        <f>现金预算分析表!F16</f>
        <v>14000</v>
      </c>
    </row>
    <row r="16" ht="15" spans="1:2">
      <c r="A16" s="70" t="s">
        <v>188</v>
      </c>
      <c r="B16" s="71">
        <f>B14-B15</f>
        <v>414110.228999771</v>
      </c>
    </row>
    <row r="17" ht="15"/>
  </sheetData>
  <mergeCells count="2">
    <mergeCell ref="A1:B1"/>
    <mergeCell ref="A2:B2"/>
  </mergeCells>
  <pageMargins left="0.75" right="0.75" top="1" bottom="1" header="0.5" footer="0.5"/>
  <headerFooter alignWithMargins="0" scaleWithDoc="0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A12" sqref="A12"/>
    </sheetView>
  </sheetViews>
  <sheetFormatPr defaultColWidth="9" defaultRowHeight="14.25" outlineLevelCol="1"/>
  <cols>
    <col min="1" max="2" width="29.25" customWidth="1"/>
  </cols>
  <sheetData>
    <row r="1" ht="27.6" customHeight="1" spans="1:2">
      <c r="A1" s="62" t="s">
        <v>173</v>
      </c>
      <c r="B1" s="62"/>
    </row>
    <row r="2" ht="15" spans="1:2">
      <c r="A2" s="63" t="s">
        <v>174</v>
      </c>
      <c r="B2" s="63"/>
    </row>
    <row r="3" ht="15" spans="1:2">
      <c r="A3" s="64" t="s">
        <v>25</v>
      </c>
      <c r="B3" s="65" t="s">
        <v>175</v>
      </c>
    </row>
    <row r="4" spans="1:2">
      <c r="A4" s="66" t="s">
        <v>176</v>
      </c>
      <c r="B4" s="67">
        <f>销售预算分析!F6</f>
        <v>1081500</v>
      </c>
    </row>
    <row r="5" spans="1:2">
      <c r="A5" s="66" t="s">
        <v>177</v>
      </c>
      <c r="B5" s="67">
        <f>产品成本预算分析表!G9</f>
        <v>516654.271000229</v>
      </c>
    </row>
    <row r="6" spans="1:2">
      <c r="A6" s="68" t="s">
        <v>178</v>
      </c>
      <c r="B6" s="69">
        <f>B4-B5</f>
        <v>564845.728999771</v>
      </c>
    </row>
    <row r="7" spans="1:2">
      <c r="A7" s="66" t="s">
        <v>179</v>
      </c>
      <c r="B7" s="67">
        <f>营业费用预算分析表!F9</f>
        <v>122755.5</v>
      </c>
    </row>
    <row r="8" spans="1:2">
      <c r="A8" s="66" t="s">
        <v>180</v>
      </c>
      <c r="B8" s="67">
        <f>管理费用预算分析表!B7</f>
        <v>30180</v>
      </c>
    </row>
    <row r="9" spans="1:2">
      <c r="A9" s="66" t="s">
        <v>181</v>
      </c>
      <c r="B9" s="67">
        <f>财务费用预算分析表!B10</f>
        <v>22320</v>
      </c>
    </row>
    <row r="10" spans="1:2">
      <c r="A10" s="68" t="s">
        <v>182</v>
      </c>
      <c r="B10" s="69">
        <f>B6-B7-B8-B9</f>
        <v>389590.228999771</v>
      </c>
    </row>
    <row r="11" spans="1:2">
      <c r="A11" s="66" t="s">
        <v>183</v>
      </c>
      <c r="B11" s="67">
        <f>预计投资收益和营业外收入支出表!B8</f>
        <v>25000</v>
      </c>
    </row>
    <row r="12" spans="1:2">
      <c r="A12" s="66" t="s">
        <v>184</v>
      </c>
      <c r="B12" s="67">
        <f>预计投资收益和营业外收入支出表!C8</f>
        <v>31520</v>
      </c>
    </row>
    <row r="13" spans="1:2">
      <c r="A13" s="66" t="s">
        <v>185</v>
      </c>
      <c r="B13" s="67">
        <f>预计投资收益和营业外收入支出表!D8</f>
        <v>18000</v>
      </c>
    </row>
    <row r="14" spans="1:2">
      <c r="A14" s="68" t="s">
        <v>186</v>
      </c>
      <c r="B14" s="69">
        <f>B10+B11+B12-B13</f>
        <v>428110.228999771</v>
      </c>
    </row>
    <row r="15" spans="1:2">
      <c r="A15" s="66" t="s">
        <v>187</v>
      </c>
      <c r="B15" s="67">
        <f>现金预算分析表!F16</f>
        <v>14000</v>
      </c>
    </row>
    <row r="16" ht="15" spans="1:2">
      <c r="A16" s="70" t="s">
        <v>188</v>
      </c>
      <c r="B16" s="71">
        <f>B14-B15</f>
        <v>414110.228999771</v>
      </c>
    </row>
    <row r="17" ht="15"/>
  </sheetData>
  <mergeCells count="2">
    <mergeCell ref="A1:B1"/>
    <mergeCell ref="A2:B2"/>
  </mergeCells>
  <pageMargins left="0.75" right="0.75" top="1" bottom="1" header="0.5" footer="0.5"/>
  <pageSetup paperSize="9" orientation="portrait" horizontalDpi="300" verticalDpi="300"/>
  <headerFooter alignWithMargins="0" scaleWithDoc="0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showFormulas="1" workbookViewId="0">
      <selection activeCell="H34" sqref="H34"/>
    </sheetView>
  </sheetViews>
  <sheetFormatPr defaultColWidth="9" defaultRowHeight="10.9" customHeight="1" outlineLevelCol="6"/>
  <cols>
    <col min="1" max="1" width="8" customWidth="1"/>
    <col min="2" max="2" width="15.625" customWidth="1"/>
    <col min="3" max="3" width="16.375" customWidth="1"/>
    <col min="4" max="4" width="14.625" customWidth="1"/>
    <col min="5" max="5" width="13.75" customWidth="1"/>
    <col min="6" max="6" width="15" customWidth="1"/>
  </cols>
  <sheetData>
    <row r="1" ht="16.9" customHeight="1" spans="1:6">
      <c r="A1" s="1" t="s">
        <v>189</v>
      </c>
      <c r="B1" s="1"/>
      <c r="C1" s="1"/>
      <c r="D1" s="1"/>
      <c r="E1" s="1"/>
      <c r="F1" s="1"/>
    </row>
    <row r="2" ht="12" customHeight="1" spans="1:6">
      <c r="A2" s="2" t="s">
        <v>190</v>
      </c>
      <c r="B2" s="2"/>
      <c r="C2" s="2"/>
      <c r="D2" s="2"/>
      <c r="E2" s="2"/>
      <c r="F2" s="2"/>
    </row>
    <row r="3" ht="12.6" customHeight="1" spans="1:6">
      <c r="A3" s="32" t="s">
        <v>191</v>
      </c>
      <c r="B3" s="33" t="s">
        <v>192</v>
      </c>
      <c r="C3" s="34" t="s">
        <v>193</v>
      </c>
      <c r="D3" s="32" t="s">
        <v>194</v>
      </c>
      <c r="E3" s="34" t="s">
        <v>192</v>
      </c>
      <c r="F3" s="35" t="s">
        <v>193</v>
      </c>
    </row>
    <row r="4" customHeight="1" spans="1:7">
      <c r="A4" s="36" t="s">
        <v>195</v>
      </c>
      <c r="B4" s="37"/>
      <c r="C4" s="38"/>
      <c r="D4" s="36" t="s">
        <v>196</v>
      </c>
      <c r="E4" s="38"/>
      <c r="F4" s="39"/>
      <c r="G4" s="40"/>
    </row>
    <row r="5" customHeight="1" spans="1:7">
      <c r="A5" s="41" t="s">
        <v>197</v>
      </c>
      <c r="B5" s="42">
        <f>现金预算分析表!B5</f>
        <v>75000</v>
      </c>
      <c r="C5" s="43">
        <f>现金预算分析表!F26</f>
        <v>710804.375</v>
      </c>
      <c r="D5" s="41" t="s">
        <v>198</v>
      </c>
      <c r="E5" s="44">
        <v>80000</v>
      </c>
      <c r="F5" s="45">
        <v>75610.15</v>
      </c>
      <c r="G5" s="40"/>
    </row>
    <row r="6" customHeight="1" spans="1:7">
      <c r="A6" s="41" t="s">
        <v>199</v>
      </c>
      <c r="B6" s="42">
        <f>销售预算分析!B10</f>
        <v>45000</v>
      </c>
      <c r="C6" s="43">
        <f>销售预算分析!E6*40%</f>
        <v>117600</v>
      </c>
      <c r="D6" s="41" t="s">
        <v>200</v>
      </c>
      <c r="E6" s="44">
        <f>直接材料预算分析表!B13</f>
        <v>35000</v>
      </c>
      <c r="F6" s="45">
        <f>直接材料预算分析表!E9*30%</f>
        <v>31464</v>
      </c>
      <c r="G6" s="40"/>
    </row>
    <row r="7" customHeight="1" spans="1:7">
      <c r="A7" s="41" t="s">
        <v>201</v>
      </c>
      <c r="B7" s="42">
        <f>B6*0.05</f>
        <v>2250</v>
      </c>
      <c r="C7" s="43">
        <f>C6*0.05</f>
        <v>5880</v>
      </c>
      <c r="D7" s="41" t="s">
        <v>202</v>
      </c>
      <c r="E7" s="44">
        <v>2750</v>
      </c>
      <c r="F7" s="45">
        <f>现金预算分析表!F16</f>
        <v>14000</v>
      </c>
      <c r="G7" s="40"/>
    </row>
    <row r="8" customHeight="1" spans="1:7">
      <c r="A8" s="41" t="s">
        <v>203</v>
      </c>
      <c r="B8" s="42">
        <f>B6-B7</f>
        <v>42750</v>
      </c>
      <c r="C8" s="43">
        <f>C6-C7</f>
        <v>111720</v>
      </c>
      <c r="D8" s="41"/>
      <c r="E8" s="44"/>
      <c r="F8" s="45"/>
      <c r="G8" s="40"/>
    </row>
    <row r="9" customHeight="1" spans="1:7">
      <c r="A9" s="41" t="s">
        <v>204</v>
      </c>
      <c r="B9" s="42">
        <f>直接材料预算分析表!B6*直接材料预算分析表!B8</f>
        <v>20000</v>
      </c>
      <c r="C9" s="46">
        <f>直接材料预算分析表!E4*直接材料预算分析表!E8</f>
        <v>22000</v>
      </c>
      <c r="D9" s="41"/>
      <c r="E9" s="44"/>
      <c r="F9" s="45"/>
      <c r="G9" s="40"/>
    </row>
    <row r="10" customHeight="1" spans="1:7">
      <c r="A10" s="41"/>
      <c r="B10" s="42"/>
      <c r="C10" s="43"/>
      <c r="D10" s="41"/>
      <c r="E10" s="44"/>
      <c r="F10" s="45"/>
      <c r="G10" s="40"/>
    </row>
    <row r="11" customHeight="1" spans="1:7">
      <c r="A11" s="47" t="s">
        <v>205</v>
      </c>
      <c r="B11" s="48">
        <f>B5+B8+B9</f>
        <v>137750</v>
      </c>
      <c r="C11" s="49">
        <f>C5+C8+C9</f>
        <v>844524.375</v>
      </c>
      <c r="D11" s="47" t="s">
        <v>206</v>
      </c>
      <c r="E11" s="50">
        <f>SUM(E5:E10)</f>
        <v>117750</v>
      </c>
      <c r="F11" s="51">
        <f>F5+F6+F7</f>
        <v>121074.15</v>
      </c>
      <c r="G11" s="40"/>
    </row>
    <row r="12" customHeight="1" spans="1:7">
      <c r="A12" s="41"/>
      <c r="B12" s="42"/>
      <c r="C12" s="43"/>
      <c r="D12" s="41"/>
      <c r="E12" s="44"/>
      <c r="F12" s="45"/>
      <c r="G12" s="40"/>
    </row>
    <row r="13" customHeight="1" spans="1:7">
      <c r="A13" s="36" t="s">
        <v>207</v>
      </c>
      <c r="B13" s="52"/>
      <c r="C13" s="53"/>
      <c r="D13" s="36" t="s">
        <v>208</v>
      </c>
      <c r="E13" s="54"/>
      <c r="F13" s="55"/>
      <c r="G13" s="40"/>
    </row>
    <row r="14" customHeight="1" spans="1:7">
      <c r="A14" s="41" t="s">
        <v>209</v>
      </c>
      <c r="B14" s="42">
        <v>50000</v>
      </c>
      <c r="C14" s="43">
        <f>现金预算分析表!F17</f>
        <v>24000</v>
      </c>
      <c r="D14" s="41" t="s">
        <v>210</v>
      </c>
      <c r="E14" s="44">
        <v>50000</v>
      </c>
      <c r="F14" s="45">
        <v>200000</v>
      </c>
      <c r="G14" s="40"/>
    </row>
    <row r="15" customHeight="1" spans="1:7">
      <c r="A15" s="41" t="s">
        <v>211</v>
      </c>
      <c r="B15" s="42">
        <f>B14*0.2</f>
        <v>10000</v>
      </c>
      <c r="C15" s="43">
        <f>C14*0.2</f>
        <v>4800</v>
      </c>
      <c r="D15" s="41" t="s">
        <v>212</v>
      </c>
      <c r="E15" s="44">
        <v>50000</v>
      </c>
      <c r="F15" s="45">
        <v>108540</v>
      </c>
      <c r="G15" s="40"/>
    </row>
    <row r="16" customHeight="1" spans="1:7">
      <c r="A16" s="41" t="s">
        <v>213</v>
      </c>
      <c r="B16" s="42">
        <f>B14-B15</f>
        <v>40000</v>
      </c>
      <c r="C16" s="43">
        <f>C14-C15</f>
        <v>19200</v>
      </c>
      <c r="D16" s="41" t="s">
        <v>214</v>
      </c>
      <c r="E16" s="44">
        <v>20000</v>
      </c>
      <c r="F16" s="45">
        <f>E16+预算损益表!B16</f>
        <v>434110.228999771</v>
      </c>
      <c r="G16" s="40"/>
    </row>
    <row r="17" customHeight="1" spans="1:7">
      <c r="A17" s="41"/>
      <c r="B17" s="42"/>
      <c r="C17" s="43"/>
      <c r="D17" s="41"/>
      <c r="E17" s="44"/>
      <c r="F17" s="45"/>
      <c r="G17" s="40"/>
    </row>
    <row r="18" customHeight="1" spans="1:7">
      <c r="A18" s="47" t="s">
        <v>215</v>
      </c>
      <c r="B18" s="56">
        <f>SUM(B14:B17)</f>
        <v>100000</v>
      </c>
      <c r="C18" s="49">
        <f>C16</f>
        <v>19200</v>
      </c>
      <c r="D18" s="47" t="s">
        <v>216</v>
      </c>
      <c r="E18" s="50">
        <f>SUM(E14:E16)</f>
        <v>120000</v>
      </c>
      <c r="F18" s="51">
        <f>F14+F15+F16</f>
        <v>742650.228999771</v>
      </c>
      <c r="G18" s="40"/>
    </row>
    <row r="19" customHeight="1" spans="1:7">
      <c r="A19" s="41"/>
      <c r="B19" s="42"/>
      <c r="C19" s="43"/>
      <c r="D19" s="41"/>
      <c r="E19" s="44"/>
      <c r="F19" s="45"/>
      <c r="G19" s="40"/>
    </row>
    <row r="20" customHeight="1" spans="1:7">
      <c r="A20" s="57" t="s">
        <v>217</v>
      </c>
      <c r="B20" s="58">
        <f>B11+B18</f>
        <v>237750</v>
      </c>
      <c r="C20" s="59">
        <f>C11+C18</f>
        <v>863724.375</v>
      </c>
      <c r="D20" s="57" t="s">
        <v>218</v>
      </c>
      <c r="E20" s="60">
        <f>E18+E11</f>
        <v>237750</v>
      </c>
      <c r="F20" s="61">
        <f>F11+F18</f>
        <v>863724.378999771</v>
      </c>
      <c r="G20" s="40"/>
    </row>
  </sheetData>
  <mergeCells count="2">
    <mergeCell ref="A1:F1"/>
    <mergeCell ref="A2:F2"/>
  </mergeCells>
  <pageMargins left="0.75" right="0.75" top="1" bottom="1" header="0.5" footer="0.5"/>
  <headerFooter alignWithMargins="0" scaleWithDoc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A1" sqref="A1:F20"/>
    </sheetView>
  </sheetViews>
  <sheetFormatPr defaultColWidth="9" defaultRowHeight="14.25" outlineLevelCol="5"/>
  <cols>
    <col min="1" max="1" width="16.75" customWidth="1"/>
    <col min="2" max="2" width="14.25" customWidth="1"/>
    <col min="3" max="3" width="15.25" customWidth="1"/>
    <col min="4" max="4" width="20.75" customWidth="1"/>
    <col min="5" max="5" width="13.875" customWidth="1"/>
    <col min="6" max="6" width="20" customWidth="1"/>
  </cols>
  <sheetData>
    <row r="1" ht="20.25" spans="1:6">
      <c r="A1" s="1" t="s">
        <v>189</v>
      </c>
      <c r="B1" s="1"/>
      <c r="C1" s="1"/>
      <c r="D1" s="1"/>
      <c r="E1" s="1"/>
      <c r="F1" s="1"/>
    </row>
    <row r="2" ht="15" spans="1:6">
      <c r="A2" s="2" t="s">
        <v>190</v>
      </c>
      <c r="B2" s="2"/>
      <c r="C2" s="2"/>
      <c r="D2" s="2"/>
      <c r="E2" s="2"/>
      <c r="F2" s="2"/>
    </row>
    <row r="3" ht="15" spans="1:6">
      <c r="A3" s="3" t="s">
        <v>191</v>
      </c>
      <c r="B3" s="4" t="s">
        <v>192</v>
      </c>
      <c r="C3" s="5" t="s">
        <v>193</v>
      </c>
      <c r="D3" s="3" t="s">
        <v>194</v>
      </c>
      <c r="E3" s="5" t="s">
        <v>192</v>
      </c>
      <c r="F3" s="6" t="s">
        <v>193</v>
      </c>
    </row>
    <row r="4" spans="1:6">
      <c r="A4" s="7" t="s">
        <v>195</v>
      </c>
      <c r="B4" s="8"/>
      <c r="C4" s="9"/>
      <c r="D4" s="7" t="s">
        <v>196</v>
      </c>
      <c r="E4" s="9"/>
      <c r="F4" s="10"/>
    </row>
    <row r="5" spans="1:6">
      <c r="A5" s="11" t="s">
        <v>197</v>
      </c>
      <c r="B5" s="12">
        <f>现金预算分析表!B5</f>
        <v>75000</v>
      </c>
      <c r="C5" s="13">
        <f>现金预算分析表!F26</f>
        <v>710804.375</v>
      </c>
      <c r="D5" s="11" t="s">
        <v>198</v>
      </c>
      <c r="E5" s="14">
        <v>80000</v>
      </c>
      <c r="F5" s="15">
        <v>75610.15</v>
      </c>
    </row>
    <row r="6" spans="1:6">
      <c r="A6" s="11" t="s">
        <v>199</v>
      </c>
      <c r="B6" s="12">
        <f>销售预算分析!B10</f>
        <v>45000</v>
      </c>
      <c r="C6" s="13">
        <f>销售预算分析!E6*40%</f>
        <v>117600</v>
      </c>
      <c r="D6" s="11" t="s">
        <v>200</v>
      </c>
      <c r="E6" s="14">
        <f>直接材料预算分析表!B13</f>
        <v>35000</v>
      </c>
      <c r="F6" s="15">
        <f>直接材料预算分析表!E9*30%</f>
        <v>31464</v>
      </c>
    </row>
    <row r="7" spans="1:6">
      <c r="A7" s="11" t="s">
        <v>201</v>
      </c>
      <c r="B7" s="12">
        <f>B6*0.05</f>
        <v>2250</v>
      </c>
      <c r="C7" s="13">
        <f>C6*0.05</f>
        <v>5880</v>
      </c>
      <c r="D7" s="11" t="s">
        <v>202</v>
      </c>
      <c r="E7" s="14">
        <v>2750</v>
      </c>
      <c r="F7" s="15">
        <f>现金预算分析表!F16</f>
        <v>14000</v>
      </c>
    </row>
    <row r="8" spans="1:6">
      <c r="A8" s="11" t="s">
        <v>203</v>
      </c>
      <c r="B8" s="12">
        <f>B6-B7</f>
        <v>42750</v>
      </c>
      <c r="C8" s="13">
        <f>C6-C7</f>
        <v>111720</v>
      </c>
      <c r="D8" s="11"/>
      <c r="E8" s="14"/>
      <c r="F8" s="15"/>
    </row>
    <row r="9" spans="1:6">
      <c r="A9" s="11" t="s">
        <v>204</v>
      </c>
      <c r="B9" s="12">
        <f>直接材料预算分析表!B6*直接材料预算分析表!B8</f>
        <v>20000</v>
      </c>
      <c r="C9" s="13">
        <f>直接材料预算分析表!E4*直接材料预算分析表!E8</f>
        <v>22000</v>
      </c>
      <c r="D9" s="11"/>
      <c r="E9" s="14"/>
      <c r="F9" s="15"/>
    </row>
    <row r="10" spans="1:6">
      <c r="A10" s="11"/>
      <c r="B10" s="12"/>
      <c r="C10" s="13"/>
      <c r="D10" s="11"/>
      <c r="E10" s="14"/>
      <c r="F10" s="15"/>
    </row>
    <row r="11" spans="1:6">
      <c r="A11" s="16" t="s">
        <v>205</v>
      </c>
      <c r="B11" s="17">
        <f>B5+B8+B9</f>
        <v>137750</v>
      </c>
      <c r="C11" s="18">
        <f>C5+C8+C9</f>
        <v>844524.375</v>
      </c>
      <c r="D11" s="16" t="s">
        <v>206</v>
      </c>
      <c r="E11" s="19">
        <f>SUM(E5:E10)</f>
        <v>117750</v>
      </c>
      <c r="F11" s="20">
        <f>F5+F6+F7</f>
        <v>121074.15</v>
      </c>
    </row>
    <row r="12" spans="1:6">
      <c r="A12" s="11"/>
      <c r="B12" s="12"/>
      <c r="C12" s="13"/>
      <c r="D12" s="11"/>
      <c r="E12" s="14"/>
      <c r="F12" s="15"/>
    </row>
    <row r="13" spans="1:6">
      <c r="A13" s="7" t="s">
        <v>207</v>
      </c>
      <c r="B13" s="21"/>
      <c r="C13" s="22"/>
      <c r="D13" s="7" t="s">
        <v>208</v>
      </c>
      <c r="E13" s="23"/>
      <c r="F13" s="24"/>
    </row>
    <row r="14" spans="1:6">
      <c r="A14" s="11" t="s">
        <v>209</v>
      </c>
      <c r="B14" s="12">
        <v>50000</v>
      </c>
      <c r="C14" s="13">
        <f>现金预算分析表!F17</f>
        <v>24000</v>
      </c>
      <c r="D14" s="11" t="s">
        <v>210</v>
      </c>
      <c r="E14" s="14">
        <v>50000</v>
      </c>
      <c r="F14" s="15">
        <v>200000</v>
      </c>
    </row>
    <row r="15" spans="1:6">
      <c r="A15" s="11" t="s">
        <v>211</v>
      </c>
      <c r="B15" s="12">
        <f>B14*0.2</f>
        <v>10000</v>
      </c>
      <c r="C15" s="13">
        <f>C14*0.2</f>
        <v>4800</v>
      </c>
      <c r="D15" s="11" t="s">
        <v>212</v>
      </c>
      <c r="E15" s="14">
        <v>50000</v>
      </c>
      <c r="F15" s="15">
        <v>108540</v>
      </c>
    </row>
    <row r="16" spans="1:6">
      <c r="A16" s="11" t="s">
        <v>213</v>
      </c>
      <c r="B16" s="12">
        <f>B14-B15</f>
        <v>40000</v>
      </c>
      <c r="C16" s="13">
        <f>C14-C15</f>
        <v>19200</v>
      </c>
      <c r="D16" s="11" t="s">
        <v>214</v>
      </c>
      <c r="E16" s="14">
        <v>20000</v>
      </c>
      <c r="F16" s="15">
        <f>E16+预算损益表!B16</f>
        <v>434110.228999771</v>
      </c>
    </row>
    <row r="17" spans="1:6">
      <c r="A17" s="11"/>
      <c r="B17" s="12"/>
      <c r="C17" s="13"/>
      <c r="D17" s="11"/>
      <c r="E17" s="14"/>
      <c r="F17" s="15"/>
    </row>
    <row r="18" spans="1:6">
      <c r="A18" s="16" t="s">
        <v>215</v>
      </c>
      <c r="B18" s="25">
        <f>SUM(B14:B17)</f>
        <v>100000</v>
      </c>
      <c r="C18" s="18">
        <f>C16</f>
        <v>19200</v>
      </c>
      <c r="D18" s="16" t="s">
        <v>216</v>
      </c>
      <c r="E18" s="19">
        <f>SUM(E14:E16)</f>
        <v>120000</v>
      </c>
      <c r="F18" s="20">
        <f>F14+F15+F16</f>
        <v>742650.228999771</v>
      </c>
    </row>
    <row r="19" spans="1:6">
      <c r="A19" s="11"/>
      <c r="B19" s="12"/>
      <c r="C19" s="13"/>
      <c r="D19" s="11"/>
      <c r="E19" s="14"/>
      <c r="F19" s="15"/>
    </row>
    <row r="20" ht="15" spans="1:6">
      <c r="A20" s="26" t="s">
        <v>217</v>
      </c>
      <c r="B20" s="27">
        <f>B11+B18</f>
        <v>237750</v>
      </c>
      <c r="C20" s="28">
        <f>C11+C18</f>
        <v>863724.375</v>
      </c>
      <c r="D20" s="26" t="s">
        <v>218</v>
      </c>
      <c r="E20" s="29">
        <f>E18+E11</f>
        <v>237750</v>
      </c>
      <c r="F20" s="30">
        <f>F11+F18</f>
        <v>863724.378999771</v>
      </c>
    </row>
    <row r="21" ht="15"/>
    <row r="22" spans="5:5">
      <c r="E22" s="31"/>
    </row>
  </sheetData>
  <mergeCells count="2">
    <mergeCell ref="A1:F1"/>
    <mergeCell ref="A2:F2"/>
  </mergeCells>
  <pageMargins left="0.75" right="0.75" top="1" bottom="1" header="0.5" footer="0.5"/>
  <pageSetup paperSize="9" orientation="portrait" horizontalDpi="300" verticalDpi="300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B5" sqref="B5"/>
    </sheetView>
  </sheetViews>
  <sheetFormatPr defaultColWidth="9" defaultRowHeight="14.25" outlineLevelRow="7" outlineLevelCol="4"/>
  <cols>
    <col min="1" max="1" width="13.75"/>
    <col min="2" max="3" width="12.75" customWidth="1"/>
    <col min="4" max="4" width="12.25" customWidth="1"/>
    <col min="5" max="5" width="14.5" customWidth="1"/>
  </cols>
  <sheetData>
    <row r="1" ht="18.6" customHeight="1" spans="1:5">
      <c r="A1" s="62" t="s">
        <v>9</v>
      </c>
      <c r="B1" s="62"/>
      <c r="C1" s="62"/>
      <c r="D1" s="62"/>
      <c r="E1" s="62"/>
    </row>
    <row r="2" ht="15" spans="1:5">
      <c r="A2" s="63" t="s">
        <v>24</v>
      </c>
      <c r="B2" s="63"/>
      <c r="C2" s="63"/>
      <c r="D2" s="63"/>
      <c r="E2" s="63"/>
    </row>
    <row r="3" spans="1:5">
      <c r="A3" s="210" t="s">
        <v>25</v>
      </c>
      <c r="B3" s="211" t="s">
        <v>3</v>
      </c>
      <c r="C3" s="211" t="s">
        <v>4</v>
      </c>
      <c r="D3" s="211" t="s">
        <v>5</v>
      </c>
      <c r="E3" s="212" t="s">
        <v>6</v>
      </c>
    </row>
    <row r="4" spans="1:5">
      <c r="A4" s="199" t="s">
        <v>26</v>
      </c>
      <c r="B4" s="101">
        <v>1200</v>
      </c>
      <c r="C4" s="101">
        <v>2500</v>
      </c>
      <c r="D4" s="101">
        <v>2800</v>
      </c>
      <c r="E4" s="200">
        <v>2920</v>
      </c>
    </row>
    <row r="5" spans="1:5">
      <c r="A5" s="199" t="s">
        <v>27</v>
      </c>
      <c r="B5" s="101">
        <v>1250</v>
      </c>
      <c r="C5" s="101">
        <v>2450</v>
      </c>
      <c r="D5" s="101">
        <v>2680</v>
      </c>
      <c r="E5" s="200">
        <v>3000</v>
      </c>
    </row>
    <row r="6" spans="1:5">
      <c r="A6" s="199" t="s">
        <v>28</v>
      </c>
      <c r="B6" s="101">
        <v>800</v>
      </c>
      <c r="C6" s="101">
        <v>500</v>
      </c>
      <c r="D6" s="101">
        <v>750</v>
      </c>
      <c r="E6" s="200">
        <v>860</v>
      </c>
    </row>
    <row r="7" spans="1:5">
      <c r="A7" s="199"/>
      <c r="B7" s="101"/>
      <c r="C7" s="101"/>
      <c r="D7" s="101"/>
      <c r="E7" s="200"/>
    </row>
    <row r="8" ht="15" spans="1:5">
      <c r="A8" s="201" t="s">
        <v>29</v>
      </c>
      <c r="B8" s="202">
        <f>SUM(B4:B7)</f>
        <v>3250</v>
      </c>
      <c r="C8" s="202">
        <f>SUM(C4:C7)</f>
        <v>5450</v>
      </c>
      <c r="D8" s="202">
        <f>SUM(D4:D7)</f>
        <v>6230</v>
      </c>
      <c r="E8" s="203">
        <f>SUM(E4:E7)</f>
        <v>6780</v>
      </c>
    </row>
  </sheetData>
  <mergeCells count="2">
    <mergeCell ref="A1:E1"/>
    <mergeCell ref="A2:E2"/>
  </mergeCells>
  <pageMargins left="0.75" right="0.75" top="1" bottom="1" header="0.5" footer="0.5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E25" sqref="E25"/>
    </sheetView>
  </sheetViews>
  <sheetFormatPr defaultColWidth="9" defaultRowHeight="14.25" outlineLevelCol="1"/>
  <cols>
    <col min="1" max="4" width="26.125" customWidth="1"/>
  </cols>
  <sheetData>
    <row r="1" ht="24.6" customHeight="1" spans="1:2">
      <c r="A1" s="62" t="s">
        <v>30</v>
      </c>
      <c r="B1" s="62"/>
    </row>
    <row r="2" ht="15" spans="1:2">
      <c r="A2" s="195" t="s">
        <v>31</v>
      </c>
      <c r="B2" s="209" t="s">
        <v>32</v>
      </c>
    </row>
    <row r="3" spans="1:2">
      <c r="A3" s="126" t="s">
        <v>12</v>
      </c>
      <c r="B3" s="127">
        <v>12000</v>
      </c>
    </row>
    <row r="4" spans="1:2">
      <c r="A4" s="128" t="s">
        <v>13</v>
      </c>
      <c r="B4" s="129">
        <f>B3*0.14</f>
        <v>1680</v>
      </c>
    </row>
    <row r="5" spans="1:2">
      <c r="A5" s="128" t="s">
        <v>15</v>
      </c>
      <c r="B5" s="129">
        <v>2500</v>
      </c>
    </row>
    <row r="6" spans="1:2">
      <c r="A6" s="128" t="s">
        <v>16</v>
      </c>
      <c r="B6" s="129">
        <v>1200</v>
      </c>
    </row>
    <row r="7" spans="1:2">
      <c r="A7" s="128" t="s">
        <v>33</v>
      </c>
      <c r="B7" s="129">
        <v>5000</v>
      </c>
    </row>
    <row r="8" spans="1:2">
      <c r="A8" s="128" t="s">
        <v>19</v>
      </c>
      <c r="B8" s="129">
        <v>900</v>
      </c>
    </row>
    <row r="9" spans="1:2">
      <c r="A9" s="128" t="s">
        <v>34</v>
      </c>
      <c r="B9" s="129">
        <v>2100</v>
      </c>
    </row>
    <row r="10" spans="1:2">
      <c r="A10" s="128" t="s">
        <v>35</v>
      </c>
      <c r="B10" s="129">
        <v>1500</v>
      </c>
    </row>
    <row r="11" spans="1:2">
      <c r="A11" s="128" t="s">
        <v>20</v>
      </c>
      <c r="B11" s="129">
        <v>2600</v>
      </c>
    </row>
    <row r="12" spans="1:2">
      <c r="A12" s="128" t="s">
        <v>36</v>
      </c>
      <c r="B12" s="129">
        <v>1820</v>
      </c>
    </row>
    <row r="13" spans="1:2">
      <c r="A13" s="128" t="s">
        <v>37</v>
      </c>
      <c r="B13" s="129">
        <v>3200</v>
      </c>
    </row>
    <row r="14" spans="1:2">
      <c r="A14" s="128"/>
      <c r="B14" s="129"/>
    </row>
    <row r="15" ht="15" spans="1:2">
      <c r="A15" s="130" t="s">
        <v>38</v>
      </c>
      <c r="B15" s="131">
        <f>SUM(B3:B14)</f>
        <v>34500</v>
      </c>
    </row>
  </sheetData>
  <mergeCells count="1">
    <mergeCell ref="A1:B1"/>
  </mergeCells>
  <pageMargins left="0.75" right="0.75" top="1" bottom="1" header="0.5" footer="0.5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B3" sqref="B3"/>
    </sheetView>
  </sheetViews>
  <sheetFormatPr defaultColWidth="9" defaultRowHeight="19.9" customHeight="1" outlineLevelRow="4" outlineLevelCol="1"/>
  <cols>
    <col min="1" max="1" width="28.875" customWidth="1"/>
    <col min="2" max="2" width="26.5" customWidth="1"/>
  </cols>
  <sheetData>
    <row r="1" ht="30.6" customHeight="1" spans="1:2">
      <c r="A1" s="204" t="s">
        <v>39</v>
      </c>
      <c r="B1" s="204"/>
    </row>
    <row r="2" customHeight="1" spans="1:2">
      <c r="A2" s="205" t="s">
        <v>25</v>
      </c>
      <c r="B2" s="206" t="s">
        <v>40</v>
      </c>
    </row>
    <row r="3" customHeight="1" spans="1:2">
      <c r="A3" s="128" t="s">
        <v>41</v>
      </c>
      <c r="B3" s="207">
        <v>1.85</v>
      </c>
    </row>
    <row r="4" customHeight="1" spans="1:2">
      <c r="A4" s="128" t="s">
        <v>42</v>
      </c>
      <c r="B4" s="207">
        <v>4.25</v>
      </c>
    </row>
    <row r="5" customHeight="1" spans="1:2">
      <c r="A5" s="130" t="s">
        <v>43</v>
      </c>
      <c r="B5" s="208">
        <v>4.65</v>
      </c>
    </row>
  </sheetData>
  <mergeCells count="1">
    <mergeCell ref="A1:B1"/>
  </mergeCells>
  <pageMargins left="0.75" right="0.75" top="1" bottom="1" header="0.5" footer="0.5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C13" sqref="C13"/>
    </sheetView>
  </sheetViews>
  <sheetFormatPr defaultColWidth="9" defaultRowHeight="14.25" outlineLevelRow="7" outlineLevelCol="3"/>
  <cols>
    <col min="1" max="1" width="12.375" customWidth="1"/>
    <col min="2" max="2" width="13.5" customWidth="1"/>
    <col min="3" max="3" width="15.5" customWidth="1"/>
    <col min="4" max="4" width="15.75" customWidth="1"/>
  </cols>
  <sheetData>
    <row r="1" ht="28.15" customHeight="1" spans="1:4">
      <c r="A1" s="62" t="s">
        <v>44</v>
      </c>
      <c r="B1" s="62"/>
      <c r="C1" s="62"/>
      <c r="D1" s="62"/>
    </row>
    <row r="2" ht="15" spans="1:4">
      <c r="A2" s="195" t="s">
        <v>45</v>
      </c>
      <c r="B2" s="195" t="s">
        <v>46</v>
      </c>
      <c r="C2" s="195" t="s">
        <v>47</v>
      </c>
      <c r="D2" s="195" t="s">
        <v>48</v>
      </c>
    </row>
    <row r="3" spans="1:4">
      <c r="A3" s="196" t="s">
        <v>3</v>
      </c>
      <c r="B3" s="197"/>
      <c r="C3" s="197"/>
      <c r="D3" s="198">
        <v>4500</v>
      </c>
    </row>
    <row r="4" spans="1:4">
      <c r="A4" s="199" t="s">
        <v>4</v>
      </c>
      <c r="B4" s="161"/>
      <c r="C4" s="161"/>
      <c r="D4" s="200">
        <v>3000</v>
      </c>
    </row>
    <row r="5" spans="1:4">
      <c r="A5" s="199" t="s">
        <v>5</v>
      </c>
      <c r="B5" s="161"/>
      <c r="C5" s="161"/>
      <c r="D5" s="200">
        <v>2000</v>
      </c>
    </row>
    <row r="6" spans="1:4">
      <c r="A6" s="199" t="s">
        <v>6</v>
      </c>
      <c r="B6" s="101">
        <v>25000</v>
      </c>
      <c r="C6" s="101">
        <v>31520</v>
      </c>
      <c r="D6" s="200">
        <v>8500</v>
      </c>
    </row>
    <row r="7" spans="1:4">
      <c r="A7" s="199"/>
      <c r="B7" s="101"/>
      <c r="C7" s="101"/>
      <c r="D7" s="200"/>
    </row>
    <row r="8" ht="15" spans="1:4">
      <c r="A8" s="201" t="s">
        <v>49</v>
      </c>
      <c r="B8" s="202">
        <f>SUM(B3:B7)</f>
        <v>25000</v>
      </c>
      <c r="C8" s="202">
        <f>SUM(C3:C7)</f>
        <v>31520</v>
      </c>
      <c r="D8" s="203">
        <f>SUM(D3:D7)</f>
        <v>18000</v>
      </c>
    </row>
  </sheetData>
  <mergeCells count="1">
    <mergeCell ref="A1:D1"/>
  </mergeCells>
  <pageMargins left="0.75" right="0.75" top="1" bottom="1" header="0.5" footer="0.5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topLeftCell="B1" workbookViewId="0">
      <selection activeCell="I14" sqref="I14:I15"/>
    </sheetView>
  </sheetViews>
  <sheetFormatPr defaultColWidth="9" defaultRowHeight="14.25"/>
  <cols>
    <col min="1" max="1" width="20.25"/>
    <col min="2" max="5" width="10.375"/>
    <col min="6" max="6" width="11.375"/>
    <col min="9" max="9" width="11.5"/>
  </cols>
  <sheetData>
    <row r="1" ht="23.45" customHeight="1" spans="1:6">
      <c r="A1" s="91" t="s">
        <v>50</v>
      </c>
      <c r="B1" s="91"/>
      <c r="C1" s="91"/>
      <c r="D1" s="91"/>
      <c r="E1" s="91"/>
      <c r="F1" s="91"/>
    </row>
    <row r="2" ht="15" spans="1:6">
      <c r="A2" s="192" t="s">
        <v>51</v>
      </c>
      <c r="B2" s="193"/>
      <c r="C2" s="193"/>
      <c r="D2" s="193"/>
      <c r="E2" s="193"/>
      <c r="F2" s="193"/>
    </row>
    <row r="3" ht="15" spans="1:6">
      <c r="A3" s="64" t="s">
        <v>45</v>
      </c>
      <c r="B3" s="114" t="s">
        <v>52</v>
      </c>
      <c r="C3" s="114" t="s">
        <v>53</v>
      </c>
      <c r="D3" s="114" t="s">
        <v>54</v>
      </c>
      <c r="E3" s="114" t="s">
        <v>55</v>
      </c>
      <c r="F3" s="65" t="s">
        <v>56</v>
      </c>
    </row>
    <row r="4" spans="1:6">
      <c r="A4" s="117" t="s">
        <v>57</v>
      </c>
      <c r="B4" s="161">
        <f>预计销售表!B3</f>
        <v>2000</v>
      </c>
      <c r="C4" s="161">
        <f>预计销售表!B4</f>
        <v>2500</v>
      </c>
      <c r="D4" s="161">
        <f>预计销售表!B5</f>
        <v>3000</v>
      </c>
      <c r="E4" s="161">
        <f>预计销售表!B6</f>
        <v>2800</v>
      </c>
      <c r="F4" s="162">
        <f>SUM(B4:E4)</f>
        <v>10300</v>
      </c>
    </row>
    <row r="5" spans="1:6">
      <c r="A5" s="117" t="s">
        <v>58</v>
      </c>
      <c r="B5" s="101">
        <f>预计销售表!$B$9</f>
        <v>105</v>
      </c>
      <c r="C5" s="101">
        <f>预计销售表!$B$9</f>
        <v>105</v>
      </c>
      <c r="D5" s="101">
        <f>预计销售表!$B$9</f>
        <v>105</v>
      </c>
      <c r="E5" s="101">
        <f>预计销售表!$B$9</f>
        <v>105</v>
      </c>
      <c r="F5" s="67">
        <f>SUM(B5:E5)/4</f>
        <v>105</v>
      </c>
    </row>
    <row r="6" ht="15" spans="1:6">
      <c r="A6" s="118" t="s">
        <v>59</v>
      </c>
      <c r="B6" s="104">
        <f>B4*B5</f>
        <v>210000</v>
      </c>
      <c r="C6" s="104">
        <f>C4*C5</f>
        <v>262500</v>
      </c>
      <c r="D6" s="104">
        <f>D4*D5</f>
        <v>315000</v>
      </c>
      <c r="E6" s="104">
        <f>E4*E5</f>
        <v>294000</v>
      </c>
      <c r="F6" s="105">
        <f>SUM(B6:E6)</f>
        <v>1081500</v>
      </c>
    </row>
    <row r="7" ht="22.9" customHeight="1" spans="1:6">
      <c r="A7" s="194" t="s">
        <v>60</v>
      </c>
      <c r="B7" s="194"/>
      <c r="C7" s="194"/>
      <c r="D7" s="194"/>
      <c r="E7" s="194"/>
      <c r="F7" s="194"/>
    </row>
    <row r="8" ht="15" spans="1:6">
      <c r="A8" s="192" t="s">
        <v>61</v>
      </c>
      <c r="B8" s="192"/>
      <c r="C8" s="192"/>
      <c r="D8" s="192"/>
      <c r="E8" s="192"/>
      <c r="F8" s="192"/>
    </row>
    <row r="9" ht="15" spans="1:6">
      <c r="A9" s="64" t="s">
        <v>45</v>
      </c>
      <c r="B9" s="114" t="s">
        <v>52</v>
      </c>
      <c r="C9" s="114" t="s">
        <v>53</v>
      </c>
      <c r="D9" s="114" t="s">
        <v>54</v>
      </c>
      <c r="E9" s="114" t="s">
        <v>55</v>
      </c>
      <c r="F9" s="65" t="s">
        <v>56</v>
      </c>
    </row>
    <row r="10" spans="1:6">
      <c r="A10" s="117" t="s">
        <v>62</v>
      </c>
      <c r="B10" s="101">
        <v>45000</v>
      </c>
      <c r="C10" s="101"/>
      <c r="D10" s="101"/>
      <c r="E10" s="101"/>
      <c r="F10" s="67">
        <f t="shared" ref="F10:F15" si="0">SUM(B10:E10)</f>
        <v>45000</v>
      </c>
    </row>
    <row r="11" spans="1:6">
      <c r="A11" s="117" t="s">
        <v>3</v>
      </c>
      <c r="B11" s="101">
        <f>B6*0.6</f>
        <v>126000</v>
      </c>
      <c r="C11" s="101">
        <f>B6-B11</f>
        <v>84000</v>
      </c>
      <c r="D11" s="101"/>
      <c r="E11" s="101"/>
      <c r="F11" s="67">
        <f t="shared" si="0"/>
        <v>210000</v>
      </c>
    </row>
    <row r="12" spans="1:6">
      <c r="A12" s="117" t="s">
        <v>4</v>
      </c>
      <c r="B12" s="101"/>
      <c r="C12" s="101">
        <f>C6*0.6</f>
        <v>157500</v>
      </c>
      <c r="D12" s="101">
        <f>C6-C12</f>
        <v>105000</v>
      </c>
      <c r="E12" s="101"/>
      <c r="F12" s="67">
        <f t="shared" si="0"/>
        <v>262500</v>
      </c>
    </row>
    <row r="13" spans="1:6">
      <c r="A13" s="117" t="s">
        <v>5</v>
      </c>
      <c r="B13" s="101"/>
      <c r="C13" s="101"/>
      <c r="D13" s="101">
        <f>D6*0.6</f>
        <v>189000</v>
      </c>
      <c r="E13" s="101">
        <f>D6-D13</f>
        <v>126000</v>
      </c>
      <c r="F13" s="67">
        <f t="shared" si="0"/>
        <v>315000</v>
      </c>
    </row>
    <row r="14" spans="1:6">
      <c r="A14" s="117" t="s">
        <v>6</v>
      </c>
      <c r="B14" s="101"/>
      <c r="C14" s="101"/>
      <c r="D14" s="101"/>
      <c r="E14" s="101">
        <f>E6*0.6</f>
        <v>176400</v>
      </c>
      <c r="F14" s="67">
        <f t="shared" si="0"/>
        <v>176400</v>
      </c>
    </row>
    <row r="15" ht="15" spans="1:9">
      <c r="A15" s="118" t="s">
        <v>63</v>
      </c>
      <c r="B15" s="104">
        <f>SUM(B10:B14)</f>
        <v>171000</v>
      </c>
      <c r="C15" s="104">
        <f>SUM(C10:C14)</f>
        <v>241500</v>
      </c>
      <c r="D15" s="104">
        <f>SUM(D10:D14)</f>
        <v>294000</v>
      </c>
      <c r="E15" s="104">
        <f>SUM(E10:E14)</f>
        <v>302400</v>
      </c>
      <c r="F15" s="105">
        <f t="shared" si="0"/>
        <v>1008900</v>
      </c>
      <c r="I15" s="31"/>
    </row>
    <row r="16" ht="15"/>
  </sheetData>
  <mergeCells count="2">
    <mergeCell ref="A1:F1"/>
    <mergeCell ref="A7:F7"/>
  </mergeCells>
  <pageMargins left="0.75" right="0.75" top="1" bottom="1" header="0.5" footer="0.5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showFormulas="1" workbookViewId="0">
      <selection activeCell="H22" sqref="H22"/>
    </sheetView>
  </sheetViews>
  <sheetFormatPr defaultColWidth="9" defaultRowHeight="14.25" outlineLevelCol="7"/>
  <cols>
    <col min="1" max="1" width="8.5" customWidth="1"/>
    <col min="2" max="3" width="7.25" customWidth="1"/>
    <col min="4" max="5" width="7.5" customWidth="1"/>
    <col min="6" max="6" width="6.875" customWidth="1"/>
  </cols>
  <sheetData>
    <row r="1" ht="25.15" customHeight="1" spans="1:6">
      <c r="A1" s="62" t="s">
        <v>64</v>
      </c>
      <c r="B1" s="62"/>
      <c r="C1" s="62"/>
      <c r="D1" s="62"/>
      <c r="E1" s="62"/>
      <c r="F1" s="62"/>
    </row>
    <row r="2" ht="15" spans="1:6">
      <c r="A2" s="174" t="s">
        <v>65</v>
      </c>
      <c r="B2" s="174"/>
      <c r="C2" s="174"/>
      <c r="D2" s="174"/>
      <c r="E2" s="174"/>
      <c r="F2" s="174"/>
    </row>
    <row r="3" ht="21.6" customHeight="1" spans="1:6">
      <c r="A3" s="183" t="s">
        <v>25</v>
      </c>
      <c r="B3" s="184" t="s">
        <v>66</v>
      </c>
      <c r="C3" s="184" t="s">
        <v>67</v>
      </c>
      <c r="D3" s="184" t="s">
        <v>68</v>
      </c>
      <c r="E3" s="184" t="s">
        <v>69</v>
      </c>
      <c r="F3" s="185" t="s">
        <v>56</v>
      </c>
    </row>
    <row r="4" spans="1:8">
      <c r="A4" s="186" t="s">
        <v>70</v>
      </c>
      <c r="B4" s="187">
        <f>预计销售表!B3</f>
        <v>2000</v>
      </c>
      <c r="C4" s="187">
        <f>预计销售表!B4</f>
        <v>2500</v>
      </c>
      <c r="D4" s="187">
        <f>预计销售表!B5</f>
        <v>3000</v>
      </c>
      <c r="E4" s="187">
        <f>预计销售表!B6</f>
        <v>2800</v>
      </c>
      <c r="F4" s="188">
        <f>SUM(B4:E4)</f>
        <v>10300</v>
      </c>
      <c r="G4" s="109"/>
      <c r="H4" s="109"/>
    </row>
    <row r="5" spans="1:8">
      <c r="A5" s="186" t="s">
        <v>71</v>
      </c>
      <c r="B5" s="187">
        <f>C4*0.1</f>
        <v>250</v>
      </c>
      <c r="C5" s="187">
        <f>D4*0.1</f>
        <v>300</v>
      </c>
      <c r="D5" s="187">
        <f>E4*0.1</f>
        <v>280</v>
      </c>
      <c r="E5" s="187">
        <v>280</v>
      </c>
      <c r="F5" s="188">
        <f>E5</f>
        <v>280</v>
      </c>
      <c r="G5" s="109"/>
      <c r="H5" s="109"/>
    </row>
    <row r="6" spans="1:8">
      <c r="A6" s="186" t="s">
        <v>72</v>
      </c>
      <c r="B6" s="187">
        <f>B4+B5</f>
        <v>2250</v>
      </c>
      <c r="C6" s="187">
        <f>C4+C5</f>
        <v>2800</v>
      </c>
      <c r="D6" s="187">
        <f>D4+D5</f>
        <v>3280</v>
      </c>
      <c r="E6" s="187">
        <f>E4+E5</f>
        <v>3080</v>
      </c>
      <c r="F6" s="188">
        <f>F4+F5</f>
        <v>10580</v>
      </c>
      <c r="G6" s="109"/>
      <c r="H6" s="109"/>
    </row>
    <row r="7" spans="1:8">
      <c r="A7" s="186" t="s">
        <v>73</v>
      </c>
      <c r="B7" s="187">
        <v>300</v>
      </c>
      <c r="C7" s="187">
        <f>B5</f>
        <v>250</v>
      </c>
      <c r="D7" s="187">
        <f>C5</f>
        <v>300</v>
      </c>
      <c r="E7" s="187">
        <f>D5</f>
        <v>280</v>
      </c>
      <c r="F7" s="188">
        <f>B7</f>
        <v>300</v>
      </c>
      <c r="G7" s="109"/>
      <c r="H7" s="109"/>
    </row>
    <row r="8" spans="1:8">
      <c r="A8" s="186" t="s">
        <v>74</v>
      </c>
      <c r="B8" s="187">
        <f>B6-B7</f>
        <v>1950</v>
      </c>
      <c r="C8" s="187">
        <f>C6-C7</f>
        <v>2550</v>
      </c>
      <c r="D8" s="187">
        <f>D6-D7</f>
        <v>2980</v>
      </c>
      <c r="E8" s="187">
        <f>E6-E7</f>
        <v>2800</v>
      </c>
      <c r="F8" s="188">
        <f>F6-F7</f>
        <v>10280</v>
      </c>
      <c r="G8" s="109"/>
      <c r="H8" s="109"/>
    </row>
    <row r="9" spans="1:8">
      <c r="A9" s="186"/>
      <c r="B9" s="187"/>
      <c r="C9" s="187"/>
      <c r="D9" s="187"/>
      <c r="E9" s="187"/>
      <c r="F9" s="188"/>
      <c r="G9" s="109"/>
      <c r="H9" s="109"/>
    </row>
    <row r="10" spans="1:8">
      <c r="A10" s="186" t="s">
        <v>75</v>
      </c>
      <c r="B10" s="187"/>
      <c r="C10" s="187"/>
      <c r="D10" s="187"/>
      <c r="E10" s="187"/>
      <c r="F10" s="188"/>
      <c r="G10" s="109"/>
      <c r="H10" s="109"/>
    </row>
    <row r="11" spans="1:8">
      <c r="A11" s="186" t="s">
        <v>76</v>
      </c>
      <c r="B11" s="187">
        <f>B8*预计定额成本!$B$3</f>
        <v>3607.5</v>
      </c>
      <c r="C11" s="187">
        <f>C8*预计定额成本!$B$3</f>
        <v>4717.5</v>
      </c>
      <c r="D11" s="187">
        <f>D8*预计定额成本!$B$3</f>
        <v>5513</v>
      </c>
      <c r="E11" s="187">
        <f>E8*预计定额成本!$B$3</f>
        <v>5180</v>
      </c>
      <c r="F11" s="188">
        <f>F8*预计定额成本!B3</f>
        <v>19018</v>
      </c>
      <c r="G11" s="109"/>
      <c r="H11" s="109"/>
    </row>
    <row r="12" spans="1:8">
      <c r="A12" s="186" t="s">
        <v>77</v>
      </c>
      <c r="B12" s="187"/>
      <c r="C12" s="187"/>
      <c r="D12" s="187"/>
      <c r="E12" s="187"/>
      <c r="F12" s="188"/>
      <c r="G12" s="109"/>
      <c r="H12" s="109"/>
    </row>
    <row r="13" ht="15" spans="1:8">
      <c r="A13" s="189" t="s">
        <v>78</v>
      </c>
      <c r="B13" s="190">
        <f>B8*预计定额成本!$B$4</f>
        <v>8287.5</v>
      </c>
      <c r="C13" s="190">
        <f>C8*预计定额成本!$B$4</f>
        <v>10837.5</v>
      </c>
      <c r="D13" s="190">
        <f>D8*预计定额成本!$B$4</f>
        <v>12665</v>
      </c>
      <c r="E13" s="190">
        <f>E8*预计定额成本!$B$4</f>
        <v>11900</v>
      </c>
      <c r="F13" s="191">
        <f>F8*预计定额成本!B4</f>
        <v>43690</v>
      </c>
      <c r="G13" s="109"/>
      <c r="H13" s="109"/>
    </row>
    <row r="14" ht="15" spans="1:6">
      <c r="A14" s="121"/>
      <c r="B14" s="121"/>
      <c r="C14" s="121"/>
      <c r="D14" s="121"/>
      <c r="E14" s="121"/>
      <c r="F14" s="121"/>
    </row>
  </sheetData>
  <mergeCells count="2">
    <mergeCell ref="A1:F1"/>
    <mergeCell ref="A2:F2"/>
  </mergeCells>
  <pageMargins left="0.75" right="0.75" top="1" bottom="1" header="0.5" footer="0.5"/>
  <pageSetup paperSize="9" orientation="portrait" horizontalDpi="300" verticalDpi="300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C11" sqref="C11"/>
    </sheetView>
  </sheetViews>
  <sheetFormatPr defaultColWidth="9" defaultRowHeight="14.25" outlineLevelCol="5"/>
  <cols>
    <col min="1" max="1" width="24.125" customWidth="1"/>
    <col min="2" max="2" width="11.75" customWidth="1"/>
    <col min="3" max="3" width="11.625" customWidth="1"/>
    <col min="4" max="4" width="10" customWidth="1"/>
    <col min="5" max="5" width="10.625" customWidth="1"/>
    <col min="6" max="6" width="10.125" customWidth="1"/>
  </cols>
  <sheetData>
    <row r="1" ht="18.75" spans="1:6">
      <c r="A1" s="62" t="s">
        <v>64</v>
      </c>
      <c r="B1" s="62"/>
      <c r="C1" s="62"/>
      <c r="D1" s="62"/>
      <c r="E1" s="62"/>
      <c r="F1" s="62"/>
    </row>
    <row r="2" ht="15" spans="1:1">
      <c r="A2" t="s">
        <v>79</v>
      </c>
    </row>
    <row r="3" ht="15" spans="1:6">
      <c r="A3" s="179" t="s">
        <v>25</v>
      </c>
      <c r="B3" s="180" t="s">
        <v>66</v>
      </c>
      <c r="C3" s="180" t="s">
        <v>67</v>
      </c>
      <c r="D3" s="180" t="s">
        <v>68</v>
      </c>
      <c r="E3" s="180" t="s">
        <v>69</v>
      </c>
      <c r="F3" s="181" t="s">
        <v>56</v>
      </c>
    </row>
    <row r="4" spans="1:6">
      <c r="A4" s="66" t="s">
        <v>70</v>
      </c>
      <c r="B4" s="161">
        <f>预计销售表!B3</f>
        <v>2000</v>
      </c>
      <c r="C4" s="161">
        <f>预计销售表!B4</f>
        <v>2500</v>
      </c>
      <c r="D4" s="161">
        <f>预计销售表!B5</f>
        <v>3000</v>
      </c>
      <c r="E4" s="161">
        <f>预计销售表!B6</f>
        <v>2800</v>
      </c>
      <c r="F4" s="162">
        <f>SUM(B4:E4)</f>
        <v>10300</v>
      </c>
    </row>
    <row r="5" spans="1:6">
      <c r="A5" s="66" t="s">
        <v>71</v>
      </c>
      <c r="B5" s="161">
        <f>C4*0.1</f>
        <v>250</v>
      </c>
      <c r="C5" s="161">
        <f>D4*0.1</f>
        <v>300</v>
      </c>
      <c r="D5" s="161">
        <f>E4*0.1</f>
        <v>280</v>
      </c>
      <c r="E5" s="161">
        <v>280</v>
      </c>
      <c r="F5" s="162">
        <f>E5</f>
        <v>280</v>
      </c>
    </row>
    <row r="6" spans="1:6">
      <c r="A6" s="66" t="s">
        <v>72</v>
      </c>
      <c r="B6" s="161">
        <f>B4+B5</f>
        <v>2250</v>
      </c>
      <c r="C6" s="161">
        <f>C4+C5</f>
        <v>2800</v>
      </c>
      <c r="D6" s="161">
        <f>D4+D5</f>
        <v>3280</v>
      </c>
      <c r="E6" s="161">
        <f>E4+E5</f>
        <v>3080</v>
      </c>
      <c r="F6" s="162">
        <f>F4+F5</f>
        <v>10580</v>
      </c>
    </row>
    <row r="7" spans="1:6">
      <c r="A7" s="66" t="s">
        <v>73</v>
      </c>
      <c r="B7" s="161">
        <v>300</v>
      </c>
      <c r="C7" s="161">
        <f>B5</f>
        <v>250</v>
      </c>
      <c r="D7" s="161">
        <f>C5</f>
        <v>300</v>
      </c>
      <c r="E7" s="161">
        <f>D5</f>
        <v>280</v>
      </c>
      <c r="F7" s="162">
        <f>B7</f>
        <v>300</v>
      </c>
    </row>
    <row r="8" spans="1:6">
      <c r="A8" s="66" t="s">
        <v>74</v>
      </c>
      <c r="B8" s="161">
        <f>B6-B7</f>
        <v>1950</v>
      </c>
      <c r="C8" s="161">
        <f>C6-C7</f>
        <v>2550</v>
      </c>
      <c r="D8" s="161">
        <f>D6-D7</f>
        <v>2980</v>
      </c>
      <c r="E8" s="161">
        <f>E6-E7</f>
        <v>2800</v>
      </c>
      <c r="F8" s="162">
        <f>F6-F7</f>
        <v>10280</v>
      </c>
    </row>
    <row r="9" spans="1:6">
      <c r="A9" s="66"/>
      <c r="B9" s="161"/>
      <c r="C9" s="161"/>
      <c r="D9" s="161"/>
      <c r="E9" s="161"/>
      <c r="F9" s="162"/>
    </row>
    <row r="10" spans="1:6">
      <c r="A10" s="66" t="s">
        <v>75</v>
      </c>
      <c r="B10" s="161"/>
      <c r="C10" s="161"/>
      <c r="D10" s="161"/>
      <c r="E10" s="161"/>
      <c r="F10" s="162"/>
    </row>
    <row r="11" spans="1:6">
      <c r="A11" s="66" t="s">
        <v>76</v>
      </c>
      <c r="B11" s="161">
        <f>B8*预计定额成本!$B$3</f>
        <v>3607.5</v>
      </c>
      <c r="C11" s="161">
        <f>C8*预计定额成本!$B$3</f>
        <v>4717.5</v>
      </c>
      <c r="D11" s="161">
        <f>D8*预计定额成本!$B$3</f>
        <v>5513</v>
      </c>
      <c r="E11" s="161">
        <f>E8*预计定额成本!$B$3</f>
        <v>5180</v>
      </c>
      <c r="F11" s="162">
        <f>F8*预计定额成本!B3</f>
        <v>19018</v>
      </c>
    </row>
    <row r="12" spans="1:6">
      <c r="A12" s="66" t="s">
        <v>77</v>
      </c>
      <c r="B12" s="161"/>
      <c r="C12" s="161"/>
      <c r="D12" s="161"/>
      <c r="E12" s="161"/>
      <c r="F12" s="162"/>
    </row>
    <row r="13" ht="15" spans="1:6">
      <c r="A13" s="163" t="s">
        <v>78</v>
      </c>
      <c r="B13" s="103">
        <f>B8*预计定额成本!$B$4</f>
        <v>8287.5</v>
      </c>
      <c r="C13" s="103">
        <f>C8*预计定额成本!$B$4</f>
        <v>10837.5</v>
      </c>
      <c r="D13" s="103">
        <f>D8*预计定额成本!$B$4</f>
        <v>12665</v>
      </c>
      <c r="E13" s="103">
        <f>E8*预计定额成本!$B$4</f>
        <v>11900</v>
      </c>
      <c r="F13" s="182">
        <f>F8*预计定额成本!B4</f>
        <v>43690</v>
      </c>
    </row>
    <row r="14" ht="15"/>
  </sheetData>
  <mergeCells count="1">
    <mergeCell ref="A1:F1"/>
  </mergeCells>
  <pageMargins left="0.75" right="0.75" top="1" bottom="1" header="0.5" footer="0.5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预计销售表</vt:lpstr>
      <vt:lpstr>预计制造费用明细表</vt:lpstr>
      <vt:lpstr>预计制造费用明细表 </vt:lpstr>
      <vt:lpstr>预计管理费用明细表</vt:lpstr>
      <vt:lpstr>预计定额成本</vt:lpstr>
      <vt:lpstr>预计投资收益和营业外收入支出表</vt:lpstr>
      <vt:lpstr>销售预算分析</vt:lpstr>
      <vt:lpstr>生产预算分析表公式</vt:lpstr>
      <vt:lpstr>生产预算分析表</vt:lpstr>
      <vt:lpstr>直接材料预算分析表公式</vt:lpstr>
      <vt:lpstr>直接材料预算分析表</vt:lpstr>
      <vt:lpstr>直接人工预算分析表公式</vt:lpstr>
      <vt:lpstr>直接人工预算分析表</vt:lpstr>
      <vt:lpstr>制造费用预算分析表公式</vt:lpstr>
      <vt:lpstr>制造费用预算分析表</vt:lpstr>
      <vt:lpstr>财务费用预算分析表</vt:lpstr>
      <vt:lpstr>财务费用预算分析表公式</vt:lpstr>
      <vt:lpstr>预计财务费用明细表</vt:lpstr>
      <vt:lpstr>管理费用预算分析表</vt:lpstr>
      <vt:lpstr>管理费用预算分析表公式 </vt:lpstr>
      <vt:lpstr>营业费用预算分析表</vt:lpstr>
      <vt:lpstr>营业费用预算分析表公式</vt:lpstr>
      <vt:lpstr>成本预算分析表公式</vt:lpstr>
      <vt:lpstr>产品成本预算分析表</vt:lpstr>
      <vt:lpstr>现金预算分析表</vt:lpstr>
      <vt:lpstr>损益表公式</vt:lpstr>
      <vt:lpstr>预算损益表</vt:lpstr>
      <vt:lpstr>资产负债表公式</vt:lpstr>
      <vt:lpstr>预算资产负债表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89360</cp:lastModifiedBy>
  <dcterms:created xsi:type="dcterms:W3CDTF">1996-12-17T01:32:42Z</dcterms:created>
  <dcterms:modified xsi:type="dcterms:W3CDTF">2017-09-01T04:18:44Z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